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  <externalReference r:id="rId16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C8" i="16" l="1"/>
  <c r="E21" i="14"/>
  <c r="C21" i="14"/>
  <c r="B21" i="14"/>
  <c r="D20" i="16" l="1"/>
  <c r="C11" i="8" l="1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l="1"/>
  <c r="D21" i="14"/>
  <c r="F21" i="14" s="1"/>
  <c r="D24" i="14"/>
  <c r="D34" i="14" l="1"/>
  <c r="D28" i="14"/>
  <c r="D29" i="14" s="1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8"/>
  <c r="C30" i="8" s="1"/>
  <c r="C32" i="8" s="1"/>
  <c r="B18" i="14"/>
  <c r="J7" i="7"/>
  <c r="D8" i="7"/>
  <c r="C28" i="14" l="1"/>
  <c r="C34" i="14"/>
  <c r="B24" i="14"/>
  <c r="B34" i="14" s="1"/>
  <c r="F18" i="14"/>
  <c r="F19" i="14" s="1"/>
  <c r="B19" i="14"/>
  <c r="C35" i="14"/>
  <c r="C29" i="14"/>
  <c r="K7" i="7"/>
  <c r="I8" i="7" s="1"/>
  <c r="E8" i="7"/>
  <c r="C9" i="7" s="1"/>
  <c r="B28" i="14" l="1"/>
  <c r="F24" i="14"/>
  <c r="B38" i="14" s="1"/>
  <c r="B40" i="14" s="1"/>
  <c r="C30" i="14"/>
  <c r="J8" i="7"/>
  <c r="K8" i="7" s="1"/>
  <c r="I9" i="7" s="1"/>
  <c r="D9" i="7"/>
  <c r="E9" i="7" s="1"/>
  <c r="C10" i="7" s="1"/>
  <c r="B25" i="14" l="1"/>
  <c r="D38" i="14"/>
  <c r="D40" i="14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F34" i="14"/>
  <c r="J9" i="7"/>
  <c r="K9" i="7" s="1"/>
  <c r="I10" i="7" s="1"/>
  <c r="D10" i="7"/>
  <c r="E10" i="7" s="1"/>
  <c r="C11" i="7" s="1"/>
  <c r="D11" i="7" s="1"/>
  <c r="E11" i="7" s="1"/>
  <c r="C12" i="7" s="1"/>
  <c r="B42" i="14" l="1"/>
  <c r="D10" i="1"/>
  <c r="D14" i="1"/>
  <c r="D11" i="1"/>
  <c r="D15" i="1"/>
  <c r="D12" i="1"/>
  <c r="D13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C13" i="1"/>
  <c r="C9" i="1"/>
  <c r="C11" i="1"/>
  <c r="C12" i="1"/>
  <c r="C14" i="1"/>
  <c r="C15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E35" i="14" l="1"/>
  <c r="E42" i="14" s="1"/>
  <c r="E46" i="14" s="1"/>
  <c r="D33" i="14" l="1"/>
  <c r="D35" i="14" l="1"/>
  <c r="D42" i="14" s="1"/>
  <c r="D46" i="14" s="1"/>
  <c r="E8" i="1" s="1"/>
  <c r="F33" i="14"/>
  <c r="F35" i="14" s="1"/>
  <c r="F42" i="14" s="1"/>
  <c r="E13" i="1" l="1"/>
  <c r="F13" i="1" s="1"/>
  <c r="E12" i="1"/>
  <c r="F12" i="1" s="1"/>
  <c r="E15" i="1"/>
  <c r="F15" i="1" s="1"/>
  <c r="E11" i="1"/>
  <c r="F11" i="1" s="1"/>
  <c r="E14" i="1"/>
  <c r="F14" i="1" s="1"/>
  <c r="E10" i="1"/>
  <c r="F10" i="1" s="1"/>
  <c r="E9" i="1"/>
  <c r="F9" i="1" s="1"/>
  <c r="F8" i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<sst xmlns="http://schemas.openxmlformats.org/spreadsheetml/2006/main" count="458" uniqueCount="387">
  <si>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</si>
  <si>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</si>
  <si>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</si>
  <si>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</si>
  <si>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</si>
  <si>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</si>
  <si>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</si>
  <si>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</si>
  <si>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</si>
  <si>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</si>
  <si>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</si>
  <si>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</si>
  <si>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</si>
  <si>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</si>
  <si>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</si>
  <si>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</si>
  <si>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</si>
  <si>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</si>
  <si>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</si>
  <si>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</si>
  <si>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</si>
  <si>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</si>
  <si>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</si>
  <si>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</si>
  <si>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</si>
  <si>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</si>
  <si>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</si>
  <si>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</si>
  <si>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</si>
  <si>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</si>
  <si>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</si>
  <si>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</si>
  <si>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</si>
  <si>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</si>
  <si>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</si>
  <si>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</si>
  <si>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</si>
  <si>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</si>
  <si>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</si>
  <si>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</si>
  <si>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</si>
  <si>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</si>
  <si>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</si>
  <si>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</si>
  <si>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</si>
  <si>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</si>
  <si>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</si>
  <si>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</si>
  <si>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</si>
  <si>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</si>
  <si>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</si>
  <si>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</si>
  <si>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</si>
  <si>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</si>
  <si>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</si>
  <si>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</si>
  <si>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</si>
  <si>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</si>
  <si>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</si>
  <si>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</si>
  <si>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</si>
  <si>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</si>
  <si>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</si>
  <si>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</si>
  <si>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</si>
  <si>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</si>
  <si>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</si>
  <si>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</si>
  <si>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</si>
  <si>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</si>
  <si>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</si>
  <si>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</si>
  <si>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</si>
  <si>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</si>
  <si>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</si>
  <si>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</si>
  <si>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</si>
  <si>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</si>
  <si>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</si>
  <si>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</si>
  <si>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</si>
  <si>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</si>
  <si>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</si>
  <si>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</si>
  <si>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</si>
  <si>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</si>
  <si>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</si>
  <si>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</si>
  <si>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</si>
  <si>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</si>
  <si>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</si>
  <si>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</si>
  <si>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</si>
  <si>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</si>
  <si>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</si>
  <si>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</si>
  <si>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</si>
  <si>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</si>
  <si>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</si>
  <si>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</si>
  <si>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>PFF Fees</t>
  </si>
  <si>
    <t>Total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</si>
  <si>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</si>
  <si>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</si>
  <si>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</si>
  <si>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</si>
  <si>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</si>
  <si>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</si>
  <si>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</si>
  <si>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</si>
  <si>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</si>
  <si>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</si>
  <si>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</si>
  <si>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</si>
  <si>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</si>
  <si>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</si>
  <si>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</si>
  <si>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</si>
  <si>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</si>
  <si>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</si>
  <si>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</si>
  <si>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</si>
  <si>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</si>
  <si>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</si>
  <si>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</si>
  <si>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</si>
  <si>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</si>
  <si>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</si>
  <si>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</si>
  <si>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</si>
  <si>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</si>
  <si>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</si>
  <si>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</si>
  <si>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</si>
  <si>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</si>
  <si>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</si>
  <si>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</si>
  <si>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</si>
  <si>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</si>
  <si>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</si>
  <si>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</si>
  <si>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</si>
  <si>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</si>
  <si>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</si>
  <si>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</si>
  <si>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</si>
  <si>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</si>
  <si>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</si>
  <si>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</si>
  <si>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</si>
  <si>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</si>
  <si>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</si>
  <si>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</si>
  <si>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</si>
  <si>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</si>
  <si>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</si>
  <si>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</si>
  <si>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</si>
  <si>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</si>
  <si>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</si>
  <si>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</si>
  <si>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</si>
  <si>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</si>
  <si>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</si>
  <si>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</si>
  <si>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</si>
  <si>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</si>
  <si>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</si>
  <si>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</si>
  <si>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</si>
  <si>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</si>
  <si>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</si>
  <si>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</si>
  <si>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</si>
  <si>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</si>
  <si>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</si>
  <si>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</si>
  <si>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</si>
  <si>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</si>
  <si>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</si>
  <si>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</si>
  <si>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</si>
  <si>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</si>
  <si>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</si>
  <si>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</si>
  <si>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</si>
  <si>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</si>
  <si>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</si>
  <si>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</si>
  <si>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</si>
  <si>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</si>
  <si>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</si>
  <si>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</si>
  <si>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</si>
  <si>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</si>
  <si>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</si>
  <si>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</si>
  <si>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</si>
  <si>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</si>
  <si>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</si>
  <si>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</si>
  <si>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</si>
  <si>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</si>
  <si>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</si>
  <si>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</si>
  <si>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</si>
  <si>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</si>
  <si>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</si>
  <si>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</si>
  <si>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</si>
  <si>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</si>
  <si>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</si>
  <si>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</si>
  <si>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</si>
  <si>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</si>
  <si>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</si>
  <si>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</si>
  <si>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</si>
  <si>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</si>
  <si>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</si>
  <si>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</si>
  <si>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</si>
  <si>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</si>
  <si>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</si>
  <si>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</si>
  <si>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</si>
  <si>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</si>
  <si>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</si>
  <si>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</si>
  <si>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</si>
  <si>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</si>
  <si>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</si>
  <si>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</si>
  <si>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</si>
  <si>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</si>
  <si>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</si>
  <si>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</si>
  <si>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</si>
  <si>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</si>
  <si>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</si>
  <si>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</si>
  <si>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</si>
  <si>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</si>
  <si>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</si>
  <si>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</si>
  <si>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</si>
  <si>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</si>
  <si>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</si>
  <si>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</si>
  <si>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</si>
  <si>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</si>
  <si>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</si>
  <si>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</si>
  <si>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</si>
  <si>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</si>
  <si>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</si>
  <si>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</si>
  <si>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</si>
  <si>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See Note (4)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</si>
  <si>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</si>
  <si>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</si>
  <si>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</si>
  <si>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</si>
  <si>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</si>
  <si>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</si>
  <si>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</si>
  <si>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</si>
  <si>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</si>
  <si>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</si>
  <si>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</si>
  <si>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</si>
  <si>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</si>
  <si>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</si>
  <si>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</si>
  <si>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</si>
  <si>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</si>
  <si>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</si>
  <si>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</si>
  <si>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</si>
  <si>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</si>
  <si>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</si>
  <si>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</si>
  <si>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</si>
  <si>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</si>
  <si>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</si>
  <si>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</si>
  <si>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</si>
  <si>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</si>
  <si>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</si>
  <si>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</si>
  <si>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</si>
  <si>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</si>
  <si>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</si>
  <si>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</si>
  <si>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</si>
  <si>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</si>
  <si>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</si>
  <si>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</si>
  <si>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</si>
  <si>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</si>
  <si>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</si>
  <si>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</si>
  <si>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</si>
  <si>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</si>
  <si>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</si>
  <si>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</si>
  <si>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</si>
  <si>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</si>
  <si>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</si>
  <si>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</si>
  <si>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</si>
  <si>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</si>
  <si>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</si>
  <si>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</si>
  <si>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</si>
  <si>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</si>
  <si>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</si>
  <si>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</si>
  <si>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</si>
  <si>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</si>
  <si>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</si>
  <si>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</si>
  <si>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</si>
  <si>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</si>
  <si>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</si>
  <si>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</si>
  <si>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</si>
  <si>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</si>
  <si>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</si>
  <si>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</si>
  <si>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</si>
  <si>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</si>
  <si>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</si>
  <si>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</si>
  <si>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</si>
  <si>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</si>
  <si>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</si>
  <si>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</si>
  <si>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</si>
  <si>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</si>
  <si>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</si>
  <si>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</si>
  <si>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</si>
  <si>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</si>
  <si>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</si>
  <si>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</si>
  <si>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</si>
  <si>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</si>
  <si>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</si>
  <si>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</si>
  <si>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</si>
  <si>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</si>
  <si>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</si>
  <si>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</si>
  <si>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</si>
  <si>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</si>
  <si>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</si>
  <si>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</si>
  <si>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</si>
  <si>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</si>
  <si>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</si>
  <si>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</si>
  <si>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</si>
  <si>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</si>
  <si>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</si>
  <si>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</si>
  <si>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</si>
  <si>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</si>
  <si>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</si>
  <si>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</si>
  <si>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</si>
  <si>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</si>
  <si>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</si>
  <si>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</si>
  <si>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</si>
  <si>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</si>
  <si>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</si>
  <si>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Total number of EDUs supported (Total Sewer EDUs)</t>
  </si>
  <si>
    <t>(3) Assumes 100% of PFIP CIP costs are financed for Supply and Peaking, 25% for Distribution, see Table 6 for financing assumptions.</t>
  </si>
  <si>
    <t>Main - one mile grid - for oversizing only, same as internal grid</t>
  </si>
  <si>
    <t>(5) City Admistrative Costs - Variable assumed to be 0% of PFF CIP costs.</t>
  </si>
  <si>
    <t>Internal</t>
  </si>
  <si>
    <t>Total Master Plan CIP (July 2010 $)</t>
  </si>
  <si>
    <t>(12) CIP costs based on July 2010 ENR (8844) were adjusted to July 2012 ENR (9324).</t>
  </si>
  <si>
    <t>See Note (12)</t>
  </si>
  <si>
    <t>Working Draft - v10</t>
  </si>
  <si>
    <t>Inflation Adjustment to 2012 $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</si>
</sst>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60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166" fontId="1" fillId="0" borderId="0" xfId="1" applyNumberFormat="1" applyFont="1" applyFill="1"/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3862500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49376.904828387487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G1" sqref="G1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8" t="s">
        <v>61</v>
      </c>
      <c r="B1" s="248"/>
      <c r="C1" s="248"/>
      <c r="D1" s="248"/>
      <c r="E1" s="248"/>
      <c r="F1" s="248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9" t="s">
        <v>137</v>
      </c>
      <c r="B3" s="249"/>
      <c r="C3" s="249"/>
      <c r="D3" s="249"/>
      <c r="E3" s="249"/>
      <c r="F3" s="249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50" t="s">
        <v>100</v>
      </c>
      <c r="D6" s="251"/>
      <c r="E6" s="251"/>
      <c r="F6" s="252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101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967.95174564319359</v>
      </c>
      <c r="D8" s="129">
        <f>'A-1.1 Water Fee Calc Sum'!$C$46*B8</f>
        <v>1489.0001183914364</v>
      </c>
      <c r="E8" s="129">
        <f>'A-1.1 Water Fee Calc Sum'!$D$46*B8</f>
        <v>640.1511898420955</v>
      </c>
      <c r="F8" s="239">
        <f t="shared" ref="F8:F15" si="0">+C8+D8+E8</f>
        <v>3097.1030538767254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1616.4794152241332</v>
      </c>
      <c r="D9" s="129">
        <f>+D$8*B9</f>
        <v>2486.6301977136986</v>
      </c>
      <c r="E9" s="129">
        <f t="shared" ref="E9:E15" si="1">+E$8*B9</f>
        <v>1069.0524870362995</v>
      </c>
      <c r="F9" s="239">
        <f t="shared" si="0"/>
        <v>5172.1620999741317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3223.2793129918346</v>
      </c>
      <c r="D10" s="129">
        <f t="shared" ref="D10:D15" si="3">+D$8*B10</f>
        <v>4958.3703942434831</v>
      </c>
      <c r="E10" s="129">
        <f t="shared" si="1"/>
        <v>2131.7034621741782</v>
      </c>
      <c r="F10" s="239">
        <f t="shared" si="0"/>
        <v>10313.353169409496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5159.1828042782217</v>
      </c>
      <c r="D11" s="129">
        <f t="shared" si="3"/>
        <v>7936.370631026356</v>
      </c>
      <c r="E11" s="129">
        <f t="shared" si="1"/>
        <v>3412.005841858369</v>
      </c>
      <c r="F11" s="239">
        <f t="shared" si="0"/>
        <v>16507.559277162945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9679.517456431935</v>
      </c>
      <c r="D12" s="129">
        <f t="shared" si="3"/>
        <v>14890.001183914364</v>
      </c>
      <c r="E12" s="129">
        <f t="shared" si="1"/>
        <v>6401.5118984209548</v>
      </c>
      <c r="F12" s="239">
        <f t="shared" si="0"/>
        <v>30971.030538767256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16135.755599872038</v>
      </c>
      <c r="D13" s="129">
        <f t="shared" si="3"/>
        <v>24821.631973585248</v>
      </c>
      <c r="E13" s="129">
        <f t="shared" si="1"/>
        <v>10671.320334667733</v>
      </c>
      <c r="F13" s="239">
        <f t="shared" si="0"/>
        <v>51628.707908125019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32261.83168228764</v>
      </c>
      <c r="D14" s="129">
        <f t="shared" si="3"/>
        <v>49628.373945986576</v>
      </c>
      <c r="E14" s="129">
        <f t="shared" si="1"/>
        <v>21336.239157437041</v>
      </c>
      <c r="F14" s="239">
        <f t="shared" si="0"/>
        <v>103226.44478571125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51620.866595151514</v>
      </c>
      <c r="D15" s="131">
        <f t="shared" si="3"/>
        <v>79408.376313815301</v>
      </c>
      <c r="E15" s="131">
        <f t="shared" si="1"/>
        <v>34139.262954278951</v>
      </c>
      <c r="F15" s="243">
        <f t="shared" si="0"/>
        <v>165168.50586324575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opLeftCell="A13" workbookViewId="0">
      <selection activeCell="D7" sqref="D7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3" t="s">
        <v>85</v>
      </c>
      <c r="B1" s="253"/>
      <c r="C1" s="253"/>
      <c r="D1" s="253"/>
      <c r="E1" s="253"/>
    </row>
    <row r="2" spans="1:5" ht="15.75" x14ac:dyDescent="0.25">
      <c r="A2" s="47"/>
      <c r="D2" s="61"/>
    </row>
    <row r="3" spans="1:5" ht="20.25" x14ac:dyDescent="0.3">
      <c r="A3" s="254" t="s">
        <v>136</v>
      </c>
      <c r="B3" s="254"/>
      <c r="C3" s="254"/>
      <c r="D3" s="254"/>
      <c r="E3" s="254"/>
    </row>
    <row r="5" spans="1:5" x14ac:dyDescent="0.2">
      <c r="A5" s="3" t="s">
        <v>95</v>
      </c>
      <c r="D5" s="31" t="s">
        <v>98</v>
      </c>
      <c r="E5" s="45" t="s">
        <v>118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247" t="s">
        <v>379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102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119</v>
      </c>
      <c r="B12" t="s">
        <v>105</v>
      </c>
      <c r="C12" s="241" t="s">
        <v>107</v>
      </c>
      <c r="D12" s="10" t="s">
        <v>110</v>
      </c>
    </row>
    <row r="13" spans="1:5" x14ac:dyDescent="0.2">
      <c r="A13" s="27" t="s">
        <v>112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106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108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109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114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103</v>
      </c>
      <c r="B21" t="s">
        <v>105</v>
      </c>
      <c r="C21" s="241" t="s">
        <v>107</v>
      </c>
      <c r="D21" s="10" t="s">
        <v>110</v>
      </c>
    </row>
    <row r="22" spans="1:5" x14ac:dyDescent="0.2">
      <c r="A22" s="27" t="s">
        <v>104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106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108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109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114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120</v>
      </c>
      <c r="B30" t="s">
        <v>105</v>
      </c>
      <c r="C30" s="241" t="s">
        <v>107</v>
      </c>
      <c r="D30" s="10" t="s">
        <v>110</v>
      </c>
    </row>
    <row r="31" spans="1:5" x14ac:dyDescent="0.2">
      <c r="A31" s="27" t="s">
        <v>113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111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108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109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117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123</v>
      </c>
      <c r="C38" s="9"/>
      <c r="D38" s="2">
        <f>0.02+0.04+0.04</f>
        <v>0.1</v>
      </c>
    </row>
    <row r="39" spans="1:4" x14ac:dyDescent="0.2">
      <c r="A39" s="85" t="s">
        <v>197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5" t="s">
        <v>142</v>
      </c>
      <c r="B3" s="255"/>
      <c r="C3" s="255"/>
      <c r="D3" s="255"/>
      <c r="E3" s="255"/>
      <c r="F3" s="255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8" t="s">
        <v>132</v>
      </c>
      <c r="B5" s="258"/>
      <c r="C5" s="258"/>
      <c r="D5" s="258"/>
      <c r="E5" s="258"/>
      <c r="F5" s="258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126</v>
      </c>
      <c r="D8" s="18">
        <v>4436000</v>
      </c>
    </row>
    <row r="9" spans="1:6" hidden="1" x14ac:dyDescent="0.2">
      <c r="A9" s="12" t="s">
        <v>127</v>
      </c>
      <c r="B9" s="2"/>
      <c r="D9" s="48">
        <v>5026000</v>
      </c>
    </row>
    <row r="10" spans="1:6" hidden="1" x14ac:dyDescent="0.2">
      <c r="A10" s="59" t="s">
        <v>135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128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125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134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7" t="s">
        <v>133</v>
      </c>
      <c r="B19" s="257"/>
      <c r="C19" s="257"/>
      <c r="D19" s="257"/>
      <c r="E19" s="257"/>
    </row>
    <row r="20" spans="1:6" hidden="1" x14ac:dyDescent="0.2"/>
    <row r="22" spans="1:6" x14ac:dyDescent="0.2">
      <c r="E22" s="20"/>
    </row>
    <row r="23" spans="1:6" ht="15.75" x14ac:dyDescent="0.25">
      <c r="A23" s="255" t="s">
        <v>142</v>
      </c>
      <c r="B23" s="255"/>
      <c r="C23" s="255"/>
      <c r="D23" s="255"/>
      <c r="E23" s="255"/>
      <c r="F23" s="255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8" t="s">
        <v>212</v>
      </c>
      <c r="B25" s="258"/>
      <c r="C25" s="258"/>
      <c r="D25" s="258"/>
      <c r="E25" s="258"/>
      <c r="F25" s="258"/>
    </row>
    <row r="27" spans="1:6" x14ac:dyDescent="0.2">
      <c r="B27" s="45" t="s">
        <v>93</v>
      </c>
      <c r="C27" s="45" t="s">
        <v>146</v>
      </c>
      <c r="D27" s="45" t="s">
        <v>144</v>
      </c>
      <c r="E27" s="45"/>
      <c r="F27" s="45"/>
    </row>
    <row r="28" spans="1:6" x14ac:dyDescent="0.2">
      <c r="A28" s="3" t="s">
        <v>143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145</v>
      </c>
    </row>
    <row r="30" spans="1:6" x14ac:dyDescent="0.2">
      <c r="A30" s="52" t="s">
        <v>195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147</v>
      </c>
    </row>
    <row r="32" spans="1:6" x14ac:dyDescent="0.2">
      <c r="A32" s="52" t="s">
        <v>182</v>
      </c>
      <c r="B32" s="18">
        <v>175000</v>
      </c>
      <c r="C32" s="88" t="s">
        <v>183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185</v>
      </c>
      <c r="B33" s="18">
        <v>150000</v>
      </c>
      <c r="C33" s="10" t="s">
        <v>184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186</v>
      </c>
      <c r="D34" s="18">
        <v>10000</v>
      </c>
      <c r="F34" s="19">
        <f>+D34</f>
        <v>10000</v>
      </c>
    </row>
    <row r="35" spans="1:6" x14ac:dyDescent="0.2">
      <c r="A35" s="52" t="s">
        <v>148</v>
      </c>
      <c r="D35" s="48">
        <v>5000</v>
      </c>
      <c r="F35" s="22">
        <f>+D35</f>
        <v>5000</v>
      </c>
    </row>
    <row r="37" spans="1:6" x14ac:dyDescent="0.2">
      <c r="B37" s="52" t="s">
        <v>149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150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151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196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213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214</v>
      </c>
      <c r="B50" s="93"/>
      <c r="C50" s="93"/>
      <c r="D50" s="93"/>
    </row>
    <row r="51" spans="1:4" x14ac:dyDescent="0.2">
      <c r="A51" s="12" t="s">
        <v>187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188</v>
      </c>
      <c r="B52" s="20"/>
      <c r="C52" s="20">
        <v>7898</v>
      </c>
      <c r="D52" s="20">
        <v>3361</v>
      </c>
    </row>
    <row r="53" spans="1:4" x14ac:dyDescent="0.2">
      <c r="A53" s="12" t="s">
        <v>189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190</v>
      </c>
      <c r="B54" s="20">
        <v>6047</v>
      </c>
      <c r="C54" s="20"/>
      <c r="D54" s="20">
        <v>1820</v>
      </c>
    </row>
    <row r="55" spans="1:4" x14ac:dyDescent="0.2">
      <c r="A55" s="12" t="s">
        <v>191</v>
      </c>
      <c r="B55" s="20"/>
      <c r="C55" s="20"/>
      <c r="D55" s="20">
        <v>211</v>
      </c>
    </row>
    <row r="56" spans="1:4" x14ac:dyDescent="0.2">
      <c r="A56" s="12" t="s">
        <v>192</v>
      </c>
      <c r="B56" s="20"/>
      <c r="C56" s="20"/>
      <c r="D56" s="20"/>
    </row>
    <row r="57" spans="1:4" x14ac:dyDescent="0.2">
      <c r="A57" s="12" t="s">
        <v>193</v>
      </c>
      <c r="B57" s="20"/>
      <c r="C57" s="20">
        <v>760</v>
      </c>
      <c r="D57" s="20"/>
    </row>
    <row r="58" spans="1:4" x14ac:dyDescent="0.2">
      <c r="A58" s="12" t="s">
        <v>194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215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" sqref="B1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367</v>
      </c>
      <c r="B1" s="178" t="str">
        <f>'A-1.1 Water Fee Calc Sum'!$G$1</f>
        <v>Internal</v>
      </c>
      <c r="C1" s="179"/>
      <c r="G1" s="181"/>
    </row>
    <row r="2" spans="1:7" x14ac:dyDescent="0.25">
      <c r="A2" s="70" t="s">
        <v>248</v>
      </c>
      <c r="B2" s="182" t="str">
        <f>'A-1.1 Water Fee Calc Sum'!$G$2</f>
        <v>Working Draft - v10</v>
      </c>
      <c r="C2" s="179"/>
      <c r="G2" s="181"/>
    </row>
    <row r="3" spans="1:7" x14ac:dyDescent="0.25">
      <c r="A3" s="70" t="s">
        <v>344</v>
      </c>
      <c r="B3" s="183">
        <f>'A-1.1 Water Fee Calc Sum'!$G$3</f>
        <v>41306</v>
      </c>
      <c r="C3" s="179"/>
      <c r="G3" s="181"/>
    </row>
    <row r="4" spans="1:7" x14ac:dyDescent="0.25">
      <c r="A4" s="70" t="s">
        <v>283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251</v>
      </c>
      <c r="B9" s="187" t="s">
        <v>105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284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285</v>
      </c>
      <c r="B12" s="191">
        <v>30</v>
      </c>
      <c r="C12" s="179"/>
      <c r="G12" s="181"/>
    </row>
    <row r="13" spans="1:7" x14ac:dyDescent="0.25">
      <c r="A13" s="179" t="s">
        <v>286</v>
      </c>
      <c r="B13" s="191">
        <v>1</v>
      </c>
      <c r="C13" s="179"/>
      <c r="G13" s="181"/>
    </row>
    <row r="14" spans="1:7" x14ac:dyDescent="0.25">
      <c r="A14" s="179" t="s">
        <v>287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288</v>
      </c>
      <c r="B15" s="192">
        <f>(-PMT(B11/B13,B12*B13,B34,0))*B13</f>
        <v>159910.18983890966</v>
      </c>
      <c r="C15" s="195"/>
      <c r="D15" s="194"/>
      <c r="E15" s="194"/>
      <c r="F15" s="194"/>
      <c r="G15" s="181"/>
    </row>
    <row r="16" spans="1:7" x14ac:dyDescent="0.25">
      <c r="A16" s="179" t="s">
        <v>289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290</v>
      </c>
      <c r="B20" s="195">
        <f>'A-1.1 Water Fee Calc Sum'!B42</f>
        <v>3581421.4588798163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291</v>
      </c>
      <c r="B22" s="195">
        <f>SUM(B20:B20)</f>
        <v>3581421.4588798163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292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293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294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295</v>
      </c>
      <c r="B27" s="195">
        <f>B64+$B$34*C64</f>
        <v>0</v>
      </c>
      <c r="C27" s="179"/>
      <c r="G27" s="181"/>
    </row>
    <row r="28" spans="1:7" hidden="1" x14ac:dyDescent="0.25">
      <c r="A28" s="179" t="s">
        <v>296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297</v>
      </c>
      <c r="B29" s="195">
        <f>B66+$B$34*C66</f>
        <v>0</v>
      </c>
      <c r="C29" s="201"/>
      <c r="G29" s="181"/>
    </row>
    <row r="30" spans="1:7" hidden="1" x14ac:dyDescent="0.25">
      <c r="A30" s="179" t="s">
        <v>298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299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300</v>
      </c>
      <c r="B34" s="195">
        <f>(+B22+B73)/(1-C73)</f>
        <v>3581421.4588798163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301</v>
      </c>
      <c r="B36" s="195">
        <f>B22+B32</f>
        <v>3581421.4588798163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302</v>
      </c>
      <c r="B38" s="195">
        <f>IF(MOD(B34,5000)&gt;0,TRUNC(B34/5000)*5000+5000,B34)</f>
        <v>3585000</v>
      </c>
      <c r="C38" s="195"/>
      <c r="G38" s="181"/>
    </row>
    <row r="39" spans="1:7" x14ac:dyDescent="0.25">
      <c r="A39" s="188" t="s">
        <v>303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304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305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306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307</v>
      </c>
    </row>
    <row r="51" spans="1:4" hidden="1" x14ac:dyDescent="0.25"/>
    <row r="52" spans="1:4" hidden="1" x14ac:dyDescent="0.25">
      <c r="A52" s="180" t="s">
        <v>308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309</v>
      </c>
      <c r="C59" s="209" t="s">
        <v>310</v>
      </c>
      <c r="D59" s="210"/>
    </row>
    <row r="60" spans="1:4" hidden="1" x14ac:dyDescent="0.25">
      <c r="A60" s="211" t="s">
        <v>92</v>
      </c>
      <c r="B60" s="211" t="s">
        <v>311</v>
      </c>
      <c r="C60" s="211" t="s">
        <v>311</v>
      </c>
      <c r="D60" s="211" t="s">
        <v>312</v>
      </c>
    </row>
    <row r="61" spans="1:4" hidden="1" x14ac:dyDescent="0.25"/>
    <row r="62" spans="1:4" hidden="1" x14ac:dyDescent="0.25">
      <c r="A62" s="180" t="s">
        <v>313</v>
      </c>
      <c r="B62" s="212">
        <v>0</v>
      </c>
      <c r="C62" s="213">
        <v>0</v>
      </c>
      <c r="D62" s="180" t="s">
        <v>314</v>
      </c>
    </row>
    <row r="63" spans="1:4" hidden="1" x14ac:dyDescent="0.25">
      <c r="A63" s="180" t="s">
        <v>315</v>
      </c>
      <c r="B63" s="212">
        <v>0</v>
      </c>
      <c r="C63" s="214">
        <v>0</v>
      </c>
      <c r="D63" s="180" t="s">
        <v>316</v>
      </c>
    </row>
    <row r="64" spans="1:4" hidden="1" x14ac:dyDescent="0.25">
      <c r="A64" s="180" t="s">
        <v>317</v>
      </c>
      <c r="B64" s="212">
        <v>0</v>
      </c>
      <c r="C64" s="214">
        <v>0</v>
      </c>
    </row>
    <row r="65" spans="1:6" hidden="1" x14ac:dyDescent="0.25">
      <c r="A65" s="180" t="s">
        <v>318</v>
      </c>
      <c r="B65" s="215">
        <v>0</v>
      </c>
      <c r="C65" s="214">
        <v>0</v>
      </c>
      <c r="D65" s="180" t="s">
        <v>319</v>
      </c>
    </row>
    <row r="66" spans="1:6" hidden="1" x14ac:dyDescent="0.25">
      <c r="A66" s="180" t="s">
        <v>320</v>
      </c>
      <c r="B66" s="216">
        <v>0</v>
      </c>
      <c r="C66" s="216">
        <v>0</v>
      </c>
    </row>
    <row r="67" spans="1:6" hidden="1" x14ac:dyDescent="0.25">
      <c r="A67" s="180" t="s">
        <v>321</v>
      </c>
      <c r="B67" s="194"/>
      <c r="C67" s="217"/>
    </row>
    <row r="68" spans="1:6" hidden="1" x14ac:dyDescent="0.25">
      <c r="A68" s="180" t="s">
        <v>322</v>
      </c>
      <c r="B68" s="215">
        <v>0</v>
      </c>
      <c r="C68" s="216">
        <v>0</v>
      </c>
    </row>
    <row r="69" spans="1:6" hidden="1" x14ac:dyDescent="0.25">
      <c r="A69" s="180" t="s">
        <v>323</v>
      </c>
      <c r="B69" s="215">
        <v>0</v>
      </c>
      <c r="C69" s="216">
        <v>0</v>
      </c>
    </row>
    <row r="70" spans="1:6" hidden="1" x14ac:dyDescent="0.25">
      <c r="A70" s="180" t="s">
        <v>324</v>
      </c>
      <c r="B70" s="215">
        <v>0</v>
      </c>
      <c r="C70" s="216">
        <v>0</v>
      </c>
    </row>
    <row r="71" spans="1:6" hidden="1" x14ac:dyDescent="0.25">
      <c r="A71" s="180" t="s">
        <v>325</v>
      </c>
      <c r="B71" s="218">
        <f>0.1*(B68+B69+B70)</f>
        <v>0</v>
      </c>
      <c r="C71" s="214">
        <v>0</v>
      </c>
    </row>
    <row r="72" spans="1:6" hidden="1" x14ac:dyDescent="0.25">
      <c r="B72" s="219" t="s">
        <v>326</v>
      </c>
      <c r="C72" s="219" t="s">
        <v>326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327</v>
      </c>
      <c r="B76" s="194">
        <f>B22</f>
        <v>3581421.4588798163</v>
      </c>
      <c r="C76" s="223">
        <f>B76/$B$79</f>
        <v>1</v>
      </c>
      <c r="F76" s="197"/>
    </row>
    <row r="77" spans="1:6" hidden="1" x14ac:dyDescent="0.25">
      <c r="A77" s="180" t="s">
        <v>328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329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330</v>
      </c>
      <c r="B79" s="222">
        <f>SUM(B76:B78)</f>
        <v>3581421.4588798163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273</v>
      </c>
      <c r="D82" s="197"/>
    </row>
    <row r="83" spans="1:6" hidden="1" x14ac:dyDescent="0.25">
      <c r="A83" s="180" t="s">
        <v>331</v>
      </c>
    </row>
    <row r="84" spans="1:6" hidden="1" x14ac:dyDescent="0.25">
      <c r="A84" s="180" t="s">
        <v>332</v>
      </c>
    </row>
    <row r="85" spans="1:6" hidden="1" x14ac:dyDescent="0.25">
      <c r="F85" s="197"/>
    </row>
    <row r="86" spans="1:6" hidden="1" x14ac:dyDescent="0.25">
      <c r="A86" s="210"/>
      <c r="C86" s="228" t="s">
        <v>333</v>
      </c>
      <c r="D86" s="229"/>
    </row>
    <row r="87" spans="1:6" hidden="1" x14ac:dyDescent="0.25">
      <c r="A87" s="209"/>
      <c r="B87" s="181" t="s">
        <v>334</v>
      </c>
      <c r="C87" s="209" t="s">
        <v>309</v>
      </c>
      <c r="D87" s="209" t="s">
        <v>335</v>
      </c>
    </row>
    <row r="88" spans="1:6" hidden="1" x14ac:dyDescent="0.25">
      <c r="A88" s="211" t="s">
        <v>336</v>
      </c>
      <c r="B88" s="230" t="s">
        <v>337</v>
      </c>
      <c r="C88" s="211" t="s">
        <v>311</v>
      </c>
      <c r="D88" s="211" t="s">
        <v>311</v>
      </c>
    </row>
    <row r="89" spans="1:6" hidden="1" x14ac:dyDescent="0.25"/>
    <row r="90" spans="1:6" hidden="1" x14ac:dyDescent="0.25">
      <c r="A90" s="210" t="s">
        <v>338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339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340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341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342</v>
      </c>
    </row>
    <row r="96" spans="1:6" hidden="1" x14ac:dyDescent="0.25">
      <c r="A96" s="180" t="s">
        <v>343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3" t="s">
        <v>152</v>
      </c>
      <c r="B2" s="253"/>
      <c r="C2" s="253"/>
      <c r="D2" s="253"/>
      <c r="E2" s="253"/>
      <c r="F2" s="253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177</v>
      </c>
      <c r="F4" s="91">
        <v>-2176761.0499999998</v>
      </c>
      <c r="G4" s="70" t="s">
        <v>361</v>
      </c>
    </row>
    <row r="5" spans="1:7" x14ac:dyDescent="0.2">
      <c r="A5" s="70" t="s">
        <v>180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198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175</v>
      </c>
      <c r="F7" s="72">
        <f>+F45</f>
        <v>1794</v>
      </c>
    </row>
    <row r="8" spans="1:7" x14ac:dyDescent="0.2">
      <c r="A8" s="70" t="s">
        <v>174</v>
      </c>
      <c r="F8" s="78">
        <v>1340</v>
      </c>
    </row>
    <row r="9" spans="1:7" ht="15.75" thickBot="1" x14ac:dyDescent="0.25">
      <c r="A9" s="70" t="s">
        <v>176</v>
      </c>
      <c r="F9" s="78">
        <f>+F7*F8</f>
        <v>2403960</v>
      </c>
    </row>
    <row r="10" spans="1:7" ht="16.5" thickBot="1" x14ac:dyDescent="0.3">
      <c r="A10" s="70" t="s">
        <v>211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171</v>
      </c>
      <c r="E12" s="77" t="s">
        <v>173</v>
      </c>
      <c r="F12" s="77" t="s">
        <v>170</v>
      </c>
    </row>
    <row r="13" spans="1:7" x14ac:dyDescent="0.2">
      <c r="B13" s="70" t="s">
        <v>168</v>
      </c>
      <c r="C13" s="77" t="s">
        <v>172</v>
      </c>
      <c r="D13" s="77" t="s">
        <v>199</v>
      </c>
      <c r="E13" s="77" t="s">
        <v>201</v>
      </c>
      <c r="F13" s="77" t="s">
        <v>209</v>
      </c>
    </row>
    <row r="14" spans="1:7" x14ac:dyDescent="0.2">
      <c r="A14" s="73"/>
      <c r="B14" s="73" t="s">
        <v>169</v>
      </c>
      <c r="C14" s="76" t="s">
        <v>170</v>
      </c>
      <c r="D14" s="76" t="s">
        <v>200</v>
      </c>
      <c r="E14" s="76" t="s">
        <v>202</v>
      </c>
      <c r="F14" s="76" t="s">
        <v>210</v>
      </c>
    </row>
    <row r="15" spans="1:7" ht="15.75" x14ac:dyDescent="0.25">
      <c r="A15" s="98" t="s">
        <v>179</v>
      </c>
      <c r="B15" s="81"/>
      <c r="C15" s="80"/>
      <c r="D15" s="80"/>
      <c r="E15" s="81"/>
      <c r="F15" s="80"/>
    </row>
    <row r="16" spans="1:7" x14ac:dyDescent="0.2">
      <c r="A16" s="70" t="s">
        <v>203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204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205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206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207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208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164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178</v>
      </c>
      <c r="B24" s="81"/>
      <c r="C24" s="80"/>
      <c r="D24" s="80"/>
      <c r="E24" s="81"/>
      <c r="F24" s="80"/>
    </row>
    <row r="25" spans="1:6" x14ac:dyDescent="0.2">
      <c r="A25" s="82" t="s">
        <v>165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155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163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164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160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157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158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162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153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154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166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156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159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161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218</v>
      </c>
    </row>
    <row r="41" spans="1:6" x14ac:dyDescent="0.2">
      <c r="A41" s="70" t="s">
        <v>217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167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219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216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J16" sqref="J16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228</v>
      </c>
      <c r="D1" s="132">
        <f>PMT(0.05,30,C4)</f>
        <v>-253700.59681307865</v>
      </c>
      <c r="E1" s="2">
        <v>0.05</v>
      </c>
      <c r="F1" s="52" t="s">
        <v>234</v>
      </c>
      <c r="H1" s="79" t="s">
        <v>229</v>
      </c>
      <c r="J1" s="132">
        <f>PMT(0.05,20,I4)</f>
        <v>-312946.09004369611</v>
      </c>
      <c r="K1" s="2">
        <v>0.05</v>
      </c>
    </row>
    <row r="2" spans="2:17" x14ac:dyDescent="0.2">
      <c r="C2" s="52" t="s">
        <v>236</v>
      </c>
      <c r="D2" s="18">
        <f>+'A-6 Peaking Summary old'!E12</f>
        <v>810</v>
      </c>
      <c r="F2" s="52" t="s">
        <v>235</v>
      </c>
      <c r="M2"/>
      <c r="N2"/>
      <c r="O2"/>
      <c r="P2"/>
      <c r="Q2"/>
    </row>
    <row r="3" spans="2:17" x14ac:dyDescent="0.2">
      <c r="B3" s="52" t="s">
        <v>225</v>
      </c>
      <c r="C3" s="10" t="s">
        <v>223</v>
      </c>
      <c r="D3" s="10" t="s">
        <v>222</v>
      </c>
      <c r="E3" s="52" t="s">
        <v>224</v>
      </c>
      <c r="H3" s="52" t="s">
        <v>225</v>
      </c>
      <c r="I3" s="10" t="s">
        <v>223</v>
      </c>
      <c r="J3" s="10" t="s">
        <v>222</v>
      </c>
      <c r="K3" s="52" t="s">
        <v>224</v>
      </c>
      <c r="M3" s="134"/>
      <c r="N3" s="135"/>
      <c r="O3" s="135"/>
      <c r="P3" s="136" t="s">
        <v>231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227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233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226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232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101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237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238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239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3"/>
  <sheetViews>
    <sheetView tabSelected="1" zoomScaleNormal="100" workbookViewId="0">
      <pane xSplit="1" ySplit="10" topLeftCell="B11" activePane="bottomRight" state="frozen"/>
      <selection activeCell="G1" sqref="G1"/>
      <selection pane="topRight" activeCell="G1" sqref="G1"/>
      <selection pane="bottomLeft" activeCell="G1" sqref="G1"/>
      <selection pane="bottomRight" activeCell="A22" sqref="A22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375</v>
      </c>
      <c r="B1" s="79"/>
      <c r="C1" s="79"/>
      <c r="D1" s="79"/>
      <c r="E1" s="79"/>
      <c r="F1" s="79"/>
      <c r="G1" s="153" t="s">
        <v>381</v>
      </c>
      <c r="H1" s="79"/>
      <c r="I1" s="79"/>
      <c r="J1" s="79"/>
    </row>
    <row r="2" spans="1:10" x14ac:dyDescent="0.2">
      <c r="A2" s="79" t="s">
        <v>248</v>
      </c>
      <c r="B2" s="79"/>
      <c r="C2" s="79"/>
      <c r="D2" s="79"/>
      <c r="E2" s="79"/>
      <c r="F2" s="79"/>
      <c r="G2" s="154" t="s">
        <v>385</v>
      </c>
      <c r="H2" s="79"/>
      <c r="I2" s="79"/>
      <c r="J2" s="79"/>
    </row>
    <row r="3" spans="1:10" x14ac:dyDescent="0.2">
      <c r="A3" s="79" t="s">
        <v>275</v>
      </c>
      <c r="B3" s="79"/>
      <c r="C3" s="79"/>
      <c r="D3" s="79"/>
      <c r="E3" s="79"/>
      <c r="F3" s="79"/>
      <c r="G3" s="155">
        <v>41306</v>
      </c>
      <c r="H3" s="79"/>
      <c r="I3" s="79"/>
      <c r="J3" s="79"/>
    </row>
    <row r="4" spans="1:10" x14ac:dyDescent="0.2">
      <c r="A4" s="79" t="s">
        <v>355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276</v>
      </c>
      <c r="C8" s="88" t="s">
        <v>279</v>
      </c>
      <c r="D8" s="88" t="s">
        <v>281</v>
      </c>
      <c r="E8" s="88" t="s">
        <v>249</v>
      </c>
      <c r="F8" s="88"/>
      <c r="G8" s="79"/>
      <c r="H8" s="79"/>
      <c r="I8" s="79"/>
      <c r="J8" s="79"/>
    </row>
    <row r="9" spans="1:10" x14ac:dyDescent="0.2">
      <c r="A9" s="79"/>
      <c r="B9" s="88" t="s">
        <v>277</v>
      </c>
      <c r="C9" s="88" t="s">
        <v>280</v>
      </c>
      <c r="D9" s="88" t="s">
        <v>282</v>
      </c>
      <c r="E9" s="88" t="s">
        <v>249</v>
      </c>
      <c r="F9" s="88"/>
      <c r="G9" s="88" t="s">
        <v>250</v>
      </c>
      <c r="H9" s="79"/>
      <c r="I9" s="79"/>
      <c r="J9" s="79"/>
    </row>
    <row r="10" spans="1:10" x14ac:dyDescent="0.2">
      <c r="A10" s="133" t="s">
        <v>251</v>
      </c>
      <c r="B10" s="156" t="s">
        <v>278</v>
      </c>
      <c r="C10" s="156" t="s">
        <v>278</v>
      </c>
      <c r="D10" s="156" t="s">
        <v>278</v>
      </c>
      <c r="E10" s="156" t="s">
        <v>249</v>
      </c>
      <c r="F10" s="156" t="s">
        <v>252</v>
      </c>
      <c r="G10" s="156" t="s">
        <v>253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254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255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256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257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20888999.999814391</v>
      </c>
      <c r="E15" s="161">
        <v>0</v>
      </c>
      <c r="F15" s="161">
        <f>SUM(B15:E15)</f>
        <v>25316999.999814391</v>
      </c>
      <c r="G15" s="79"/>
      <c r="H15" s="79"/>
      <c r="I15" s="79"/>
      <c r="J15" s="79"/>
    </row>
    <row r="16" spans="1:10" x14ac:dyDescent="0.2">
      <c r="A16" s="159" t="s">
        <v>382</v>
      </c>
      <c r="B16" s="162">
        <f>SUM(B14:B15)</f>
        <v>1950000</v>
      </c>
      <c r="C16" s="162">
        <f>SUM(C14:C15)</f>
        <v>2478000</v>
      </c>
      <c r="D16" s="162">
        <f>SUM(D14:D15)</f>
        <v>20888999.999814391</v>
      </c>
      <c r="E16" s="162">
        <f>SUM(E14:E15)</f>
        <v>0</v>
      </c>
      <c r="F16" s="160">
        <f>SUM(B16:E16)</f>
        <v>25316999.999814391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346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258</v>
      </c>
      <c r="H18" s="79"/>
      <c r="I18" s="79"/>
      <c r="J18" s="79"/>
    </row>
    <row r="19" spans="1:10" x14ac:dyDescent="0.2">
      <c r="A19" s="164" t="s">
        <v>347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2.2356519334998205E-2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386</v>
      </c>
      <c r="B21" s="259">
        <f>((9324/8844)-1)*(B18+B16)</f>
        <v>121736.77069199452</v>
      </c>
      <c r="C21" s="259">
        <f t="shared" ref="C21:E21" si="2">((9324/8844)-1)*(C18+C16)</f>
        <v>149308.00542740835</v>
      </c>
      <c r="D21" s="259">
        <f t="shared" si="2"/>
        <v>1133731.3432735079</v>
      </c>
      <c r="E21" s="259">
        <f t="shared" si="2"/>
        <v>0</v>
      </c>
      <c r="F21" s="167">
        <f>SUM(B21:E21)</f>
        <v>1404776.1193929107</v>
      </c>
      <c r="G21" s="79" t="s">
        <v>384</v>
      </c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259</v>
      </c>
      <c r="B24" s="166">
        <f>B16+B21+B18</f>
        <v>2364736.7706919946</v>
      </c>
      <c r="C24" s="166">
        <f>C16+C21+C18</f>
        <v>2900308.0054274085</v>
      </c>
      <c r="D24" s="166">
        <f>D16+D21+D18</f>
        <v>22022731.3430879</v>
      </c>
      <c r="E24" s="166">
        <f>E16+E21+E18</f>
        <v>0</v>
      </c>
      <c r="F24" s="167">
        <f>SUM(B24:E24)</f>
        <v>27287776.119207304</v>
      </c>
      <c r="G24" s="79"/>
      <c r="H24" s="79"/>
      <c r="I24" s="79"/>
      <c r="J24" s="79"/>
    </row>
    <row r="25" spans="1:10" x14ac:dyDescent="0.2">
      <c r="A25" s="159" t="s">
        <v>260</v>
      </c>
      <c r="B25" s="169">
        <f>B24/$F$24</f>
        <v>8.6659197157056167E-2</v>
      </c>
      <c r="C25" s="169">
        <f>C24/$F$24</f>
        <v>0.1062859792149182</v>
      </c>
      <c r="D25" s="169">
        <f>D24/$F$24</f>
        <v>0.80705482362802561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261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259</v>
      </c>
      <c r="B28" s="170">
        <f>B24/1000*'A-9 Finance Assumptions'!$B$16*'A-9 Finance Assumptions'!$B$12</f>
        <v>802822.62098051142</v>
      </c>
      <c r="C28" s="170">
        <f>C24/1000*'A-9 Finance Assumptions'!$B$16*'A-9 Finance Assumptions'!$B$12</f>
        <v>984647.80665064091</v>
      </c>
      <c r="D28" s="170">
        <f>((D24*0.25)/1000)*'A-9 Finance Assumptions'!$B$16*'A-9 Finance Assumptions'!$B$12</f>
        <v>1869166.4879082586</v>
      </c>
      <c r="E28" s="170">
        <f>E24/1000*'A-9 Finance Assumptions'!$B$16*'A-9 Finance Assumptions'!$B$12</f>
        <v>0</v>
      </c>
      <c r="F28" s="161">
        <f>SUM(B28:E28)</f>
        <v>3656636.9155394109</v>
      </c>
      <c r="G28" s="79" t="s">
        <v>262</v>
      </c>
      <c r="H28" s="79"/>
      <c r="I28" s="79"/>
      <c r="J28" s="79"/>
    </row>
    <row r="29" spans="1:10" x14ac:dyDescent="0.2">
      <c r="A29" s="159" t="s">
        <v>263</v>
      </c>
      <c r="B29" s="162">
        <f t="shared" ref="B29:E29" si="3">SUM(B28:B28)</f>
        <v>802822.62098051142</v>
      </c>
      <c r="C29" s="162">
        <f t="shared" si="3"/>
        <v>984647.80665064091</v>
      </c>
      <c r="D29" s="162">
        <f t="shared" si="3"/>
        <v>1869166.4879082586</v>
      </c>
      <c r="E29" s="162">
        <f t="shared" si="3"/>
        <v>0</v>
      </c>
      <c r="F29" s="160">
        <f>SUM(B29:E29)</f>
        <v>3656636.9155394109</v>
      </c>
      <c r="G29" s="163"/>
      <c r="H29" s="79"/>
      <c r="I29" s="79"/>
      <c r="J29" s="79"/>
    </row>
    <row r="30" spans="1:10" x14ac:dyDescent="0.2">
      <c r="A30" s="159" t="s">
        <v>264</v>
      </c>
      <c r="B30" s="169">
        <f>IF(B24&gt;0,B29/B24,0)</f>
        <v>0.33949766880208865</v>
      </c>
      <c r="C30" s="169">
        <f t="shared" ref="C30:F30" si="4">IF(C24&gt;0,C29/C24,0)</f>
        <v>0.33949766880208876</v>
      </c>
      <c r="D30" s="169">
        <f t="shared" si="4"/>
        <v>8.4874417200522176E-2</v>
      </c>
      <c r="E30" s="169">
        <f t="shared" si="4"/>
        <v>0</v>
      </c>
      <c r="F30" s="169">
        <f t="shared" si="4"/>
        <v>0.13400274538919202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265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364</v>
      </c>
      <c r="B33" s="171">
        <v>0</v>
      </c>
      <c r="C33" s="171">
        <v>0</v>
      </c>
      <c r="D33" s="171">
        <f>'[1]Sum 1. City Admin Costs Summary'!$E$30</f>
        <v>3862500</v>
      </c>
      <c r="E33" s="171">
        <v>0</v>
      </c>
      <c r="F33" s="171">
        <f t="shared" ref="F33" si="5">SUM(B33:E33)</f>
        <v>3862500</v>
      </c>
      <c r="G33" s="79"/>
      <c r="H33" s="79"/>
      <c r="I33" s="79"/>
      <c r="J33" s="79"/>
    </row>
    <row r="34" spans="1:10" x14ac:dyDescent="0.2">
      <c r="A34" s="159" t="s">
        <v>362</v>
      </c>
      <c r="B34" s="172">
        <f>B24*0</f>
        <v>0</v>
      </c>
      <c r="C34" s="172">
        <f>C24*0</f>
        <v>0</v>
      </c>
      <c r="D34" s="172">
        <f>D24*0</f>
        <v>0</v>
      </c>
      <c r="E34" s="172">
        <f>E24*0.02</f>
        <v>0</v>
      </c>
      <c r="F34" s="161">
        <f>SUM(B34:E34)</f>
        <v>0</v>
      </c>
      <c r="G34" s="79" t="s">
        <v>352</v>
      </c>
      <c r="H34" s="79"/>
      <c r="I34" s="79"/>
      <c r="J34" s="79"/>
    </row>
    <row r="35" spans="1:10" x14ac:dyDescent="0.2">
      <c r="A35" s="79" t="s">
        <v>266</v>
      </c>
      <c r="B35" s="171">
        <f>SUM(B32:B34)</f>
        <v>0</v>
      </c>
      <c r="C35" s="171">
        <f>SUM(C32:C34)</f>
        <v>0</v>
      </c>
      <c r="D35" s="171">
        <f>SUM(D32:D34)</f>
        <v>3862500</v>
      </c>
      <c r="E35" s="171">
        <f>SUM(E32:E34)</f>
        <v>0</v>
      </c>
      <c r="F35" s="171">
        <f>SUM(F32:F34)</f>
        <v>3862500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267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268</v>
      </c>
      <c r="B38" s="245">
        <f>(B24/$F$24)*$F$38</f>
        <v>-413862.06720731052</v>
      </c>
      <c r="C38" s="245">
        <f t="shared" ref="C38:D38" si="6">(C24/$F$24)*$F$38</f>
        <v>-507594.53717668797</v>
      </c>
      <c r="D38" s="245">
        <f t="shared" si="6"/>
        <v>-3854286.5456160018</v>
      </c>
      <c r="E38" s="245">
        <v>0</v>
      </c>
      <c r="F38" s="246">
        <v>-4775743.1500000004</v>
      </c>
      <c r="G38" s="79" t="s">
        <v>368</v>
      </c>
      <c r="H38" s="79"/>
      <c r="I38" s="79"/>
      <c r="J38" s="79"/>
    </row>
    <row r="39" spans="1:10" x14ac:dyDescent="0.2">
      <c r="A39" s="79" t="s">
        <v>269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270</v>
      </c>
      <c r="B40" s="171">
        <f t="shared" ref="B40:F40" si="7">SUM(B37:B39)</f>
        <v>-413862.06720731052</v>
      </c>
      <c r="C40" s="171">
        <f t="shared" si="7"/>
        <v>-507594.53717668797</v>
      </c>
      <c r="D40" s="171">
        <f t="shared" si="7"/>
        <v>-3854286.5456160018</v>
      </c>
      <c r="E40" s="171">
        <f t="shared" si="7"/>
        <v>0</v>
      </c>
      <c r="F40" s="171">
        <f t="shared" si="7"/>
        <v>-4775743.1500000004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271</v>
      </c>
      <c r="B42" s="175">
        <f>B24+B35+B29-B40</f>
        <v>3581421.4588798163</v>
      </c>
      <c r="C42" s="175">
        <f>C24+C35+C29-C40</f>
        <v>4392550.3492547376</v>
      </c>
      <c r="D42" s="175">
        <f>D24+D35+D29-D40</f>
        <v>31608684.37661216</v>
      </c>
      <c r="E42" s="175">
        <f>E24+E35+E29-E40</f>
        <v>0</v>
      </c>
      <c r="F42" s="175">
        <f>F24+F35+F29-F40</f>
        <v>39582656.184746712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345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49376.904828387487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272</v>
      </c>
      <c r="B46" s="176">
        <f>IF(OR(B42=0,B44&lt;0),0,(B42/B44))</f>
        <v>967.95174564319359</v>
      </c>
      <c r="C46" s="176">
        <f>IF(OR(C42=0,C44&lt;0),0,(C42/C44))</f>
        <v>1489.0001183914364</v>
      </c>
      <c r="D46" s="176">
        <f t="shared" ref="D46:E46" si="8">IF(OR(D42=0,D44&lt;0),0,(D42/D44))</f>
        <v>640.1511898420955</v>
      </c>
      <c r="E46" s="176">
        <f t="shared" si="8"/>
        <v>0</v>
      </c>
      <c r="F46" s="79"/>
      <c r="G46" s="79" t="s">
        <v>376</v>
      </c>
      <c r="H46" s="79"/>
      <c r="I46" s="79"/>
      <c r="J46" s="79"/>
    </row>
    <row r="47" spans="1:10" x14ac:dyDescent="0.2">
      <c r="A47" s="79"/>
      <c r="B47" s="88" t="s">
        <v>354</v>
      </c>
      <c r="C47" s="79"/>
      <c r="D47" s="88" t="s">
        <v>353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273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351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274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378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370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380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358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363</v>
      </c>
    </row>
    <row r="59" spans="1:10" x14ac:dyDescent="0.2">
      <c r="A59" s="79" t="s">
        <v>365</v>
      </c>
    </row>
    <row r="60" spans="1:10" x14ac:dyDescent="0.2">
      <c r="A60" s="79" t="s">
        <v>372</v>
      </c>
    </row>
    <row r="61" spans="1:10" x14ac:dyDescent="0.2">
      <c r="A61" s="79" t="s">
        <v>371</v>
      </c>
    </row>
    <row r="62" spans="1:10" x14ac:dyDescent="0.2">
      <c r="A62" s="79" t="s">
        <v>369</v>
      </c>
    </row>
    <row r="63" spans="1:10" x14ac:dyDescent="0.2">
      <c r="A63" s="79" t="s">
        <v>383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G1" sqref="G1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3" t="s">
        <v>62</v>
      </c>
      <c r="B1" s="253"/>
      <c r="C1" s="253"/>
    </row>
    <row r="2" spans="1:4" ht="15.75" x14ac:dyDescent="0.25">
      <c r="A2" s="11"/>
      <c r="B2" s="11"/>
      <c r="C2" s="11"/>
    </row>
    <row r="3" spans="1:4" ht="20.25" x14ac:dyDescent="0.3">
      <c r="A3" s="254" t="s">
        <v>130</v>
      </c>
      <c r="B3" s="254"/>
      <c r="C3" s="254"/>
    </row>
    <row r="4" spans="1:4" ht="15.75" x14ac:dyDescent="0.25">
      <c r="A4" s="255"/>
      <c r="B4" s="255"/>
      <c r="C4" s="255"/>
      <c r="D4" t="s">
        <v>240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f>0.474/2</f>
        <v>0.23699999999999999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348</v>
      </c>
      <c r="B11" s="70"/>
      <c r="C11" s="72">
        <f>ROUND(C7/(C9*C8*C10),-2)</f>
        <v>3700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241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242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243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138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605.40540540540542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610</v>
      </c>
    </row>
    <row r="37" spans="1:1" x14ac:dyDescent="0.2">
      <c r="A37" s="52" t="s">
        <v>244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G1" sqref="G1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3" t="s">
        <v>73</v>
      </c>
      <c r="B1" s="253"/>
      <c r="C1" s="253"/>
    </row>
    <row r="2" spans="1:3" ht="20.25" x14ac:dyDescent="0.3">
      <c r="A2" s="254" t="s">
        <v>131</v>
      </c>
      <c r="B2" s="254"/>
      <c r="C2" s="254"/>
    </row>
    <row r="3" spans="1:3" ht="15" x14ac:dyDescent="0.2">
      <c r="A3" s="256" t="s">
        <v>220</v>
      </c>
      <c r="B3" s="256"/>
      <c r="C3" s="256"/>
    </row>
    <row r="5" spans="1:3" ht="18" x14ac:dyDescent="0.25">
      <c r="A5" s="253" t="s">
        <v>77</v>
      </c>
      <c r="B5" s="253"/>
      <c r="C5" s="253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244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G1" sqref="G1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3" t="s">
        <v>373</v>
      </c>
      <c r="B1" s="253"/>
      <c r="C1" s="253"/>
    </row>
    <row r="2" spans="1:3" ht="15.75" x14ac:dyDescent="0.25">
      <c r="A2" s="11"/>
      <c r="B2" s="11"/>
      <c r="C2" s="11"/>
    </row>
    <row r="3" spans="1:3" ht="20.25" x14ac:dyDescent="0.3">
      <c r="A3" s="254" t="s">
        <v>131</v>
      </c>
      <c r="B3" s="254"/>
      <c r="C3" s="254"/>
    </row>
    <row r="4" spans="1:3" ht="15" x14ac:dyDescent="0.2">
      <c r="A4" s="256" t="s">
        <v>221</v>
      </c>
      <c r="B4" s="256"/>
      <c r="C4" s="256"/>
    </row>
    <row r="5" spans="1:3" ht="15.75" x14ac:dyDescent="0.25">
      <c r="A5" s="11"/>
      <c r="B5" s="11"/>
      <c r="C5" s="11"/>
    </row>
    <row r="6" spans="1:3" ht="18" x14ac:dyDescent="0.25">
      <c r="A6" s="253" t="s">
        <v>18</v>
      </c>
      <c r="B6" s="253"/>
      <c r="C6" s="253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181</v>
      </c>
      <c r="B39" s="76" t="s">
        <v>247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244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G1" sqref="G1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3" t="s">
        <v>374</v>
      </c>
      <c r="B1" s="253"/>
      <c r="C1" s="253"/>
    </row>
    <row r="2" spans="1:3" ht="20.25" x14ac:dyDescent="0.3">
      <c r="A2" s="254" t="s">
        <v>131</v>
      </c>
      <c r="B2" s="254"/>
      <c r="C2" s="254"/>
    </row>
    <row r="3" spans="1:3" ht="15" x14ac:dyDescent="0.2">
      <c r="A3" s="256" t="s">
        <v>221</v>
      </c>
      <c r="B3" s="256"/>
      <c r="C3" s="256"/>
    </row>
    <row r="4" spans="1:3" ht="15.75" x14ac:dyDescent="0.25">
      <c r="A4" s="11"/>
      <c r="B4" s="11"/>
      <c r="C4" s="11"/>
    </row>
    <row r="5" spans="1:3" ht="18" x14ac:dyDescent="0.25">
      <c r="A5" s="253" t="s">
        <v>74</v>
      </c>
      <c r="B5" s="253"/>
      <c r="C5" s="253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245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246</v>
      </c>
    </row>
    <row r="22" spans="1:1" x14ac:dyDescent="0.2">
      <c r="A22" s="52" t="s">
        <v>244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3" t="s">
        <v>83</v>
      </c>
      <c r="B1" s="253"/>
      <c r="C1" s="253"/>
    </row>
    <row r="2" spans="1:9" ht="20.25" x14ac:dyDescent="0.3">
      <c r="A2" s="254" t="s">
        <v>359</v>
      </c>
      <c r="B2" s="254"/>
      <c r="C2" s="254"/>
    </row>
    <row r="3" spans="1:9" ht="15.75" x14ac:dyDescent="0.25">
      <c r="A3" s="255"/>
      <c r="B3" s="255"/>
      <c r="C3" s="255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230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227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233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226</v>
      </c>
      <c r="H10" s="20">
        <f>+'3.6'!D35</f>
        <v>3711017.9043923616</v>
      </c>
    </row>
    <row r="11" spans="1:9" ht="13.5" thickBot="1" x14ac:dyDescent="0.25">
      <c r="C11" s="26"/>
      <c r="G11" s="133" t="s">
        <v>232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101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workbookViewId="0">
      <selection activeCell="G1" sqref="G1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3" t="s">
        <v>83</v>
      </c>
      <c r="B1" s="253"/>
      <c r="C1" s="253"/>
    </row>
    <row r="2" spans="1:3" ht="20.25" x14ac:dyDescent="0.3">
      <c r="A2" s="254" t="s">
        <v>366</v>
      </c>
      <c r="B2" s="254"/>
      <c r="C2" s="254"/>
    </row>
    <row r="3" spans="1:3" ht="15.75" x14ac:dyDescent="0.25">
      <c r="A3" s="11"/>
      <c r="B3" s="11"/>
      <c r="C3" s="11"/>
    </row>
    <row r="4" spans="1:3" ht="15.75" x14ac:dyDescent="0.25">
      <c r="A4" s="255" t="s">
        <v>78</v>
      </c>
      <c r="B4" s="255"/>
      <c r="C4" s="255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139</v>
      </c>
      <c r="B20" s="70"/>
      <c r="C20" s="91">
        <v>5000</v>
      </c>
    </row>
    <row r="21" spans="1:3" ht="15" x14ac:dyDescent="0.2">
      <c r="A21" s="82" t="s">
        <v>140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150000</v>
      </c>
    </row>
    <row r="24" spans="1:3" ht="15" x14ac:dyDescent="0.2">
      <c r="A24" s="82" t="s">
        <v>44</v>
      </c>
      <c r="B24" s="70"/>
      <c r="C24" s="91">
        <v>200000</v>
      </c>
    </row>
    <row r="25" spans="1:3" ht="15" x14ac:dyDescent="0.2">
      <c r="A25" s="82" t="s">
        <v>45</v>
      </c>
      <c r="B25" s="70"/>
      <c r="C25" s="91">
        <v>100000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1850000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141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92500</v>
      </c>
    </row>
    <row r="34" spans="1:3" ht="15" x14ac:dyDescent="0.2">
      <c r="A34" s="82" t="s">
        <v>54</v>
      </c>
      <c r="B34" s="109">
        <v>0.1</v>
      </c>
      <c r="C34" s="92">
        <f>+C29*B34</f>
        <v>185000</v>
      </c>
    </row>
    <row r="35" spans="1:3" ht="15" x14ac:dyDescent="0.2">
      <c r="A35" s="82" t="s">
        <v>124</v>
      </c>
      <c r="B35" s="70"/>
      <c r="C35" s="91">
        <f>ROUND(+C29+C33+C34+C31,-3)</f>
        <v>2478000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49560</v>
      </c>
    </row>
    <row r="39" spans="1:3" ht="15" x14ac:dyDescent="0.2">
      <c r="A39" s="82" t="s">
        <v>55</v>
      </c>
      <c r="B39" s="109">
        <v>0.05</v>
      </c>
      <c r="C39" s="91">
        <f>$C$35*B39</f>
        <v>123900</v>
      </c>
    </row>
    <row r="40" spans="1:3" ht="15" x14ac:dyDescent="0.2">
      <c r="A40" s="82" t="s">
        <v>60</v>
      </c>
      <c r="B40" s="109">
        <v>0.04</v>
      </c>
      <c r="C40" s="92">
        <f>$C$35*B40</f>
        <v>99120</v>
      </c>
    </row>
    <row r="41" spans="1:3" ht="15" x14ac:dyDescent="0.2">
      <c r="A41" s="82" t="s">
        <v>52</v>
      </c>
      <c r="B41" s="70"/>
      <c r="C41" s="92">
        <f>ROUND(SUM(C38:C40),-3)</f>
        <v>273000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2751000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244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C9" sqref="C9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3" t="s">
        <v>84</v>
      </c>
      <c r="B1" s="253"/>
      <c r="C1" s="253"/>
      <c r="D1" s="253"/>
      <c r="E1" s="253"/>
    </row>
    <row r="2" spans="1:5" ht="15.75" x14ac:dyDescent="0.25">
      <c r="A2" s="11"/>
      <c r="B2" s="11"/>
      <c r="C2" s="11"/>
      <c r="D2" s="11"/>
    </row>
    <row r="3" spans="1:5" ht="20.25" x14ac:dyDescent="0.3">
      <c r="A3" s="254" t="s">
        <v>360</v>
      </c>
      <c r="B3" s="254"/>
      <c r="C3" s="254"/>
      <c r="D3" s="254"/>
      <c r="E3" s="254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121</v>
      </c>
    </row>
    <row r="6" spans="1:5" x14ac:dyDescent="0.2">
      <c r="A6" s="29" t="s">
        <v>92</v>
      </c>
      <c r="B6" s="29" t="s">
        <v>94</v>
      </c>
      <c r="C6" s="29" t="s">
        <v>122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115</v>
      </c>
      <c r="B8" s="26">
        <f>0.9*'A-8 Dist Costs'!D7</f>
        <v>269999.99999729998</v>
      </c>
      <c r="C8" s="62">
        <f>'A-8 Dist Costs'!D27</f>
        <v>58.649999999999991</v>
      </c>
      <c r="D8" s="23">
        <f>B8*C8</f>
        <v>15835499.999841642</v>
      </c>
    </row>
    <row r="9" spans="1:5" x14ac:dyDescent="0.2">
      <c r="A9" t="s">
        <v>129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">
      <c r="A10" t="s">
        <v>116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356</v>
      </c>
      <c r="B13" s="26"/>
      <c r="C13" s="6"/>
      <c r="D13" s="43">
        <f>SUM(D7:D11)</f>
        <v>20888999.999814391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349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357</v>
      </c>
      <c r="B18" s="44"/>
      <c r="C18" s="5"/>
      <c r="D18" s="46">
        <f>D15+D13</f>
        <v>20888999.999814391</v>
      </c>
    </row>
    <row r="20" spans="1:4" x14ac:dyDescent="0.2">
      <c r="A20" s="247" t="s">
        <v>377</v>
      </c>
      <c r="D20" s="20">
        <f>'[2]1. Wastewater Fee Calc Sum'!$I$53</f>
        <v>49376.904828387487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423.05203358564927</v>
      </c>
    </row>
    <row r="23" spans="1:4" ht="13.5" hidden="1" thickBot="1" x14ac:dyDescent="0.25"/>
    <row r="24" spans="1:4" ht="16.5" hidden="1" thickBot="1" x14ac:dyDescent="0.3">
      <c r="A24" s="47" t="s">
        <v>350</v>
      </c>
      <c r="D24" s="57">
        <f>ROUND(D22,-1)</f>
        <v>420</v>
      </c>
    </row>
    <row r="29" spans="1:4" x14ac:dyDescent="0.2">
      <c r="A29" s="79" t="s">
        <v>244</v>
      </c>
    </row>
  </sheetData>
  <mergeCells count="2">
    <mergeCell ref="A3:E3"/>
    <mergeCell ref="A1:E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QD2UCF5UJE4V-699202894-379</_dlc_DocId>
    <_dlc_DocIdUrl xmlns="7184055b-e5ea-4162-8b19-ace5c644b73a">
      <Url>http://intranet2/pw/_layouts/15/DocIdRedir.aspx?ID=QD2UCF5UJE4V-699202894-379</Url>
      <Description>QD2UCF5UJE4V-699202894-379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CDA71F9F-3E3E-4EE5-B3A5-92664CA0B655}"/>
</file>

<file path=customXml/itemProps3.xml><?xml version="1.0" encoding="utf-8"?>
<ds:datastoreItem xmlns:ds="http://schemas.openxmlformats.org/officeDocument/2006/customXml" ds:itemID="{33253B87-7BBD-4EFA-8E8A-5955D28660C1}"/>
</file>

<file path=customXml/itemProps4.xml><?xml version="1.0" encoding="utf-8"?>
<ds:datastoreItem xmlns:ds="http://schemas.openxmlformats.org/officeDocument/2006/customXml" ds:itemID="{AB308A23-2EDA-42EC-B3BF-6516CEC7B8B0}"/>
</file>

<file path=customXml/itemProps5.xml><?xml version="1.0" encoding="utf-8"?>
<ds:datastoreItem xmlns:ds="http://schemas.openxmlformats.org/officeDocument/2006/customXml" ds:itemID="{529E5E7E-D3A4-4C15-A581-BBED284EA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grich6769</cp:lastModifiedBy>
  <cp:lastPrinted>2013-01-24T19:10:54Z</cp:lastPrinted>
  <dcterms:created xsi:type="dcterms:W3CDTF">2009-12-12T00:04:46Z</dcterms:created>
  <dcterms:modified xsi:type="dcterms:W3CDTF">2013-02-01T23:17:43Z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77099c90-bbcf-441c-9560-57a91a04a875</vt:lpwstr>
  </property>
  <property fmtid="{D5CDD505-2E9C-101B-9397-08002B2CF9AE}" pid="4" name="Order">
    <vt:r8>18400</vt:r8>
  </property>
  <property fmtid="{D5CDD505-2E9C-101B-9397-08002B2CF9AE}" pid="5" name="TemplateUrl">
    <vt:lpwstr/>
  </property>
  <property fmtid="{D5CDD505-2E9C-101B-9397-08002B2CF9AE}" pid="6" name="_dlc_DocId">
    <vt:lpwstr>DS6S4WKU732Q-3-184</vt:lpwstr>
  </property>
  <property fmtid="{D5CDD505-2E9C-101B-9397-08002B2CF9AE}" pid="7" name="_dlc_DocIdUrl">
    <vt:lpwstr>http://intranet:12013/_layouts/DocIdRedir.aspx?ID=DS6S4WKU732Q-3-184, DS6S4WKU732Q-3-184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