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34" i="14" l="1"/>
  <c r="C34" i="14"/>
  <c r="B34" i="14"/>
  <c r="D28" i="14" l="1"/>
  <c r="D20" i="16" l="1"/>
  <c r="C8" i="16" l="1"/>
  <c r="C11" i="8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29" i="14" l="1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C13" i="1"/>
  <c r="C9" i="1"/>
  <c r="C11" i="1"/>
  <c r="C12" i="1"/>
  <c r="C14" i="1"/>
  <c r="C15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E35" i="14" l="1"/>
  <c r="E42" i="14" s="1"/>
  <c r="E46" i="14" s="1"/>
  <c r="D33" i="14" l="1"/>
  <c r="D35" i="14" l="1"/>
  <c r="D42" i="14" s="1"/>
  <c r="D46" i="14" s="1"/>
  <c r="E8" i="1" s="1"/>
  <c r="F33" i="14"/>
  <c r="F35" i="14" s="1"/>
  <c r="F42" i="14" s="1"/>
  <c r="E13" i="1" l="1"/>
  <c r="F13" i="1" s="1"/>
  <c r="E12" i="1"/>
  <c r="F12" i="1" s="1"/>
  <c r="E15" i="1"/>
  <c r="F15" i="1" s="1"/>
  <c r="E11" i="1"/>
  <c r="F11" i="1" s="1"/>
  <c r="E14" i="1"/>
  <c r="F14" i="1" s="1"/>
  <c r="E10" i="1"/>
  <c r="F10" i="1" s="1"/>
  <c r="E9" i="1"/>
  <c r="F9" i="1" s="1"/>
  <c r="F8" i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<sst xmlns="http://schemas.openxmlformats.org/spreadsheetml/2006/main" count="458" uniqueCount="387">
  <si>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</si>
  <si>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</si>
  <si>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</si>
  <si>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</si>
  <si>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</si>
  <si>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</si>
  <si>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</si>
  <si>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</si>
  <si>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</si>
  <si>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</si>
  <si>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</si>
  <si>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</si>
  <si>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</si>
  <si>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</si>
  <si>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</si>
  <si>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</si>
  <si>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</si>
  <si>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</si>
  <si>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</si>
  <si>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</si>
  <si>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</si>
  <si>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</si>
  <si>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</si>
  <si>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</si>
  <si>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</si>
  <si>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</si>
  <si>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</si>
  <si>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</si>
  <si>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</si>
  <si>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</si>
  <si>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</si>
  <si>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</si>
  <si>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</si>
  <si>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</si>
  <si>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</si>
  <si>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</si>
  <si>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</si>
  <si>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</si>
  <si>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</si>
  <si>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</si>
  <si>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</si>
  <si>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</si>
  <si>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</si>
  <si>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</si>
  <si>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</si>
  <si>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</si>
  <si>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</si>
  <si>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</si>
  <si>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</si>
  <si>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</si>
  <si>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</si>
  <si>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</si>
  <si>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</si>
  <si>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</si>
  <si>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</si>
  <si>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</si>
  <si>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</si>
  <si>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</si>
  <si>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</si>
  <si>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</si>
  <si>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</si>
  <si>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</si>
  <si>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</si>
  <si>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</si>
  <si>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</si>
  <si>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</si>
  <si>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</si>
  <si>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</si>
  <si>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</si>
  <si>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</si>
  <si>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</si>
  <si>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</si>
  <si>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</si>
  <si>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</si>
  <si>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</si>
  <si>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</si>
  <si>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</si>
  <si>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</si>
  <si>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</si>
  <si>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</si>
  <si>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</si>
  <si>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</si>
  <si>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</si>
  <si>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</si>
  <si>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</si>
  <si>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</si>
  <si>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</si>
  <si>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</si>
  <si>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</si>
  <si>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</si>
  <si>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</si>
  <si>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</si>
  <si>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</si>
  <si>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</si>
  <si>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</si>
  <si>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</si>
  <si>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</si>
  <si>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</si>
  <si>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</si>
  <si>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</si>
  <si>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</si>
  <si>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</si>
  <si>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</si>
  <si>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</si>
  <si>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</si>
  <si>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</si>
  <si>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</si>
  <si>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</si>
  <si>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</si>
  <si>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</si>
  <si>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</si>
  <si>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</si>
  <si>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</si>
  <si>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</si>
  <si>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</si>
  <si>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</si>
  <si>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</si>
  <si>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</si>
  <si>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</si>
  <si>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</si>
  <si>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</si>
  <si>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</si>
  <si>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</si>
  <si>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</si>
  <si>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</si>
  <si>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</si>
  <si>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</si>
  <si>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</si>
  <si>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</si>
  <si>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</si>
  <si>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</si>
  <si>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</si>
  <si>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</si>
  <si>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</si>
  <si>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</si>
  <si>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</si>
  <si>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</si>
  <si>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</si>
  <si>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</si>
  <si>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</si>
  <si>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</si>
  <si>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</si>
  <si>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</si>
  <si>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</si>
  <si>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</si>
  <si>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</si>
  <si>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</si>
  <si>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</si>
  <si>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</si>
  <si>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</si>
  <si>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</si>
  <si>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</si>
  <si>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</si>
  <si>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</si>
  <si>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</si>
  <si>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</si>
  <si>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</si>
  <si>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</si>
  <si>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</si>
  <si>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</si>
  <si>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</si>
  <si>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</si>
  <si>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</si>
  <si>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</si>
  <si>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</si>
  <si>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</si>
  <si>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</si>
  <si>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</si>
  <si>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</si>
  <si>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</si>
  <si>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</si>
  <si>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</si>
  <si>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</si>
  <si>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</si>
  <si>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</si>
  <si>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</si>
  <si>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</si>
  <si>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</si>
  <si>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</si>
  <si>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</si>
  <si>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</si>
  <si>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</si>
  <si>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</si>
  <si>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</si>
  <si>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</si>
  <si>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</si>
  <si>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</si>
  <si>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</si>
  <si>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</si>
  <si>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</si>
  <si>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</si>
  <si>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</si>
  <si>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</si>
  <si>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</si>
  <si>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</si>
  <si>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</si>
  <si>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</si>
  <si>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</si>
  <si>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</si>
  <si>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</si>
  <si>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</si>
  <si>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</si>
  <si>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</si>
  <si>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</si>
  <si>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</si>
  <si>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</si>
  <si>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</si>
  <si>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</si>
  <si>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</si>
  <si>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</si>
  <si>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</si>
  <si>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</si>
  <si>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</si>
  <si>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</si>
  <si>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</si>
  <si>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</si>
  <si>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</si>
  <si>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</si>
  <si>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</si>
  <si>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</si>
  <si>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</si>
  <si>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</si>
  <si>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</si>
  <si>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</si>
  <si>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</si>
  <si>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</si>
  <si>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</si>
  <si>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</si>
  <si>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</si>
  <si>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</si>
  <si>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</si>
  <si>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</si>
  <si>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</si>
  <si>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</si>
  <si>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</si>
  <si>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</si>
  <si>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</si>
  <si>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</si>
  <si>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</si>
  <si>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</si>
  <si>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</si>
  <si>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</si>
  <si>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</si>
  <si>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</si>
  <si>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</si>
  <si>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</si>
  <si>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</si>
  <si>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</si>
  <si>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</si>
  <si>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</si>
  <si>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</si>
  <si>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</si>
  <si>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</si>
  <si>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</si>
  <si>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</si>
  <si>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</si>
  <si>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</si>
  <si>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</si>
  <si>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</si>
  <si>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</si>
  <si>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</si>
  <si>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</si>
  <si>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</si>
  <si>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</si>
  <si>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</si>
  <si>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</si>
  <si>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</si>
  <si>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</si>
  <si>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</si>
  <si>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</si>
  <si>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</si>
  <si>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</si>
  <si>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</si>
  <si>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</si>
  <si>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</si>
  <si>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</si>
  <si>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</si>
  <si>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</si>
  <si>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</si>
  <si>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</si>
  <si>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</si>
  <si>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</si>
  <si>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</si>
  <si>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</si>
  <si>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</si>
  <si>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</si>
  <si>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</si>
  <si>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</si>
  <si>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</si>
  <si>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</si>
  <si>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</si>
  <si>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</si>
  <si>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</si>
  <si>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</si>
  <si>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</si>
  <si>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</si>
  <si>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</si>
  <si>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</si>
  <si>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</si>
  <si>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</si>
  <si>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</si>
  <si>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</si>
  <si>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</si>
  <si>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</si>
  <si>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</si>
  <si>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</si>
  <si>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</si>
  <si>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</si>
  <si>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</si>
  <si>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</si>
  <si>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</si>
  <si>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</si>
  <si>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</si>
  <si>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</si>
  <si>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</si>
  <si>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</si>
  <si>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</si>
  <si>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</si>
  <si>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</si>
  <si>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</si>
  <si>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</si>
  <si>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</si>
  <si>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</si>
  <si>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</si>
  <si>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</si>
  <si>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</si>
  <si>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</si>
  <si>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</si>
  <si>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</si>
  <si>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</si>
  <si>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</si>
  <si>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</si>
  <si>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</si>
  <si>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</si>
  <si>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</si>
  <si>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</si>
  <si>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</si>
  <si>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</si>
  <si>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</si>
  <si>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</si>
  <si>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</si>
  <si>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</si>
  <si>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</si>
  <si>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</si>
  <si>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</si>
  <si>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</si>
  <si>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</si>
  <si>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</si>
  <si>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</si>
  <si>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</si>
  <si>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</si>
  <si>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</si>
  <si>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</si>
  <si>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</si>
  <si>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</si>
  <si>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</si>
  <si>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</si>
  <si>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</si>
  <si>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</si>
  <si>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</si>
  <si>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</si>
  <si>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</si>
  <si>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</si>
  <si>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</si>
  <si>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</si>
  <si>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</si>
  <si>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</si>
  <si>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</si>
  <si>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</si>
  <si>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</si>
  <si>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</si>
  <si>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</si>
  <si>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</si>
  <si>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</si>
  <si>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</si>
  <si>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</si>
  <si>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</si>
  <si>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</si>
  <si>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</si>
  <si>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</si>
  <si>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</si>
  <si>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Total number of EDUs supported (Total Sewer EDUs)</t>
  </si>
  <si>
    <t>Working Draft - v8</t>
  </si>
  <si>
    <t>(3) Assumes 100% of PFIP CIP costs are financed for Supply and Peaking, 25% for Distribution, see Table 6 for financing assumptions.</t>
  </si>
  <si>
    <t>(12) CIP costs based on 2010 ENR and will be updated to 2013 prior to final adoption.</t>
  </si>
  <si>
    <t>Main - one mile grid - for oversizing only, same as internal grid</t>
  </si>
  <si>
    <t>(5) City Admistrative Costs - Variable assumed to be 0% of PFF CIP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</si>
</sst>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9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3862500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D18" sqref="D18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8" t="s">
        <v>61</v>
      </c>
      <c r="B1" s="248"/>
      <c r="C1" s="248"/>
      <c r="D1" s="248"/>
      <c r="E1" s="248"/>
      <c r="F1" s="248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9" t="s">
        <v>137</v>
      </c>
      <c r="B3" s="249"/>
      <c r="C3" s="249"/>
      <c r="D3" s="249"/>
      <c r="E3" s="249"/>
      <c r="F3" s="249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50" t="s">
        <v>100</v>
      </c>
      <c r="D6" s="251"/>
      <c r="E6" s="251"/>
      <c r="F6" s="252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1008.9060613207265</v>
      </c>
      <c r="D8" s="129">
        <f>'A-1.1 Water Fee Calc Sum'!$C$46*B8</f>
        <v>1552.0001400009489</v>
      </c>
      <c r="E8" s="129">
        <f>'A-1.1 Water Fee Calc Sum'!$D$46*B8</f>
        <v>355.46086160045587</v>
      </c>
      <c r="F8" s="239">
        <f t="shared" ref="F8:F15" si="0">+C8+D8+E8</f>
        <v>2916.367062922131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1684.8731224056132</v>
      </c>
      <c r="D9" s="129">
        <f>+D$8*B9</f>
        <v>2591.8402338015844</v>
      </c>
      <c r="E9" s="129">
        <f t="shared" ref="E9:E15" si="1">+E$8*B9</f>
        <v>593.61963887276124</v>
      </c>
      <c r="F9" s="239">
        <f t="shared" si="0"/>
        <v>4870.3329950799589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3359.6571841980194</v>
      </c>
      <c r="D10" s="129">
        <f t="shared" ref="D10:D15" si="3">+D$8*B10</f>
        <v>5168.1604662031605</v>
      </c>
      <c r="E10" s="129">
        <f t="shared" si="1"/>
        <v>1183.6846691295182</v>
      </c>
      <c r="F10" s="239">
        <f t="shared" si="0"/>
        <v>9711.5023195306967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5377.4693068394727</v>
      </c>
      <c r="D11" s="129">
        <f t="shared" si="3"/>
        <v>8272.1607462050579</v>
      </c>
      <c r="E11" s="129">
        <f t="shared" si="1"/>
        <v>1894.6063923304298</v>
      </c>
      <c r="F11" s="239">
        <f t="shared" si="0"/>
        <v>15544.23644537496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10089.060613207264</v>
      </c>
      <c r="D12" s="129">
        <f t="shared" si="3"/>
        <v>15520.001400009489</v>
      </c>
      <c r="E12" s="129">
        <f t="shared" si="1"/>
        <v>3554.6086160045588</v>
      </c>
      <c r="F12" s="239">
        <f t="shared" si="0"/>
        <v>29163.670629221313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16818.464042216514</v>
      </c>
      <c r="D13" s="129">
        <f t="shared" si="3"/>
        <v>25871.842333815821</v>
      </c>
      <c r="E13" s="129">
        <f t="shared" si="1"/>
        <v>5925.5325628795999</v>
      </c>
      <c r="F13" s="239">
        <f t="shared" si="0"/>
        <v>48615.838938911933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33626.839023819812</v>
      </c>
      <c r="D14" s="129">
        <f t="shared" si="3"/>
        <v>51728.164666231627</v>
      </c>
      <c r="E14" s="129">
        <f t="shared" si="1"/>
        <v>11847.510517143193</v>
      </c>
      <c r="F14" s="239">
        <f t="shared" si="0"/>
        <v>97202.514207194632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53804.96025023434</v>
      </c>
      <c r="D15" s="131">
        <f t="shared" si="3"/>
        <v>82768.167466250597</v>
      </c>
      <c r="E15" s="131">
        <f t="shared" si="1"/>
        <v>18956.727749152313</v>
      </c>
      <c r="F15" s="243">
        <f t="shared" si="0"/>
        <v>155529.85546563726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8" sqref="A8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3" t="s">
        <v>85</v>
      </c>
      <c r="B1" s="253"/>
      <c r="C1" s="253"/>
      <c r="D1" s="253"/>
      <c r="E1" s="253"/>
    </row>
    <row r="2" spans="1:5" ht="15.75" x14ac:dyDescent="0.25">
      <c r="A2" s="47"/>
      <c r="D2" s="61"/>
    </row>
    <row r="3" spans="1:5" ht="20.25" x14ac:dyDescent="0.3">
      <c r="A3" s="254" t="s">
        <v>136</v>
      </c>
      <c r="B3" s="254"/>
      <c r="C3" s="254"/>
      <c r="D3" s="254"/>
      <c r="E3" s="254"/>
    </row>
    <row r="5" spans="1:5" x14ac:dyDescent="0.2">
      <c r="A5" s="3" t="s">
        <v>95</v>
      </c>
      <c r="D5" s="31" t="s">
        <v>98</v>
      </c>
      <c r="E5" s="45" t="s">
        <v>118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247" t="s">
        <v>385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102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119</v>
      </c>
      <c r="B12" t="s">
        <v>105</v>
      </c>
      <c r="C12" s="241" t="s">
        <v>107</v>
      </c>
      <c r="D12" s="10" t="s">
        <v>110</v>
      </c>
    </row>
    <row r="13" spans="1:5" x14ac:dyDescent="0.2">
      <c r="A13" s="27" t="s">
        <v>112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106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108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109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114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103</v>
      </c>
      <c r="B21" t="s">
        <v>105</v>
      </c>
      <c r="C21" s="241" t="s">
        <v>107</v>
      </c>
      <c r="D21" s="10" t="s">
        <v>110</v>
      </c>
    </row>
    <row r="22" spans="1:5" x14ac:dyDescent="0.2">
      <c r="A22" s="27" t="s">
        <v>104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106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108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109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114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120</v>
      </c>
      <c r="B30" t="s">
        <v>105</v>
      </c>
      <c r="C30" s="241" t="s">
        <v>107</v>
      </c>
      <c r="D30" s="10" t="s">
        <v>110</v>
      </c>
    </row>
    <row r="31" spans="1:5" x14ac:dyDescent="0.2">
      <c r="A31" s="27" t="s">
        <v>113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111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108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109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117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123</v>
      </c>
      <c r="C38" s="9"/>
      <c r="D38" s="2">
        <f>0.02+0.04+0.04</f>
        <v>0.1</v>
      </c>
    </row>
    <row r="39" spans="1:4" x14ac:dyDescent="0.2">
      <c r="A39" s="85" t="s">
        <v>197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5" t="s">
        <v>142</v>
      </c>
      <c r="B3" s="255"/>
      <c r="C3" s="255"/>
      <c r="D3" s="255"/>
      <c r="E3" s="255"/>
      <c r="F3" s="255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8" t="s">
        <v>132</v>
      </c>
      <c r="B5" s="258"/>
      <c r="C5" s="258"/>
      <c r="D5" s="258"/>
      <c r="E5" s="258"/>
      <c r="F5" s="258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126</v>
      </c>
      <c r="D8" s="18">
        <v>4436000</v>
      </c>
    </row>
    <row r="9" spans="1:6" hidden="1" x14ac:dyDescent="0.2">
      <c r="A9" s="12" t="s">
        <v>127</v>
      </c>
      <c r="B9" s="2"/>
      <c r="D9" s="48">
        <v>5026000</v>
      </c>
    </row>
    <row r="10" spans="1:6" hidden="1" x14ac:dyDescent="0.2">
      <c r="A10" s="59" t="s">
        <v>135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128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125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134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7" t="s">
        <v>133</v>
      </c>
      <c r="B19" s="257"/>
      <c r="C19" s="257"/>
      <c r="D19" s="257"/>
      <c r="E19" s="257"/>
    </row>
    <row r="20" spans="1:6" hidden="1" x14ac:dyDescent="0.2"/>
    <row r="22" spans="1:6" x14ac:dyDescent="0.2">
      <c r="E22" s="20"/>
    </row>
    <row r="23" spans="1:6" ht="15.75" x14ac:dyDescent="0.25">
      <c r="A23" s="255" t="s">
        <v>142</v>
      </c>
      <c r="B23" s="255"/>
      <c r="C23" s="255"/>
      <c r="D23" s="255"/>
      <c r="E23" s="255"/>
      <c r="F23" s="255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8" t="s">
        <v>212</v>
      </c>
      <c r="B25" s="258"/>
      <c r="C25" s="258"/>
      <c r="D25" s="258"/>
      <c r="E25" s="258"/>
      <c r="F25" s="258"/>
    </row>
    <row r="27" spans="1:6" x14ac:dyDescent="0.2">
      <c r="B27" s="45" t="s">
        <v>93</v>
      </c>
      <c r="C27" s="45" t="s">
        <v>146</v>
      </c>
      <c r="D27" s="45" t="s">
        <v>144</v>
      </c>
      <c r="E27" s="45"/>
      <c r="F27" s="45"/>
    </row>
    <row r="28" spans="1:6" x14ac:dyDescent="0.2">
      <c r="A28" s="3" t="s">
        <v>143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145</v>
      </c>
    </row>
    <row r="30" spans="1:6" x14ac:dyDescent="0.2">
      <c r="A30" s="52" t="s">
        <v>195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147</v>
      </c>
    </row>
    <row r="32" spans="1:6" x14ac:dyDescent="0.2">
      <c r="A32" s="52" t="s">
        <v>182</v>
      </c>
      <c r="B32" s="18">
        <v>175000</v>
      </c>
      <c r="C32" s="88" t="s">
        <v>183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185</v>
      </c>
      <c r="B33" s="18">
        <v>150000</v>
      </c>
      <c r="C33" s="10" t="s">
        <v>184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186</v>
      </c>
      <c r="D34" s="18">
        <v>10000</v>
      </c>
      <c r="F34" s="19">
        <f>+D34</f>
        <v>10000</v>
      </c>
    </row>
    <row r="35" spans="1:6" x14ac:dyDescent="0.2">
      <c r="A35" s="52" t="s">
        <v>148</v>
      </c>
      <c r="D35" s="48">
        <v>5000</v>
      </c>
      <c r="F35" s="22">
        <f>+D35</f>
        <v>5000</v>
      </c>
    </row>
    <row r="37" spans="1:6" x14ac:dyDescent="0.2">
      <c r="B37" s="52" t="s">
        <v>149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150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151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196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213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214</v>
      </c>
      <c r="B50" s="93"/>
      <c r="C50" s="93"/>
      <c r="D50" s="93"/>
    </row>
    <row r="51" spans="1:4" x14ac:dyDescent="0.2">
      <c r="A51" s="12" t="s">
        <v>187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188</v>
      </c>
      <c r="B52" s="20"/>
      <c r="C52" s="20">
        <v>7898</v>
      </c>
      <c r="D52" s="20">
        <v>3361</v>
      </c>
    </row>
    <row r="53" spans="1:4" x14ac:dyDescent="0.2">
      <c r="A53" s="12" t="s">
        <v>189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190</v>
      </c>
      <c r="B54" s="20">
        <v>6047</v>
      </c>
      <c r="C54" s="20"/>
      <c r="D54" s="20">
        <v>1820</v>
      </c>
    </row>
    <row r="55" spans="1:4" x14ac:dyDescent="0.2">
      <c r="A55" s="12" t="s">
        <v>191</v>
      </c>
      <c r="B55" s="20"/>
      <c r="C55" s="20"/>
      <c r="D55" s="20">
        <v>211</v>
      </c>
    </row>
    <row r="56" spans="1:4" x14ac:dyDescent="0.2">
      <c r="A56" s="12" t="s">
        <v>192</v>
      </c>
      <c r="B56" s="20"/>
      <c r="C56" s="20"/>
      <c r="D56" s="20"/>
    </row>
    <row r="57" spans="1:4" x14ac:dyDescent="0.2">
      <c r="A57" s="12" t="s">
        <v>193</v>
      </c>
      <c r="B57" s="20"/>
      <c r="C57" s="20">
        <v>760</v>
      </c>
      <c r="D57" s="20"/>
    </row>
    <row r="58" spans="1:4" x14ac:dyDescent="0.2">
      <c r="A58" s="12" t="s">
        <v>194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215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371</v>
      </c>
      <c r="B1" s="178" t="str">
        <f>'A-1.1 Water Fee Calc Sum'!$G$1</f>
        <v>Internal</v>
      </c>
      <c r="C1" s="179"/>
      <c r="G1" s="181" t="s">
        <v>286</v>
      </c>
    </row>
    <row r="2" spans="1:7" x14ac:dyDescent="0.25">
      <c r="A2" s="70" t="s">
        <v>249</v>
      </c>
      <c r="B2" s="182" t="str">
        <f>'A-1.1 Water Fee Calc Sum'!$G$2</f>
        <v>Working Draft - v8</v>
      </c>
      <c r="C2" s="179"/>
      <c r="G2" s="181"/>
    </row>
    <row r="3" spans="1:7" x14ac:dyDescent="0.25">
      <c r="A3" s="70" t="s">
        <v>348</v>
      </c>
      <c r="B3" s="183">
        <f>'A-1.1 Water Fee Calc Sum'!$G$3</f>
        <v>41291</v>
      </c>
      <c r="C3" s="179"/>
      <c r="G3" s="181"/>
    </row>
    <row r="4" spans="1:7" x14ac:dyDescent="0.25">
      <c r="A4" s="70" t="s">
        <v>287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252</v>
      </c>
      <c r="B9" s="187" t="s">
        <v>105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288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289</v>
      </c>
      <c r="B12" s="191">
        <v>30</v>
      </c>
      <c r="C12" s="179"/>
      <c r="G12" s="181"/>
    </row>
    <row r="13" spans="1:7" x14ac:dyDescent="0.25">
      <c r="A13" s="179" t="s">
        <v>290</v>
      </c>
      <c r="B13" s="191">
        <v>1</v>
      </c>
      <c r="C13" s="179"/>
      <c r="G13" s="181"/>
    </row>
    <row r="14" spans="1:7" x14ac:dyDescent="0.25">
      <c r="A14" s="179" t="s">
        <v>291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292</v>
      </c>
      <c r="B15" s="192">
        <f>(-PMT(B11/B13,B12*B13,B34,0))*B13</f>
        <v>166676.03578546061</v>
      </c>
      <c r="C15" s="195"/>
      <c r="D15" s="194"/>
      <c r="E15" s="194"/>
      <c r="F15" s="194"/>
      <c r="G15" s="181"/>
    </row>
    <row r="16" spans="1:7" x14ac:dyDescent="0.25">
      <c r="A16" s="179" t="s">
        <v>293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294</v>
      </c>
      <c r="B20" s="195">
        <f>'A-1.1 Water Fee Calc Sum'!B42</f>
        <v>3732952.426886688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295</v>
      </c>
      <c r="B22" s="195">
        <f>SUM(B20:B20)</f>
        <v>3732952.426886688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296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297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298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299</v>
      </c>
      <c r="B27" s="195">
        <f>B64+$B$34*C64</f>
        <v>0</v>
      </c>
      <c r="C27" s="179"/>
      <c r="G27" s="181"/>
    </row>
    <row r="28" spans="1:7" hidden="1" x14ac:dyDescent="0.25">
      <c r="A28" s="179" t="s">
        <v>300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301</v>
      </c>
      <c r="B29" s="195">
        <f>B66+$B$34*C66</f>
        <v>0</v>
      </c>
      <c r="C29" s="201"/>
      <c r="G29" s="181"/>
    </row>
    <row r="30" spans="1:7" hidden="1" x14ac:dyDescent="0.25">
      <c r="A30" s="179" t="s">
        <v>302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303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304</v>
      </c>
      <c r="B34" s="195">
        <f>(+B22+B73)/(1-C73)</f>
        <v>3732952.426886688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305</v>
      </c>
      <c r="B36" s="195">
        <f>B22+B32</f>
        <v>3732952.426886688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306</v>
      </c>
      <c r="B38" s="195">
        <f>IF(MOD(B34,5000)&gt;0,TRUNC(B34/5000)*5000+5000,B34)</f>
        <v>3735000</v>
      </c>
      <c r="C38" s="195"/>
      <c r="G38" s="181"/>
    </row>
    <row r="39" spans="1:7" x14ac:dyDescent="0.25">
      <c r="A39" s="188" t="s">
        <v>307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308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309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310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311</v>
      </c>
    </row>
    <row r="51" spans="1:4" hidden="1" x14ac:dyDescent="0.25"/>
    <row r="52" spans="1:4" hidden="1" x14ac:dyDescent="0.25">
      <c r="A52" s="180" t="s">
        <v>312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313</v>
      </c>
      <c r="C59" s="209" t="s">
        <v>314</v>
      </c>
      <c r="D59" s="210"/>
    </row>
    <row r="60" spans="1:4" hidden="1" x14ac:dyDescent="0.25">
      <c r="A60" s="211" t="s">
        <v>92</v>
      </c>
      <c r="B60" s="211" t="s">
        <v>315</v>
      </c>
      <c r="C60" s="211" t="s">
        <v>315</v>
      </c>
      <c r="D60" s="211" t="s">
        <v>316</v>
      </c>
    </row>
    <row r="61" spans="1:4" hidden="1" x14ac:dyDescent="0.25"/>
    <row r="62" spans="1:4" hidden="1" x14ac:dyDescent="0.25">
      <c r="A62" s="180" t="s">
        <v>317</v>
      </c>
      <c r="B62" s="212">
        <v>0</v>
      </c>
      <c r="C62" s="213">
        <v>0</v>
      </c>
      <c r="D62" s="180" t="s">
        <v>318</v>
      </c>
    </row>
    <row r="63" spans="1:4" hidden="1" x14ac:dyDescent="0.25">
      <c r="A63" s="180" t="s">
        <v>319</v>
      </c>
      <c r="B63" s="212">
        <v>0</v>
      </c>
      <c r="C63" s="214">
        <v>0</v>
      </c>
      <c r="D63" s="180" t="s">
        <v>320</v>
      </c>
    </row>
    <row r="64" spans="1:4" hidden="1" x14ac:dyDescent="0.25">
      <c r="A64" s="180" t="s">
        <v>321</v>
      </c>
      <c r="B64" s="212">
        <v>0</v>
      </c>
      <c r="C64" s="214">
        <v>0</v>
      </c>
    </row>
    <row r="65" spans="1:6" hidden="1" x14ac:dyDescent="0.25">
      <c r="A65" s="180" t="s">
        <v>322</v>
      </c>
      <c r="B65" s="215">
        <v>0</v>
      </c>
      <c r="C65" s="214">
        <v>0</v>
      </c>
      <c r="D65" s="180" t="s">
        <v>323</v>
      </c>
    </row>
    <row r="66" spans="1:6" hidden="1" x14ac:dyDescent="0.25">
      <c r="A66" s="180" t="s">
        <v>324</v>
      </c>
      <c r="B66" s="216">
        <v>0</v>
      </c>
      <c r="C66" s="216">
        <v>0</v>
      </c>
    </row>
    <row r="67" spans="1:6" hidden="1" x14ac:dyDescent="0.25">
      <c r="A67" s="180" t="s">
        <v>325</v>
      </c>
      <c r="B67" s="194"/>
      <c r="C67" s="217"/>
    </row>
    <row r="68" spans="1:6" hidden="1" x14ac:dyDescent="0.25">
      <c r="A68" s="180" t="s">
        <v>326</v>
      </c>
      <c r="B68" s="215">
        <v>0</v>
      </c>
      <c r="C68" s="216">
        <v>0</v>
      </c>
    </row>
    <row r="69" spans="1:6" hidden="1" x14ac:dyDescent="0.25">
      <c r="A69" s="180" t="s">
        <v>327</v>
      </c>
      <c r="B69" s="215">
        <v>0</v>
      </c>
      <c r="C69" s="216">
        <v>0</v>
      </c>
    </row>
    <row r="70" spans="1:6" hidden="1" x14ac:dyDescent="0.25">
      <c r="A70" s="180" t="s">
        <v>328</v>
      </c>
      <c r="B70" s="215">
        <v>0</v>
      </c>
      <c r="C70" s="216">
        <v>0</v>
      </c>
    </row>
    <row r="71" spans="1:6" hidden="1" x14ac:dyDescent="0.25">
      <c r="A71" s="180" t="s">
        <v>329</v>
      </c>
      <c r="B71" s="218">
        <f>0.1*(B68+B69+B70)</f>
        <v>0</v>
      </c>
      <c r="C71" s="214">
        <v>0</v>
      </c>
    </row>
    <row r="72" spans="1:6" hidden="1" x14ac:dyDescent="0.25">
      <c r="B72" s="219" t="s">
        <v>330</v>
      </c>
      <c r="C72" s="219" t="s">
        <v>330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331</v>
      </c>
      <c r="B76" s="194">
        <f>B22</f>
        <v>3732952.426886688</v>
      </c>
      <c r="C76" s="223">
        <f>B76/$B$79</f>
        <v>1</v>
      </c>
      <c r="F76" s="197"/>
    </row>
    <row r="77" spans="1:6" hidden="1" x14ac:dyDescent="0.25">
      <c r="A77" s="180" t="s">
        <v>332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333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334</v>
      </c>
      <c r="B79" s="222">
        <f>SUM(B76:B78)</f>
        <v>3732952.426886688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276</v>
      </c>
      <c r="D82" s="197"/>
    </row>
    <row r="83" spans="1:6" hidden="1" x14ac:dyDescent="0.25">
      <c r="A83" s="180" t="s">
        <v>335</v>
      </c>
    </row>
    <row r="84" spans="1:6" hidden="1" x14ac:dyDescent="0.25">
      <c r="A84" s="180" t="s">
        <v>336</v>
      </c>
    </row>
    <row r="85" spans="1:6" hidden="1" x14ac:dyDescent="0.25">
      <c r="F85" s="197"/>
    </row>
    <row r="86" spans="1:6" hidden="1" x14ac:dyDescent="0.25">
      <c r="A86" s="210"/>
      <c r="C86" s="228" t="s">
        <v>337</v>
      </c>
      <c r="D86" s="229"/>
    </row>
    <row r="87" spans="1:6" hidden="1" x14ac:dyDescent="0.25">
      <c r="A87" s="209"/>
      <c r="B87" s="181" t="s">
        <v>338</v>
      </c>
      <c r="C87" s="209" t="s">
        <v>313</v>
      </c>
      <c r="D87" s="209" t="s">
        <v>339</v>
      </c>
    </row>
    <row r="88" spans="1:6" hidden="1" x14ac:dyDescent="0.25">
      <c r="A88" s="211" t="s">
        <v>340</v>
      </c>
      <c r="B88" s="230" t="s">
        <v>341</v>
      </c>
      <c r="C88" s="211" t="s">
        <v>315</v>
      </c>
      <c r="D88" s="211" t="s">
        <v>315</v>
      </c>
    </row>
    <row r="89" spans="1:6" hidden="1" x14ac:dyDescent="0.25"/>
    <row r="90" spans="1:6" hidden="1" x14ac:dyDescent="0.25">
      <c r="A90" s="210" t="s">
        <v>342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343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344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345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346</v>
      </c>
    </row>
    <row r="96" spans="1:6" hidden="1" x14ac:dyDescent="0.25">
      <c r="A96" s="180" t="s">
        <v>347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3" t="s">
        <v>152</v>
      </c>
      <c r="B2" s="253"/>
      <c r="C2" s="253"/>
      <c r="D2" s="253"/>
      <c r="E2" s="253"/>
      <c r="F2" s="253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177</v>
      </c>
      <c r="F4" s="91">
        <v>-2176761.0499999998</v>
      </c>
      <c r="G4" s="70" t="s">
        <v>365</v>
      </c>
    </row>
    <row r="5" spans="1:7" x14ac:dyDescent="0.2">
      <c r="A5" s="70" t="s">
        <v>180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198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175</v>
      </c>
      <c r="F7" s="72">
        <f>+F45</f>
        <v>1794</v>
      </c>
    </row>
    <row r="8" spans="1:7" x14ac:dyDescent="0.2">
      <c r="A8" s="70" t="s">
        <v>174</v>
      </c>
      <c r="F8" s="78">
        <v>1340</v>
      </c>
    </row>
    <row r="9" spans="1:7" ht="15.75" thickBot="1" x14ac:dyDescent="0.25">
      <c r="A9" s="70" t="s">
        <v>176</v>
      </c>
      <c r="F9" s="78">
        <f>+F7*F8</f>
        <v>2403960</v>
      </c>
    </row>
    <row r="10" spans="1:7" ht="16.5" thickBot="1" x14ac:dyDescent="0.3">
      <c r="A10" s="70" t="s">
        <v>211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171</v>
      </c>
      <c r="E12" s="77" t="s">
        <v>173</v>
      </c>
      <c r="F12" s="77" t="s">
        <v>170</v>
      </c>
    </row>
    <row r="13" spans="1:7" x14ac:dyDescent="0.2">
      <c r="B13" s="70" t="s">
        <v>168</v>
      </c>
      <c r="C13" s="77" t="s">
        <v>172</v>
      </c>
      <c r="D13" s="77" t="s">
        <v>199</v>
      </c>
      <c r="E13" s="77" t="s">
        <v>201</v>
      </c>
      <c r="F13" s="77" t="s">
        <v>209</v>
      </c>
    </row>
    <row r="14" spans="1:7" x14ac:dyDescent="0.2">
      <c r="A14" s="73"/>
      <c r="B14" s="73" t="s">
        <v>169</v>
      </c>
      <c r="C14" s="76" t="s">
        <v>170</v>
      </c>
      <c r="D14" s="76" t="s">
        <v>200</v>
      </c>
      <c r="E14" s="76" t="s">
        <v>202</v>
      </c>
      <c r="F14" s="76" t="s">
        <v>210</v>
      </c>
    </row>
    <row r="15" spans="1:7" ht="15.75" x14ac:dyDescent="0.25">
      <c r="A15" s="98" t="s">
        <v>179</v>
      </c>
      <c r="B15" s="81"/>
      <c r="C15" s="80"/>
      <c r="D15" s="80"/>
      <c r="E15" s="81"/>
      <c r="F15" s="80"/>
    </row>
    <row r="16" spans="1:7" x14ac:dyDescent="0.2">
      <c r="A16" s="70" t="s">
        <v>203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204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205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206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207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208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164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178</v>
      </c>
      <c r="B24" s="81"/>
      <c r="C24" s="80"/>
      <c r="D24" s="80"/>
      <c r="E24" s="81"/>
      <c r="F24" s="80"/>
    </row>
    <row r="25" spans="1:6" x14ac:dyDescent="0.2">
      <c r="A25" s="82" t="s">
        <v>165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155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163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164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160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157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158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162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153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154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166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156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159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161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218</v>
      </c>
    </row>
    <row r="41" spans="1:6" x14ac:dyDescent="0.2">
      <c r="A41" s="70" t="s">
        <v>217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167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219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216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J16" sqref="J16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228</v>
      </c>
      <c r="D1" s="132">
        <f>PMT(0.05,30,C4)</f>
        <v>-253700.59681307865</v>
      </c>
      <c r="E1" s="2">
        <v>0.05</v>
      </c>
      <c r="F1" s="52" t="s">
        <v>234</v>
      </c>
      <c r="H1" s="79" t="s">
        <v>229</v>
      </c>
      <c r="J1" s="132">
        <f>PMT(0.05,20,I4)</f>
        <v>-312946.09004369611</v>
      </c>
      <c r="K1" s="2">
        <v>0.05</v>
      </c>
    </row>
    <row r="2" spans="2:17" x14ac:dyDescent="0.2">
      <c r="C2" s="52" t="s">
        <v>236</v>
      </c>
      <c r="D2" s="18">
        <f>+'A-6 Peaking Summary old'!E12</f>
        <v>810</v>
      </c>
      <c r="F2" s="52" t="s">
        <v>235</v>
      </c>
      <c r="M2"/>
      <c r="N2"/>
      <c r="O2"/>
      <c r="P2"/>
      <c r="Q2"/>
    </row>
    <row r="3" spans="2:17" x14ac:dyDescent="0.2">
      <c r="B3" s="52" t="s">
        <v>225</v>
      </c>
      <c r="C3" s="10" t="s">
        <v>223</v>
      </c>
      <c r="D3" s="10" t="s">
        <v>222</v>
      </c>
      <c r="E3" s="52" t="s">
        <v>224</v>
      </c>
      <c r="H3" s="52" t="s">
        <v>225</v>
      </c>
      <c r="I3" s="10" t="s">
        <v>223</v>
      </c>
      <c r="J3" s="10" t="s">
        <v>222</v>
      </c>
      <c r="K3" s="52" t="s">
        <v>224</v>
      </c>
      <c r="M3" s="134"/>
      <c r="N3" s="135"/>
      <c r="O3" s="135"/>
      <c r="P3" s="136" t="s">
        <v>231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227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233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226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232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237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238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239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3"/>
  <sheetViews>
    <sheetView tabSelected="1" zoomScaleNormal="100" workbookViewId="0">
      <pane xSplit="1" ySplit="10" topLeftCell="B31" activePane="bottomRight" state="frozen"/>
      <selection pane="topRight" activeCell="B1" sqref="B1"/>
      <selection pane="bottomLeft" activeCell="A13" sqref="A13"/>
      <selection pane="bottomRight" activeCell="A35" sqref="A35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379</v>
      </c>
      <c r="B1" s="79"/>
      <c r="C1" s="79"/>
      <c r="D1" s="79"/>
      <c r="E1" s="79"/>
      <c r="F1" s="79"/>
      <c r="G1" s="153" t="s">
        <v>248</v>
      </c>
      <c r="H1" s="79"/>
      <c r="I1" s="79"/>
      <c r="J1" s="79"/>
    </row>
    <row r="2" spans="1:10" x14ac:dyDescent="0.2">
      <c r="A2" s="79" t="s">
        <v>249</v>
      </c>
      <c r="B2" s="79"/>
      <c r="C2" s="79"/>
      <c r="D2" s="79"/>
      <c r="E2" s="79"/>
      <c r="F2" s="79"/>
      <c r="G2" s="154" t="s">
        <v>382</v>
      </c>
      <c r="H2" s="79"/>
      <c r="I2" s="79"/>
      <c r="J2" s="79"/>
    </row>
    <row r="3" spans="1:10" x14ac:dyDescent="0.2">
      <c r="A3" s="79" t="s">
        <v>278</v>
      </c>
      <c r="B3" s="79"/>
      <c r="C3" s="79"/>
      <c r="D3" s="79"/>
      <c r="E3" s="79"/>
      <c r="F3" s="79"/>
      <c r="G3" s="155">
        <v>41291</v>
      </c>
      <c r="H3" s="79"/>
      <c r="I3" s="79"/>
      <c r="J3" s="79"/>
    </row>
    <row r="4" spans="1:10" x14ac:dyDescent="0.2">
      <c r="A4" s="79" t="s">
        <v>359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279</v>
      </c>
      <c r="C8" s="88" t="s">
        <v>282</v>
      </c>
      <c r="D8" s="88" t="s">
        <v>284</v>
      </c>
      <c r="E8" s="88" t="s">
        <v>250</v>
      </c>
      <c r="F8" s="88"/>
      <c r="G8" s="79"/>
      <c r="H8" s="79"/>
      <c r="I8" s="79"/>
      <c r="J8" s="79"/>
    </row>
    <row r="9" spans="1:10" x14ac:dyDescent="0.2">
      <c r="A9" s="79"/>
      <c r="B9" s="88" t="s">
        <v>280</v>
      </c>
      <c r="C9" s="88" t="s">
        <v>283</v>
      </c>
      <c r="D9" s="88" t="s">
        <v>285</v>
      </c>
      <c r="E9" s="88" t="s">
        <v>250</v>
      </c>
      <c r="F9" s="88"/>
      <c r="G9" s="88" t="s">
        <v>251</v>
      </c>
      <c r="H9" s="79"/>
      <c r="I9" s="79"/>
      <c r="J9" s="79"/>
    </row>
    <row r="10" spans="1:10" x14ac:dyDescent="0.2">
      <c r="A10" s="133" t="s">
        <v>252</v>
      </c>
      <c r="B10" s="156" t="s">
        <v>281</v>
      </c>
      <c r="C10" s="156" t="s">
        <v>281</v>
      </c>
      <c r="D10" s="156" t="s">
        <v>281</v>
      </c>
      <c r="E10" s="156" t="s">
        <v>250</v>
      </c>
      <c r="F10" s="156" t="s">
        <v>253</v>
      </c>
      <c r="G10" s="156" t="s">
        <v>254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255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256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257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258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">
      <c r="A16" s="159" t="s">
        <v>259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350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260</v>
      </c>
      <c r="H18" s="79"/>
      <c r="I18" s="79"/>
      <c r="J18" s="79"/>
    </row>
    <row r="19" spans="1:10" x14ac:dyDescent="0.2">
      <c r="A19" s="164" t="s">
        <v>351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261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262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">
      <c r="A25" s="159" t="s">
        <v>263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264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262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((D24*0.25)/1000)*'A-9 Finance Assumptions'!$B$16*'A-9 Finance Assumptions'!$B$12</f>
        <v>824215.46542800497</v>
      </c>
      <c r="E28" s="170">
        <f>E24/1000*'A-9 Finance Assumptions'!$B$16*'A-9 Finance Assumptions'!$B$12</f>
        <v>0</v>
      </c>
      <c r="F28" s="161">
        <f>SUM(B28:E28)</f>
        <v>2519666.8234256357</v>
      </c>
      <c r="G28" s="79" t="s">
        <v>265</v>
      </c>
      <c r="H28" s="79"/>
      <c r="I28" s="79"/>
      <c r="J28" s="79"/>
    </row>
    <row r="29" spans="1:10" x14ac:dyDescent="0.2">
      <c r="A29" s="159" t="s">
        <v>266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824215.46542800497</v>
      </c>
      <c r="E29" s="162">
        <f t="shared" si="2"/>
        <v>0</v>
      </c>
      <c r="F29" s="160">
        <f>SUM(B29:E29)</f>
        <v>2519666.8234256357</v>
      </c>
      <c r="G29" s="163"/>
      <c r="H29" s="79"/>
      <c r="I29" s="79"/>
      <c r="J29" s="79"/>
    </row>
    <row r="30" spans="1:10" x14ac:dyDescent="0.2">
      <c r="A30" s="159" t="s">
        <v>267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8.4874417200522176E-2</v>
      </c>
      <c r="E30" s="169">
        <f t="shared" si="3"/>
        <v>0</v>
      </c>
      <c r="F30" s="169">
        <f t="shared" si="3"/>
        <v>0.17134762485129451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268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368</v>
      </c>
      <c r="B33" s="171">
        <v>0</v>
      </c>
      <c r="C33" s="171">
        <v>0</v>
      </c>
      <c r="D33" s="171">
        <f>'[1]Sum 1. City Admin Costs Summary'!$E$30</f>
        <v>3862500</v>
      </c>
      <c r="E33" s="171">
        <v>0</v>
      </c>
      <c r="F33" s="171">
        <f t="shared" ref="F33" si="4">SUM(B33:E33)</f>
        <v>3862500</v>
      </c>
      <c r="G33" s="79"/>
      <c r="H33" s="79"/>
      <c r="I33" s="79"/>
      <c r="J33" s="79"/>
    </row>
    <row r="34" spans="1:10" x14ac:dyDescent="0.2">
      <c r="A34" s="159" t="s">
        <v>366</v>
      </c>
      <c r="B34" s="172">
        <f>B24*0</f>
        <v>0</v>
      </c>
      <c r="C34" s="172">
        <f>C24*0</f>
        <v>0</v>
      </c>
      <c r="D34" s="172">
        <f>D24*0</f>
        <v>0</v>
      </c>
      <c r="E34" s="172">
        <f>E24*0.02</f>
        <v>0</v>
      </c>
      <c r="F34" s="161">
        <f>SUM(B34:E34)</f>
        <v>0</v>
      </c>
      <c r="G34" s="79" t="s">
        <v>356</v>
      </c>
      <c r="H34" s="79"/>
      <c r="I34" s="79"/>
      <c r="J34" s="79"/>
    </row>
    <row r="35" spans="1:10" x14ac:dyDescent="0.2">
      <c r="A35" s="79" t="s">
        <v>269</v>
      </c>
      <c r="B35" s="171">
        <f>SUM(B32:B34)</f>
        <v>0</v>
      </c>
      <c r="C35" s="171">
        <f>SUM(C32:C34)</f>
        <v>0</v>
      </c>
      <c r="D35" s="171">
        <f>SUM(D32:D34)</f>
        <v>3862500</v>
      </c>
      <c r="E35" s="171">
        <f>SUM(E32:E34)</f>
        <v>0</v>
      </c>
      <c r="F35" s="171">
        <f>SUM(F32:F34)</f>
        <v>3862500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270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271</v>
      </c>
      <c r="B38" s="245">
        <f>(B24/$F$24)*$F$38</f>
        <v>-728459.15576360282</v>
      </c>
      <c r="C38" s="245">
        <f t="shared" ref="C38:D38" si="5">(C24/$F$24)*$F$38</f>
        <v>-893442.32612825301</v>
      </c>
      <c r="D38" s="245">
        <f t="shared" si="5"/>
        <v>-3153841.6681081448</v>
      </c>
      <c r="E38" s="245">
        <v>0</v>
      </c>
      <c r="F38" s="246">
        <v>-4775743.1500000004</v>
      </c>
      <c r="G38" s="79" t="s">
        <v>372</v>
      </c>
      <c r="H38" s="79"/>
      <c r="I38" s="79"/>
      <c r="J38" s="79"/>
    </row>
    <row r="39" spans="1:10" x14ac:dyDescent="0.2">
      <c r="A39" s="79" t="s">
        <v>272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273</v>
      </c>
      <c r="B40" s="171">
        <f t="shared" ref="B40:F40" si="6">SUM(B37:B39)</f>
        <v>-728459.15576360282</v>
      </c>
      <c r="C40" s="171">
        <f t="shared" si="6"/>
        <v>-893442.32612825301</v>
      </c>
      <c r="D40" s="171">
        <f t="shared" si="6"/>
        <v>-3153841.6681081448</v>
      </c>
      <c r="E40" s="171">
        <f t="shared" si="6"/>
        <v>0</v>
      </c>
      <c r="F40" s="171">
        <f t="shared" si="6"/>
        <v>-4775743.1500000004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274</v>
      </c>
      <c r="B42" s="175">
        <f>B24+B35+B29-B40</f>
        <v>3732952.426886688</v>
      </c>
      <c r="C42" s="175">
        <f>C24+C35+C29-C40</f>
        <v>4578400.4130027993</v>
      </c>
      <c r="D42" s="175">
        <f>D24+D35+D29-D40</f>
        <v>17551557.133462325</v>
      </c>
      <c r="E42" s="175">
        <f>E24+E35+E29-E40</f>
        <v>0</v>
      </c>
      <c r="F42" s="175">
        <f>F24+F35+F29-F40</f>
        <v>25862909.973351806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349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275</v>
      </c>
      <c r="B46" s="176">
        <f>IF(OR(B42=0,B44&lt;0),0,(B42/B44))</f>
        <v>1008.9060613207265</v>
      </c>
      <c r="C46" s="176">
        <f>IF(OR(C42=0,C44&lt;0),0,(C42/C44))</f>
        <v>1552.0001400009489</v>
      </c>
      <c r="D46" s="176">
        <f t="shared" ref="D46:E46" si="7">IF(OR(D42=0,D44&lt;0),0,(D42/D44))</f>
        <v>355.46086160045587</v>
      </c>
      <c r="E46" s="176">
        <f t="shared" si="7"/>
        <v>0</v>
      </c>
      <c r="F46" s="79"/>
      <c r="G46" s="79" t="s">
        <v>380</v>
      </c>
      <c r="H46" s="79"/>
      <c r="I46" s="79"/>
      <c r="J46" s="79"/>
    </row>
    <row r="47" spans="1:10" x14ac:dyDescent="0.2">
      <c r="A47" s="79"/>
      <c r="B47" s="88" t="s">
        <v>358</v>
      </c>
      <c r="C47" s="79"/>
      <c r="D47" s="88" t="s">
        <v>357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276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355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277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383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374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386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362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367</v>
      </c>
    </row>
    <row r="59" spans="1:10" x14ac:dyDescent="0.2">
      <c r="A59" s="79" t="s">
        <v>369</v>
      </c>
    </row>
    <row r="60" spans="1:10" x14ac:dyDescent="0.2">
      <c r="A60" s="79" t="s">
        <v>376</v>
      </c>
    </row>
    <row r="61" spans="1:10" x14ac:dyDescent="0.2">
      <c r="A61" s="79" t="s">
        <v>375</v>
      </c>
    </row>
    <row r="62" spans="1:10" x14ac:dyDescent="0.2">
      <c r="A62" s="79" t="s">
        <v>373</v>
      </c>
    </row>
    <row r="63" spans="1:10" x14ac:dyDescent="0.2">
      <c r="A63" s="79" t="s">
        <v>384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3" t="s">
        <v>62</v>
      </c>
      <c r="B1" s="253"/>
      <c r="C1" s="253"/>
    </row>
    <row r="2" spans="1:4" ht="15.75" x14ac:dyDescent="0.25">
      <c r="A2" s="11"/>
      <c r="B2" s="11"/>
      <c r="C2" s="11"/>
    </row>
    <row r="3" spans="1:4" ht="20.25" x14ac:dyDescent="0.3">
      <c r="A3" s="254" t="s">
        <v>130</v>
      </c>
      <c r="B3" s="254"/>
      <c r="C3" s="254"/>
    </row>
    <row r="4" spans="1:4" ht="15.75" x14ac:dyDescent="0.25">
      <c r="A4" s="255"/>
      <c r="B4" s="255"/>
      <c r="C4" s="255"/>
      <c r="D4" t="s">
        <v>240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352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241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242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243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138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244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3" t="s">
        <v>73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220</v>
      </c>
      <c r="B3" s="256"/>
      <c r="C3" s="256"/>
    </row>
    <row r="5" spans="1:3" ht="18" x14ac:dyDescent="0.25">
      <c r="A5" s="253" t="s">
        <v>77</v>
      </c>
      <c r="B5" s="253"/>
      <c r="C5" s="253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244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3" t="s">
        <v>377</v>
      </c>
      <c r="B1" s="253"/>
      <c r="C1" s="253"/>
    </row>
    <row r="2" spans="1:3" ht="15.75" x14ac:dyDescent="0.25">
      <c r="A2" s="11"/>
      <c r="B2" s="11"/>
      <c r="C2" s="11"/>
    </row>
    <row r="3" spans="1:3" ht="20.25" x14ac:dyDescent="0.3">
      <c r="A3" s="254" t="s">
        <v>131</v>
      </c>
      <c r="B3" s="254"/>
      <c r="C3" s="254"/>
    </row>
    <row r="4" spans="1:3" ht="15" x14ac:dyDescent="0.2">
      <c r="A4" s="256" t="s">
        <v>221</v>
      </c>
      <c r="B4" s="256"/>
      <c r="C4" s="256"/>
    </row>
    <row r="5" spans="1:3" ht="15.75" x14ac:dyDescent="0.25">
      <c r="A5" s="11"/>
      <c r="B5" s="11"/>
      <c r="C5" s="11"/>
    </row>
    <row r="6" spans="1:3" ht="18" x14ac:dyDescent="0.25">
      <c r="A6" s="253" t="s">
        <v>18</v>
      </c>
      <c r="B6" s="253"/>
      <c r="C6" s="253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181</v>
      </c>
      <c r="B39" s="76" t="s">
        <v>247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244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3" t="s">
        <v>378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221</v>
      </c>
      <c r="B3" s="256"/>
      <c r="C3" s="256"/>
    </row>
    <row r="4" spans="1:3" ht="15.75" x14ac:dyDescent="0.25">
      <c r="A4" s="11"/>
      <c r="B4" s="11"/>
      <c r="C4" s="11"/>
    </row>
    <row r="5" spans="1:3" ht="18" x14ac:dyDescent="0.25">
      <c r="A5" s="253" t="s">
        <v>74</v>
      </c>
      <c r="B5" s="253"/>
      <c r="C5" s="253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245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246</v>
      </c>
    </row>
    <row r="22" spans="1:1" x14ac:dyDescent="0.2">
      <c r="A22" s="52" t="s">
        <v>244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3" t="s">
        <v>83</v>
      </c>
      <c r="B1" s="253"/>
      <c r="C1" s="253"/>
    </row>
    <row r="2" spans="1:9" ht="20.25" x14ac:dyDescent="0.3">
      <c r="A2" s="254" t="s">
        <v>363</v>
      </c>
      <c r="B2" s="254"/>
      <c r="C2" s="254"/>
    </row>
    <row r="3" spans="1:9" ht="15.75" x14ac:dyDescent="0.25">
      <c r="A3" s="255"/>
      <c r="B3" s="255"/>
      <c r="C3" s="255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230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227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233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226</v>
      </c>
      <c r="H10" s="20">
        <f>+'3.6'!D35</f>
        <v>3711017.9043923616</v>
      </c>
    </row>
    <row r="11" spans="1:9" ht="13.5" thickBot="1" x14ac:dyDescent="0.25">
      <c r="C11" s="26"/>
      <c r="G11" s="133" t="s">
        <v>232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3" t="s">
        <v>83</v>
      </c>
      <c r="B1" s="253"/>
      <c r="C1" s="253"/>
    </row>
    <row r="2" spans="1:3" ht="20.25" x14ac:dyDescent="0.3">
      <c r="A2" s="254" t="s">
        <v>370</v>
      </c>
      <c r="B2" s="254"/>
      <c r="C2" s="254"/>
    </row>
    <row r="3" spans="1:3" ht="15.75" x14ac:dyDescent="0.25">
      <c r="A3" s="11"/>
      <c r="B3" s="11"/>
      <c r="C3" s="11"/>
    </row>
    <row r="4" spans="1:3" ht="15.75" x14ac:dyDescent="0.25">
      <c r="A4" s="255" t="s">
        <v>78</v>
      </c>
      <c r="B4" s="255"/>
      <c r="C4" s="255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139</v>
      </c>
      <c r="B20" s="70"/>
      <c r="C20" s="91">
        <v>5000</v>
      </c>
    </row>
    <row r="21" spans="1:3" ht="15" x14ac:dyDescent="0.2">
      <c r="A21" s="82" t="s">
        <v>140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141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124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244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1" sqref="D21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3" t="s">
        <v>84</v>
      </c>
      <c r="B1" s="253"/>
      <c r="C1" s="253"/>
      <c r="D1" s="253"/>
      <c r="E1" s="253"/>
    </row>
    <row r="2" spans="1:5" ht="15.75" x14ac:dyDescent="0.25">
      <c r="A2" s="11"/>
      <c r="B2" s="11"/>
      <c r="C2" s="11"/>
      <c r="D2" s="11"/>
    </row>
    <row r="3" spans="1:5" ht="20.25" x14ac:dyDescent="0.3">
      <c r="A3" s="254" t="s">
        <v>364</v>
      </c>
      <c r="B3" s="254"/>
      <c r="C3" s="254"/>
      <c r="D3" s="254"/>
      <c r="E3" s="254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121</v>
      </c>
    </row>
    <row r="6" spans="1:5" x14ac:dyDescent="0.2">
      <c r="A6" s="29" t="s">
        <v>92</v>
      </c>
      <c r="B6" s="29" t="s">
        <v>94</v>
      </c>
      <c r="C6" s="29" t="s">
        <v>122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115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">
      <c r="A9" t="s">
        <v>129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116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360</v>
      </c>
      <c r="B13" s="26"/>
      <c r="C13" s="6"/>
      <c r="D13" s="43">
        <f>SUM(D7:D11)</f>
        <v>9710999.9999261741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353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361</v>
      </c>
      <c r="B18" s="44"/>
      <c r="C18" s="5"/>
      <c r="D18" s="46">
        <f>D15+D13</f>
        <v>9710999.9999261741</v>
      </c>
    </row>
    <row r="20" spans="1:4" x14ac:dyDescent="0.2">
      <c r="A20" s="247" t="s">
        <v>381</v>
      </c>
      <c r="D20" s="20">
        <f>'[2]1. Wastewater Fee Calc Sum'!$I$53</f>
        <v>49376.904828387487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196.67089368354215</v>
      </c>
    </row>
    <row r="23" spans="1:4" ht="13.5" hidden="1" thickBot="1" x14ac:dyDescent="0.25"/>
    <row r="24" spans="1:4" ht="16.5" hidden="1" thickBot="1" x14ac:dyDescent="0.3">
      <c r="A24" s="47" t="s">
        <v>354</v>
      </c>
      <c r="D24" s="57">
        <f>ROUND(D22,-1)</f>
        <v>200</v>
      </c>
    </row>
    <row r="29" spans="1:4" x14ac:dyDescent="0.2">
      <c r="A29" s="79" t="s">
        <v>244</v>
      </c>
    </row>
  </sheetData>
  <mergeCells count="2">
    <mergeCell ref="A3:E3"/>
    <mergeCell ref="A1:E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QD2UCF5UJE4V-699202894-383</_dlc_DocId>
    <_dlc_DocIdUrl xmlns="7184055b-e5ea-4162-8b19-ace5c644b73a">
      <Url>http://intranet2/pw/_layouts/15/DocIdRedir.aspx?ID=QD2UCF5UJE4V-699202894-383</Url>
      <Description>QD2UCF5UJE4V-699202894-383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62A8A138-4A1E-43B8-9902-944446E03315}"/>
</file>

<file path=customXml/itemProps3.xml><?xml version="1.0" encoding="utf-8"?>
<ds:datastoreItem xmlns:ds="http://schemas.openxmlformats.org/officeDocument/2006/customXml" ds:itemID="{BD2D053C-09E4-4233-B44D-4FDC3D38E885}"/>
</file>

<file path=customXml/itemProps4.xml><?xml version="1.0" encoding="utf-8"?>
<ds:datastoreItem xmlns:ds="http://schemas.openxmlformats.org/officeDocument/2006/customXml" ds:itemID="{7E336FAD-2398-45FD-9BA8-C5A338FA5F76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grich6769</cp:lastModifiedBy>
  <cp:lastPrinted>2013-01-18T22:02:40Z</cp:lastPrinted>
  <dcterms:created xsi:type="dcterms:W3CDTF">2009-12-12T00:04:46Z</dcterms:created>
  <dcterms:modified xsi:type="dcterms:W3CDTF">2013-01-19T00:06:12Z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0b58e59f-80cf-4796-ad3c-aa7ece802713</vt:lpwstr>
  </property>
  <property fmtid="{D5CDD505-2E9C-101B-9397-08002B2CF9AE}" pid="4" name="Order">
    <vt:r8>17500</vt:r8>
  </property>
  <property fmtid="{D5CDD505-2E9C-101B-9397-08002B2CF9AE}" pid="5" name="TemplateUrl">
    <vt:lpwstr/>
  </property>
  <property fmtid="{D5CDD505-2E9C-101B-9397-08002B2CF9AE}" pid="6" name="_dlc_DocId">
    <vt:lpwstr>DS6S4WKU732Q-3-175</vt:lpwstr>
  </property>
  <property fmtid="{D5CDD505-2E9C-101B-9397-08002B2CF9AE}" pid="7" name="_dlc_DocIdUrl">
    <vt:lpwstr>http://intranet:12013/_layouts/DocIdRedir.aspx?ID=DS6S4WKU732Q-3-175, DS6S4WKU732Q-3-175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