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C8" i="16" l="1"/>
  <c r="C11" i="8"/>
  <c r="C8" i="8"/>
  <c r="C8" i="13"/>
  <c r="D33" i="14" l="1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s="1"/>
  <c r="D24" i="14" l="1"/>
  <c r="D34" i="14" l="1"/>
  <c r="D28" i="14"/>
  <c r="D35" i="14" l="1"/>
  <c r="D29" i="14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14" s="1"/>
  <c r="C28" i="8"/>
  <c r="C30" i="8" s="1"/>
  <c r="C32" i="8" s="1"/>
  <c r="B1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B34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D42" i="14" s="1"/>
  <c r="D46" i="14" s="1"/>
  <c r="E8" i="1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E10" i="1"/>
  <c r="E13" i="1"/>
  <c r="E15" i="1"/>
  <c r="E14" i="1"/>
  <c r="E9" i="1"/>
  <c r="E11" i="1"/>
  <c r="E12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F10" i="1" s="1"/>
  <c r="C13" i="1"/>
  <c r="F13" i="1" s="1"/>
  <c r="C9" i="1"/>
  <c r="F9" i="1" s="1"/>
  <c r="C11" i="1"/>
  <c r="F11" i="1" s="1"/>
  <c r="C12" i="1"/>
  <c r="F12" i="1" s="1"/>
  <c r="C14" i="1"/>
  <c r="F14" i="1" s="1"/>
  <c r="C15" i="1"/>
  <c r="F15" i="1" s="1"/>
  <c r="F8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charset val="1"/>
          </rPr>
          <t>Stryder:</t>
        </r>
        <r>
          <rPr>
            <sz val="8"/>
            <color indexed="81"/>
            <rFont val="Tahoma"/>
            <charset val="1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<sst xmlns="http://schemas.openxmlformats.org/spreadsheetml/2006/main" count="457" uniqueCount="386">
  <si>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</si>
  <si>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</si>
  <si>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</si>
  <si>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</si>
  <si>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</si>
  <si>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</si>
  <si>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</si>
  <si>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</si>
  <si>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</si>
  <si>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</si>
  <si>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</si>
  <si>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</si>
  <si>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</si>
  <si>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</si>
  <si>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</si>
  <si>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</si>
  <si>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</si>
  <si>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</si>
  <si>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</si>
  <si>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</si>
  <si>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</si>
  <si>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</si>
  <si>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</si>
  <si>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</si>
  <si>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</si>
  <si>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</si>
  <si>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</si>
  <si>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</si>
  <si>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</si>
  <si>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</si>
  <si>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</si>
  <si>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</si>
  <si>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</si>
  <si>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</si>
  <si>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</si>
  <si>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</si>
  <si>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</si>
  <si>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</si>
  <si>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</si>
  <si>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</si>
  <si>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</si>
  <si>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</si>
  <si>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</si>
  <si>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</si>
  <si>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</si>
  <si>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</si>
  <si>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</si>
  <si>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</si>
  <si>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</si>
  <si>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</si>
  <si>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</si>
  <si>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</si>
  <si>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</si>
  <si>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</si>
  <si>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</si>
  <si>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</si>
  <si>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</si>
  <si>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</si>
  <si>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</si>
  <si>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</si>
  <si>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</si>
  <si>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</si>
  <si>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</si>
  <si>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</si>
  <si>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</si>
  <si>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</si>
  <si>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</si>
  <si>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</si>
  <si>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</si>
  <si>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</si>
  <si>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</si>
  <si>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</si>
  <si>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</si>
  <si>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</si>
  <si>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</si>
  <si>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</si>
  <si>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</si>
  <si>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</si>
  <si>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</si>
  <si>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</si>
  <si>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</si>
  <si>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</si>
  <si>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</si>
  <si>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</si>
  <si>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</si>
  <si>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</si>
  <si>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</si>
  <si>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</si>
  <si>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</si>
  <si>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</si>
  <si>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</si>
  <si>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</si>
  <si>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</si>
  <si>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</si>
  <si>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</si>
  <si>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</si>
  <si>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</si>
  <si>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</si>
  <si>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</si>
  <si>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</si>
  <si>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 xml:space="preserve">Total number of EDUs supported  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</si>
  <si>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</si>
  <si>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</si>
  <si>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</si>
  <si>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</si>
  <si>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</si>
  <si>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</si>
  <si>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</si>
  <si>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</si>
  <si>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</si>
  <si>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</si>
  <si>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</si>
  <si>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</si>
  <si>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</si>
  <si>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</si>
  <si>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</si>
  <si>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</si>
  <si>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</si>
  <si>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</si>
  <si>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</si>
  <si>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</si>
  <si>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</si>
  <si>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</si>
  <si>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</si>
  <si>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</si>
  <si>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</si>
  <si>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</si>
  <si>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</si>
  <si>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</si>
  <si>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</si>
  <si>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</si>
  <si>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</si>
  <si>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</si>
  <si>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</si>
  <si>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</si>
  <si>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</si>
  <si>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</si>
  <si>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</si>
  <si>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</si>
  <si>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</si>
  <si>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</si>
  <si>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</si>
  <si>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</si>
  <si>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</si>
  <si>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</si>
  <si>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</si>
  <si>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</si>
  <si>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</si>
  <si>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</si>
  <si>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</si>
  <si>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</si>
  <si>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</si>
  <si>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</si>
  <si>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</si>
  <si>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</si>
  <si>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</si>
  <si>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</si>
  <si>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</si>
  <si>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</si>
  <si>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</si>
  <si>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</si>
  <si>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</si>
  <si>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</si>
  <si>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</si>
  <si>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</si>
  <si>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</si>
  <si>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</si>
  <si>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</si>
  <si>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</si>
  <si>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</si>
  <si>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</si>
  <si>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</si>
  <si>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</si>
  <si>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</si>
  <si>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</si>
  <si>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</si>
  <si>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</si>
  <si>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</si>
  <si>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</si>
  <si>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</si>
  <si>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</si>
  <si>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</si>
  <si>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</si>
  <si>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</si>
  <si>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</si>
  <si>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</si>
  <si>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</si>
  <si>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</si>
  <si>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</si>
  <si>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</si>
  <si>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</si>
  <si>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</si>
  <si>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</si>
  <si>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</si>
  <si>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</si>
  <si>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</si>
  <si>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</si>
  <si>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</si>
  <si>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</si>
  <si>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</si>
  <si>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</si>
  <si>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</si>
  <si>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</si>
  <si>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</si>
  <si>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</si>
  <si>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</si>
  <si>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</si>
  <si>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</si>
  <si>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</si>
  <si>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</si>
  <si>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</si>
  <si>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</si>
  <si>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</si>
  <si>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</si>
  <si>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</si>
  <si>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</si>
  <si>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</si>
  <si>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</si>
  <si>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</si>
  <si>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</si>
  <si>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</si>
  <si>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</si>
  <si>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</si>
  <si>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</si>
  <si>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</si>
  <si>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</si>
  <si>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</si>
  <si>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</si>
  <si>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</si>
  <si>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</si>
  <si>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</si>
  <si>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</si>
  <si>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</si>
  <si>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</si>
  <si>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</si>
  <si>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</si>
  <si>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</si>
  <si>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</si>
  <si>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</si>
  <si>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</si>
  <si>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</si>
  <si>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</si>
  <si>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</si>
  <si>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</si>
  <si>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</si>
  <si>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</si>
  <si>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</si>
  <si>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</si>
  <si>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</si>
  <si>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</si>
  <si>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</si>
  <si>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</si>
  <si>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</si>
  <si>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</si>
  <si>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</si>
  <si>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</si>
  <si>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</si>
  <si>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</si>
  <si>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</si>
  <si>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</si>
  <si>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</si>
  <si>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</si>
  <si>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</si>
  <si>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</si>
  <si>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</si>
  <si>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</si>
  <si>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</si>
  <si>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</si>
  <si>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</si>
  <si>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</si>
  <si>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</si>
  <si>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</si>
  <si>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</si>
  <si>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</si>
  <si>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</si>
  <si>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</si>
  <si>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</si>
  <si>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</si>
  <si>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</si>
  <si>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</si>
  <si>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</si>
  <si>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</si>
  <si>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</si>
  <si>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</si>
  <si>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</si>
  <si>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</si>
  <si>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</si>
  <si>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</si>
  <si>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</si>
  <si>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</si>
  <si>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</si>
  <si>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</si>
  <si>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</si>
  <si>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</si>
  <si>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</si>
  <si>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</si>
  <si>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</si>
  <si>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</si>
  <si>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</si>
  <si>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</si>
  <si>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</si>
  <si>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</si>
  <si>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</si>
  <si>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</si>
  <si>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</si>
  <si>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</si>
  <si>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</si>
  <si>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</si>
  <si>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</si>
  <si>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</si>
  <si>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</si>
  <si>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</si>
  <si>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</si>
  <si>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</si>
  <si>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</si>
  <si>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</si>
  <si>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</si>
  <si>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</si>
  <si>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</si>
  <si>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</si>
  <si>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</si>
  <si>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</si>
  <si>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</si>
  <si>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</si>
  <si>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</si>
  <si>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</si>
  <si>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</si>
  <si>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</si>
  <si>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</si>
  <si>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</si>
  <si>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</si>
  <si>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</si>
  <si>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</si>
  <si>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</si>
  <si>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</si>
  <si>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</si>
  <si>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</si>
  <si>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</si>
  <si>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</si>
  <si>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</si>
  <si>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</si>
  <si>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</si>
  <si>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</si>
  <si>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</si>
  <si>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</si>
  <si>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</si>
  <si>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</si>
  <si>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</si>
  <si>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</si>
  <si>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</si>
  <si>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</si>
  <si>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</si>
  <si>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</si>
  <si>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</si>
  <si>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</si>
  <si>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</si>
  <si>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</si>
  <si>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</si>
  <si>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</si>
  <si>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</si>
  <si>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</si>
  <si>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</si>
  <si>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</si>
  <si>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</si>
  <si>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</si>
  <si>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</si>
  <si>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</si>
  <si>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</si>
  <si>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</si>
  <si>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</si>
  <si>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</si>
  <si>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</si>
  <si>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</si>
  <si>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</si>
  <si>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</si>
  <si>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</si>
  <si>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Working Draft - v5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</si>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</sst>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8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6606250</v>
          </cell>
        </row>
        <row r="30">
          <cell r="E30">
            <v>6981250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abSelected="1" topLeftCell="A4" zoomScale="90" zoomScaleNormal="90" workbookViewId="0">
      <selection activeCell="G13" sqref="G13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7" t="s">
        <v>61</v>
      </c>
      <c r="B1" s="247"/>
      <c r="C1" s="247"/>
      <c r="D1" s="247"/>
      <c r="E1" s="247"/>
      <c r="F1" s="247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8" t="s">
        <v>139</v>
      </c>
      <c r="B3" s="248"/>
      <c r="C3" s="248"/>
      <c r="D3" s="248"/>
      <c r="E3" s="248"/>
      <c r="F3" s="248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49" t="s">
        <v>101</v>
      </c>
      <c r="D6" s="250"/>
      <c r="E6" s="250"/>
      <c r="F6" s="251"/>
    </row>
    <row r="7" spans="1:9" ht="76.5" customHeight="1" x14ac:dyDescent="0.2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102</v>
      </c>
    </row>
    <row r="8" spans="1:9" s="8" customFormat="1" ht="19.5" customHeight="1" x14ac:dyDescent="0.2">
      <c r="A8" s="54" t="s">
        <v>3</v>
      </c>
      <c r="B8" s="236">
        <v>1</v>
      </c>
      <c r="C8" s="128">
        <f>'A-1.1 Water Fee Calc Sum'!$B$46*B8</f>
        <v>1009.0570567735826</v>
      </c>
      <c r="D8" s="129">
        <f>'A-1.1 Water Fee Calc Sum'!$C$46*B8</f>
        <v>1552.2324162979764</v>
      </c>
      <c r="E8" s="129">
        <f>'A-1.1 Water Fee Calc Sum'!$D$46*B8</f>
        <v>385.75620552488436</v>
      </c>
      <c r="F8" s="239">
        <f t="shared" ref="F8:F15" si="0">+C8+D8+E8</f>
        <v>2947.0456785964434</v>
      </c>
      <c r="I8" s="69"/>
    </row>
    <row r="9" spans="1:9" s="8" customFormat="1" ht="19.5" customHeight="1" x14ac:dyDescent="0.2">
      <c r="A9" s="54" t="s">
        <v>4</v>
      </c>
      <c r="B9" s="236">
        <v>1.67</v>
      </c>
      <c r="C9" s="128">
        <f>+C$8*B9</f>
        <v>1685.1252848118829</v>
      </c>
      <c r="D9" s="129">
        <f>+D$8*B9</f>
        <v>2592.2281352176205</v>
      </c>
      <c r="E9" s="129">
        <f t="shared" ref="E9:E15" si="1">+E$8*B9</f>
        <v>644.21286322655681</v>
      </c>
      <c r="F9" s="239">
        <f t="shared" si="0"/>
        <v>4921.5662832560602</v>
      </c>
    </row>
    <row r="10" spans="1:9" s="8" customFormat="1" ht="19.5" customHeight="1" x14ac:dyDescent="0.2">
      <c r="A10" s="54" t="s">
        <v>5</v>
      </c>
      <c r="B10" s="236">
        <v>3.33</v>
      </c>
      <c r="C10" s="128">
        <f t="shared" ref="C10:C15" si="2">+C$8*B10</f>
        <v>3360.1599990560303</v>
      </c>
      <c r="D10" s="129">
        <f t="shared" ref="D10:D15" si="3">+D$8*B10</f>
        <v>5168.9339462722619</v>
      </c>
      <c r="E10" s="129">
        <f t="shared" si="1"/>
        <v>1284.5681643978651</v>
      </c>
      <c r="F10" s="239">
        <f t="shared" si="0"/>
        <v>9813.6621097261559</v>
      </c>
    </row>
    <row r="11" spans="1:9" s="8" customFormat="1" ht="19.5" customHeight="1" x14ac:dyDescent="0.2">
      <c r="A11" s="54" t="s">
        <v>6</v>
      </c>
      <c r="B11" s="236">
        <v>5.33</v>
      </c>
      <c r="C11" s="128">
        <f t="shared" si="2"/>
        <v>5378.2741126031951</v>
      </c>
      <c r="D11" s="129">
        <f t="shared" si="3"/>
        <v>8273.3987788682152</v>
      </c>
      <c r="E11" s="129">
        <f t="shared" si="1"/>
        <v>2056.0805754476337</v>
      </c>
      <c r="F11" s="239">
        <f t="shared" si="0"/>
        <v>15707.753466919045</v>
      </c>
    </row>
    <row r="12" spans="1:9" s="8" customFormat="1" ht="19.5" customHeight="1" x14ac:dyDescent="0.2">
      <c r="A12" s="54" t="s">
        <v>7</v>
      </c>
      <c r="B12" s="236">
        <v>10</v>
      </c>
      <c r="C12" s="128">
        <f t="shared" si="2"/>
        <v>10090.570567735827</v>
      </c>
      <c r="D12" s="129">
        <f t="shared" si="3"/>
        <v>15522.324162979765</v>
      </c>
      <c r="E12" s="129">
        <f t="shared" si="1"/>
        <v>3857.5620552488435</v>
      </c>
      <c r="F12" s="239">
        <f t="shared" si="0"/>
        <v>29470.456785964434</v>
      </c>
    </row>
    <row r="13" spans="1:9" s="8" customFormat="1" ht="19.5" customHeight="1" x14ac:dyDescent="0.2">
      <c r="A13" s="54" t="s">
        <v>8</v>
      </c>
      <c r="B13" s="236">
        <v>16.670000000000002</v>
      </c>
      <c r="C13" s="128">
        <f t="shared" si="2"/>
        <v>16820.981136415623</v>
      </c>
      <c r="D13" s="129">
        <f t="shared" si="3"/>
        <v>25875.71437968727</v>
      </c>
      <c r="E13" s="129">
        <f t="shared" si="1"/>
        <v>6430.5559460998229</v>
      </c>
      <c r="F13" s="239">
        <f t="shared" si="0"/>
        <v>49127.251462202708</v>
      </c>
    </row>
    <row r="14" spans="1:9" s="8" customFormat="1" ht="19.5" customHeight="1" x14ac:dyDescent="0.2">
      <c r="A14" s="54" t="s">
        <v>9</v>
      </c>
      <c r="B14" s="236">
        <v>33.33</v>
      </c>
      <c r="C14" s="128">
        <f t="shared" si="2"/>
        <v>33631.87170226351</v>
      </c>
      <c r="D14" s="129">
        <f t="shared" si="3"/>
        <v>51735.906435211553</v>
      </c>
      <c r="E14" s="129">
        <f t="shared" si="1"/>
        <v>12857.254330144395</v>
      </c>
      <c r="F14" s="239">
        <f t="shared" si="0"/>
        <v>98225.032467619458</v>
      </c>
    </row>
    <row r="15" spans="1:9" s="8" customFormat="1" ht="19.5" customHeight="1" thickBot="1" x14ac:dyDescent="0.25">
      <c r="A15" s="55" t="s">
        <v>10</v>
      </c>
      <c r="B15" s="237">
        <v>53.33</v>
      </c>
      <c r="C15" s="130">
        <f t="shared" si="2"/>
        <v>53813.012837735158</v>
      </c>
      <c r="D15" s="131">
        <f t="shared" si="3"/>
        <v>82780.554761171079</v>
      </c>
      <c r="E15" s="131">
        <f t="shared" si="1"/>
        <v>20572.378440642082</v>
      </c>
      <c r="F15" s="243">
        <f t="shared" si="0"/>
        <v>157165.94603954832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A30" sqref="A30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2" t="s">
        <v>85</v>
      </c>
      <c r="B1" s="252"/>
      <c r="C1" s="252"/>
      <c r="D1" s="252"/>
      <c r="E1" s="252"/>
    </row>
    <row r="2" spans="1:5" ht="15.75" x14ac:dyDescent="0.25">
      <c r="A2" s="47"/>
      <c r="D2" s="61"/>
    </row>
    <row r="3" spans="1:5" ht="20.25" x14ac:dyDescent="0.3">
      <c r="A3" s="253" t="s">
        <v>138</v>
      </c>
      <c r="B3" s="253"/>
      <c r="C3" s="253"/>
      <c r="D3" s="253"/>
      <c r="E3" s="253"/>
    </row>
    <row r="5" spans="1:5" x14ac:dyDescent="0.2">
      <c r="A5" s="3" t="s">
        <v>95</v>
      </c>
      <c r="D5" s="31" t="s">
        <v>98</v>
      </c>
      <c r="E5" s="45" t="s">
        <v>120</v>
      </c>
    </row>
    <row r="6" spans="1:5" x14ac:dyDescent="0.2">
      <c r="A6" s="15" t="s">
        <v>99</v>
      </c>
      <c r="D6" s="20">
        <v>450000</v>
      </c>
      <c r="E6" s="20">
        <f>+D6/5280</f>
        <v>85.227272727272734</v>
      </c>
    </row>
    <row r="7" spans="1:5" x14ac:dyDescent="0.2">
      <c r="A7" s="15" t="s">
        <v>103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104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121</v>
      </c>
      <c r="B12" t="s">
        <v>107</v>
      </c>
      <c r="C12" s="241" t="s">
        <v>109</v>
      </c>
      <c r="D12" s="10" t="s">
        <v>112</v>
      </c>
    </row>
    <row r="13" spans="1:5" x14ac:dyDescent="0.2">
      <c r="A13" s="27" t="s">
        <v>114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108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110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111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116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105</v>
      </c>
      <c r="B21" t="s">
        <v>107</v>
      </c>
      <c r="C21" s="241" t="s">
        <v>109</v>
      </c>
      <c r="D21" s="10" t="s">
        <v>112</v>
      </c>
    </row>
    <row r="22" spans="1:5" x14ac:dyDescent="0.2">
      <c r="A22" s="27" t="s">
        <v>106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108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110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111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116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122</v>
      </c>
      <c r="B30" t="s">
        <v>107</v>
      </c>
      <c r="C30" s="241" t="s">
        <v>109</v>
      </c>
      <c r="D30" s="10" t="s">
        <v>112</v>
      </c>
    </row>
    <row r="31" spans="1:5" x14ac:dyDescent="0.2">
      <c r="A31" s="27" t="s">
        <v>115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113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110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111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119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125</v>
      </c>
      <c r="C38" s="9"/>
      <c r="D38" s="2">
        <f>0.02+0.04+0.04</f>
        <v>0.1</v>
      </c>
    </row>
    <row r="39" spans="1:4" x14ac:dyDescent="0.2">
      <c r="A39" s="85" t="s">
        <v>199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4" t="s">
        <v>144</v>
      </c>
      <c r="B3" s="254"/>
      <c r="C3" s="254"/>
      <c r="D3" s="254"/>
      <c r="E3" s="254"/>
      <c r="F3" s="254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7" t="s">
        <v>134</v>
      </c>
      <c r="B5" s="257"/>
      <c r="C5" s="257"/>
      <c r="D5" s="257"/>
      <c r="E5" s="257"/>
      <c r="F5" s="257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128</v>
      </c>
      <c r="D8" s="18">
        <v>4436000</v>
      </c>
    </row>
    <row r="9" spans="1:6" hidden="1" x14ac:dyDescent="0.2">
      <c r="A9" s="12" t="s">
        <v>129</v>
      </c>
      <c r="B9" s="2"/>
      <c r="D9" s="48">
        <v>5026000</v>
      </c>
    </row>
    <row r="10" spans="1:6" hidden="1" x14ac:dyDescent="0.2">
      <c r="A10" s="59" t="s">
        <v>137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130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127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136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6" t="s">
        <v>135</v>
      </c>
      <c r="B19" s="256"/>
      <c r="C19" s="256"/>
      <c r="D19" s="256"/>
      <c r="E19" s="256"/>
    </row>
    <row r="20" spans="1:6" hidden="1" x14ac:dyDescent="0.2"/>
    <row r="22" spans="1:6" x14ac:dyDescent="0.2">
      <c r="E22" s="20"/>
    </row>
    <row r="23" spans="1:6" ht="15.75" x14ac:dyDescent="0.25">
      <c r="A23" s="254" t="s">
        <v>144</v>
      </c>
      <c r="B23" s="254"/>
      <c r="C23" s="254"/>
      <c r="D23" s="254"/>
      <c r="E23" s="254"/>
      <c r="F23" s="254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7" t="s">
        <v>214</v>
      </c>
      <c r="B25" s="257"/>
      <c r="C25" s="257"/>
      <c r="D25" s="257"/>
      <c r="E25" s="257"/>
      <c r="F25" s="257"/>
    </row>
    <row r="27" spans="1:6" x14ac:dyDescent="0.2">
      <c r="B27" s="45" t="s">
        <v>93</v>
      </c>
      <c r="C27" s="45" t="s">
        <v>148</v>
      </c>
      <c r="D27" s="45" t="s">
        <v>146</v>
      </c>
      <c r="E27" s="45"/>
      <c r="F27" s="45"/>
    </row>
    <row r="28" spans="1:6" x14ac:dyDescent="0.2">
      <c r="A28" s="3" t="s">
        <v>145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147</v>
      </c>
    </row>
    <row r="30" spans="1:6" x14ac:dyDescent="0.2">
      <c r="A30" s="52" t="s">
        <v>197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149</v>
      </c>
    </row>
    <row r="32" spans="1:6" x14ac:dyDescent="0.2">
      <c r="A32" s="52" t="s">
        <v>184</v>
      </c>
      <c r="B32" s="18">
        <v>175000</v>
      </c>
      <c r="C32" s="88" t="s">
        <v>185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187</v>
      </c>
      <c r="B33" s="18">
        <v>150000</v>
      </c>
      <c r="C33" s="10" t="s">
        <v>186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188</v>
      </c>
      <c r="D34" s="18">
        <v>10000</v>
      </c>
      <c r="F34" s="19">
        <f>+D34</f>
        <v>10000</v>
      </c>
    </row>
    <row r="35" spans="1:6" x14ac:dyDescent="0.2">
      <c r="A35" s="52" t="s">
        <v>150</v>
      </c>
      <c r="D35" s="48">
        <v>5000</v>
      </c>
      <c r="F35" s="22">
        <f>+D35</f>
        <v>5000</v>
      </c>
    </row>
    <row r="37" spans="1:6" x14ac:dyDescent="0.2">
      <c r="B37" s="52" t="s">
        <v>151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152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153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198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215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216</v>
      </c>
      <c r="B50" s="93"/>
      <c r="C50" s="93"/>
      <c r="D50" s="93"/>
    </row>
    <row r="51" spans="1:4" x14ac:dyDescent="0.2">
      <c r="A51" s="12" t="s">
        <v>189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190</v>
      </c>
      <c r="B52" s="20"/>
      <c r="C52" s="20">
        <v>7898</v>
      </c>
      <c r="D52" s="20">
        <v>3361</v>
      </c>
    </row>
    <row r="53" spans="1:4" x14ac:dyDescent="0.2">
      <c r="A53" s="12" t="s">
        <v>191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192</v>
      </c>
      <c r="B54" s="20">
        <v>6047</v>
      </c>
      <c r="C54" s="20"/>
      <c r="D54" s="20">
        <v>1820</v>
      </c>
    </row>
    <row r="55" spans="1:4" x14ac:dyDescent="0.2">
      <c r="A55" s="12" t="s">
        <v>193</v>
      </c>
      <c r="B55" s="20"/>
      <c r="C55" s="20"/>
      <c r="D55" s="20">
        <v>211</v>
      </c>
    </row>
    <row r="56" spans="1:4" x14ac:dyDescent="0.2">
      <c r="A56" s="12" t="s">
        <v>194</v>
      </c>
      <c r="B56" s="20"/>
      <c r="C56" s="20"/>
      <c r="D56" s="20"/>
    </row>
    <row r="57" spans="1:4" x14ac:dyDescent="0.2">
      <c r="A57" s="12" t="s">
        <v>195</v>
      </c>
      <c r="B57" s="20"/>
      <c r="C57" s="20">
        <v>760</v>
      </c>
      <c r="D57" s="20"/>
    </row>
    <row r="58" spans="1:4" x14ac:dyDescent="0.2">
      <c r="A58" s="12" t="s">
        <v>196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217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2578125" defaultRowHeight="15.75" x14ac:dyDescent="0.25"/>
  <cols>
    <col min="1" max="1" width="51.5703125" style="180" bestFit="1" customWidth="1"/>
    <col min="2" max="2" width="16.140625" style="180" bestFit="1" customWidth="1"/>
    <col min="3" max="3" width="14.28515625" style="180" customWidth="1"/>
    <col min="4" max="4" width="17.5703125" style="180" bestFit="1" customWidth="1"/>
    <col min="5" max="5" width="11.42578125" style="180" customWidth="1"/>
    <col min="6" max="6" width="13.28515625" style="180" customWidth="1"/>
    <col min="7" max="8" width="11.42578125" style="180" customWidth="1"/>
    <col min="9" max="9" width="48.7109375" style="180" customWidth="1"/>
    <col min="10" max="11" width="11.42578125" style="180" customWidth="1"/>
    <col min="12" max="12" width="16.5703125" style="180" bestFit="1" customWidth="1"/>
    <col min="13" max="13" width="11.42578125" style="180" customWidth="1"/>
    <col min="14" max="14" width="30.42578125" style="180" bestFit="1" customWidth="1"/>
    <col min="15" max="16384" width="11.42578125" style="180"/>
  </cols>
  <sheetData>
    <row r="1" spans="1:7" x14ac:dyDescent="0.25">
      <c r="A1" s="70" t="s">
        <v>375</v>
      </c>
      <c r="B1" s="178" t="str">
        <f>'A-1.1 Water Fee Calc Sum'!$G$1</f>
        <v>Internal</v>
      </c>
      <c r="C1" s="179"/>
      <c r="G1" s="181" t="s">
        <v>290</v>
      </c>
    </row>
    <row r="2" spans="1:7" x14ac:dyDescent="0.25">
      <c r="A2" s="70" t="s">
        <v>251</v>
      </c>
      <c r="B2" s="182" t="str">
        <f>'A-1.1 Water Fee Calc Sum'!$G$2</f>
        <v>Working Draft - v5</v>
      </c>
      <c r="C2" s="179"/>
      <c r="G2" s="181"/>
    </row>
    <row r="3" spans="1:7" x14ac:dyDescent="0.25">
      <c r="A3" s="70" t="s">
        <v>352</v>
      </c>
      <c r="B3" s="183">
        <f>'A-1.1 Water Fee Calc Sum'!$G$3</f>
        <v>41246</v>
      </c>
      <c r="C3" s="179"/>
      <c r="G3" s="181"/>
    </row>
    <row r="4" spans="1:7" x14ac:dyDescent="0.25">
      <c r="A4" s="70" t="s">
        <v>291</v>
      </c>
      <c r="B4" s="79"/>
      <c r="C4" s="179"/>
      <c r="G4" s="181"/>
    </row>
    <row r="5" spans="1:7" x14ac:dyDescent="0.25">
      <c r="A5" s="179"/>
      <c r="B5" s="179"/>
      <c r="C5" s="179"/>
      <c r="G5" s="181"/>
    </row>
    <row r="6" spans="1:7" x14ac:dyDescent="0.25">
      <c r="A6" s="179"/>
      <c r="B6" s="179"/>
      <c r="C6" s="179"/>
      <c r="G6" s="181"/>
    </row>
    <row r="7" spans="1:7" x14ac:dyDescent="0.25">
      <c r="A7" s="179"/>
      <c r="B7" s="184"/>
      <c r="C7" s="179"/>
      <c r="G7" s="181"/>
    </row>
    <row r="8" spans="1:7" x14ac:dyDescent="0.25">
      <c r="A8" s="179"/>
      <c r="B8" s="179"/>
      <c r="C8" s="179"/>
      <c r="D8" s="185"/>
      <c r="E8" s="185"/>
      <c r="F8" s="185"/>
      <c r="G8" s="181"/>
    </row>
    <row r="9" spans="1:7" x14ac:dyDescent="0.25">
      <c r="A9" s="186" t="s">
        <v>254</v>
      </c>
      <c r="B9" s="187" t="s">
        <v>107</v>
      </c>
      <c r="C9" s="179"/>
      <c r="D9" s="185"/>
      <c r="E9" s="185"/>
      <c r="F9" s="185"/>
      <c r="G9" s="181"/>
    </row>
    <row r="10" spans="1:7" x14ac:dyDescent="0.25">
      <c r="A10" s="188"/>
      <c r="B10" s="188"/>
      <c r="C10" s="179"/>
      <c r="D10" s="189"/>
      <c r="E10" s="189"/>
      <c r="F10" s="185"/>
      <c r="G10" s="181"/>
    </row>
    <row r="11" spans="1:7" x14ac:dyDescent="0.25">
      <c r="A11" s="179" t="s">
        <v>292</v>
      </c>
      <c r="B11" s="190">
        <v>0.02</v>
      </c>
      <c r="C11" s="179"/>
      <c r="D11" s="185"/>
      <c r="E11" s="185"/>
      <c r="F11" s="185"/>
      <c r="G11" s="181"/>
    </row>
    <row r="12" spans="1:7" x14ac:dyDescent="0.25">
      <c r="A12" s="179" t="s">
        <v>293</v>
      </c>
      <c r="B12" s="191">
        <v>30</v>
      </c>
      <c r="C12" s="179"/>
      <c r="G12" s="181"/>
    </row>
    <row r="13" spans="1:7" x14ac:dyDescent="0.25">
      <c r="A13" s="179" t="s">
        <v>294</v>
      </c>
      <c r="B13" s="191">
        <v>1</v>
      </c>
      <c r="C13" s="179"/>
      <c r="G13" s="181"/>
    </row>
    <row r="14" spans="1:7" x14ac:dyDescent="0.25">
      <c r="A14" s="179" t="s">
        <v>295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idden="1" x14ac:dyDescent="0.25">
      <c r="A15" s="179" t="s">
        <v>296</v>
      </c>
      <c r="B15" s="192">
        <f>(-PMT(B11/B13,B12*B13,B34,0))*B13</f>
        <v>166700.98094583635</v>
      </c>
      <c r="C15" s="195"/>
      <c r="D15" s="194"/>
      <c r="E15" s="194"/>
      <c r="F15" s="194"/>
      <c r="G15" s="181"/>
    </row>
    <row r="16" spans="1:7" x14ac:dyDescent="0.25">
      <c r="A16" s="179" t="s">
        <v>297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x14ac:dyDescent="0.25">
      <c r="A17" s="179"/>
      <c r="B17" s="192"/>
      <c r="C17" s="195"/>
      <c r="D17" s="194"/>
      <c r="E17" s="194"/>
      <c r="F17" s="194"/>
      <c r="G17" s="181"/>
    </row>
    <row r="18" spans="1:7" hidden="1" x14ac:dyDescent="0.25">
      <c r="A18" s="179"/>
      <c r="B18" s="192"/>
      <c r="C18" s="195"/>
      <c r="D18" s="194"/>
      <c r="E18" s="194"/>
      <c r="F18" s="194"/>
      <c r="G18" s="181"/>
    </row>
    <row r="19" spans="1:7" hidden="1" x14ac:dyDescent="0.25">
      <c r="A19" s="179"/>
      <c r="B19" s="195"/>
      <c r="C19" s="195"/>
      <c r="D19" s="194"/>
      <c r="E19" s="194"/>
      <c r="F19" s="194"/>
      <c r="G19" s="181"/>
    </row>
    <row r="20" spans="1:7" hidden="1" x14ac:dyDescent="0.25">
      <c r="A20" s="179" t="s">
        <v>298</v>
      </c>
      <c r="B20" s="195">
        <f>'A-1.1 Water Fee Calc Sum'!B42</f>
        <v>3733511.110062256</v>
      </c>
      <c r="C20" s="196"/>
      <c r="D20" s="197"/>
      <c r="G20" s="181"/>
    </row>
    <row r="21" spans="1:7" hidden="1" x14ac:dyDescent="0.25">
      <c r="A21" s="179"/>
      <c r="B21" s="198"/>
      <c r="C21" s="179"/>
      <c r="D21" s="199"/>
      <c r="E21" s="200"/>
      <c r="G21" s="181"/>
    </row>
    <row r="22" spans="1:7" hidden="1" x14ac:dyDescent="0.25">
      <c r="A22" s="179" t="s">
        <v>299</v>
      </c>
      <c r="B22" s="195">
        <f>SUM(B20:B20)</f>
        <v>3733511.110062256</v>
      </c>
      <c r="C22" s="201">
        <f>B22/B34</f>
        <v>1</v>
      </c>
      <c r="E22" s="200"/>
      <c r="F22" s="200"/>
      <c r="G22" s="181"/>
    </row>
    <row r="23" spans="1:7" hidden="1" x14ac:dyDescent="0.25">
      <c r="A23" s="179"/>
      <c r="B23" s="179"/>
      <c r="C23" s="179"/>
      <c r="G23" s="181"/>
    </row>
    <row r="24" spans="1:7" hidden="1" x14ac:dyDescent="0.25">
      <c r="A24" s="179" t="s">
        <v>300</v>
      </c>
      <c r="B24" s="195"/>
      <c r="C24" s="195"/>
      <c r="D24" s="194"/>
      <c r="E24" s="194"/>
      <c r="F24" s="194"/>
      <c r="G24" s="181"/>
    </row>
    <row r="25" spans="1:7" hidden="1" x14ac:dyDescent="0.25">
      <c r="A25" s="179" t="s">
        <v>301</v>
      </c>
      <c r="B25" s="195">
        <f>B62+$B$34*C62</f>
        <v>0</v>
      </c>
      <c r="C25" s="195"/>
      <c r="D25" s="194"/>
      <c r="E25" s="194"/>
      <c r="F25" s="194"/>
      <c r="G25" s="181"/>
    </row>
    <row r="26" spans="1:7" hidden="1" x14ac:dyDescent="0.25">
      <c r="A26" s="179" t="s">
        <v>302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idden="1" x14ac:dyDescent="0.25">
      <c r="A27" s="179" t="s">
        <v>303</v>
      </c>
      <c r="B27" s="195">
        <f>B64+$B$34*C64</f>
        <v>0</v>
      </c>
      <c r="C27" s="179"/>
      <c r="G27" s="181"/>
    </row>
    <row r="28" spans="1:7" hidden="1" x14ac:dyDescent="0.25">
      <c r="A28" s="179" t="s">
        <v>304</v>
      </c>
      <c r="B28" s="195">
        <f>B65+$B$34*C65</f>
        <v>0</v>
      </c>
      <c r="C28" s="201"/>
      <c r="D28" s="194"/>
      <c r="E28" s="194"/>
      <c r="F28" s="194"/>
      <c r="G28" s="181"/>
    </row>
    <row r="29" spans="1:7" hidden="1" x14ac:dyDescent="0.25">
      <c r="A29" s="179" t="s">
        <v>305</v>
      </c>
      <c r="B29" s="195">
        <f>B66+$B$34*C66</f>
        <v>0</v>
      </c>
      <c r="C29" s="201"/>
      <c r="G29" s="181"/>
    </row>
    <row r="30" spans="1:7" hidden="1" x14ac:dyDescent="0.25">
      <c r="A30" s="179" t="s">
        <v>306</v>
      </c>
      <c r="B30" s="195">
        <f>SUM(B68:B71)+$B$34*SUM(C68:C71)</f>
        <v>0</v>
      </c>
      <c r="C30" s="201"/>
      <c r="G30" s="181"/>
    </row>
    <row r="31" spans="1:7" hidden="1" x14ac:dyDescent="0.25">
      <c r="A31" s="179"/>
      <c r="B31" s="198"/>
      <c r="C31" s="203"/>
      <c r="D31" s="194"/>
      <c r="E31" s="194"/>
      <c r="F31" s="194"/>
      <c r="G31" s="181"/>
    </row>
    <row r="32" spans="1:7" hidden="1" x14ac:dyDescent="0.25">
      <c r="A32" s="179" t="s">
        <v>307</v>
      </c>
      <c r="B32" s="195">
        <f>SUM(B24:B31)</f>
        <v>0</v>
      </c>
      <c r="C32" s="190">
        <f>B32/B34</f>
        <v>0</v>
      </c>
      <c r="G32" s="181"/>
    </row>
    <row r="33" spans="1:7" hidden="1" x14ac:dyDescent="0.25">
      <c r="A33" s="179"/>
      <c r="B33" s="198"/>
      <c r="C33" s="190"/>
      <c r="G33" s="181"/>
    </row>
    <row r="34" spans="1:7" hidden="1" x14ac:dyDescent="0.25">
      <c r="A34" s="195" t="s">
        <v>308</v>
      </c>
      <c r="B34" s="195">
        <f>(+B22+B73)/(1-C73)</f>
        <v>3733511.110062256</v>
      </c>
      <c r="C34" s="190">
        <f>SUM(C22:C33)</f>
        <v>1</v>
      </c>
      <c r="G34" s="181"/>
    </row>
    <row r="35" spans="1:7" hidden="1" x14ac:dyDescent="0.25">
      <c r="A35" s="179"/>
      <c r="B35" s="179"/>
      <c r="C35" s="179"/>
      <c r="G35" s="181"/>
    </row>
    <row r="36" spans="1:7" hidden="1" x14ac:dyDescent="0.25">
      <c r="A36" s="179" t="s">
        <v>309</v>
      </c>
      <c r="B36" s="195">
        <f>B22+B32</f>
        <v>3733511.110062256</v>
      </c>
      <c r="C36" s="179"/>
      <c r="D36" s="194"/>
      <c r="E36" s="194"/>
      <c r="F36" s="194"/>
      <c r="G36" s="181"/>
    </row>
    <row r="37" spans="1:7" hidden="1" x14ac:dyDescent="0.25">
      <c r="A37" s="179"/>
      <c r="B37" s="179"/>
      <c r="C37" s="179"/>
      <c r="G37" s="181"/>
    </row>
    <row r="38" spans="1:7" hidden="1" x14ac:dyDescent="0.25">
      <c r="A38" s="179" t="s">
        <v>310</v>
      </c>
      <c r="B38" s="195">
        <f>IF(MOD(B34,5000)&gt;0,TRUNC(B34/5000)*5000+5000,B34)</f>
        <v>3735000</v>
      </c>
      <c r="C38" s="195"/>
      <c r="G38" s="181"/>
    </row>
    <row r="39" spans="1:7" x14ac:dyDescent="0.25">
      <c r="A39" s="188" t="s">
        <v>311</v>
      </c>
      <c r="B39" s="195"/>
      <c r="C39" s="195"/>
      <c r="G39" s="181"/>
    </row>
    <row r="40" spans="1:7" x14ac:dyDescent="0.25">
      <c r="A40" s="179"/>
      <c r="B40" s="179"/>
      <c r="C40" s="179"/>
      <c r="G40" s="181"/>
    </row>
    <row r="41" spans="1:7" hidden="1" x14ac:dyDescent="0.25">
      <c r="A41" s="179" t="s">
        <v>312</v>
      </c>
      <c r="B41" s="179"/>
      <c r="C41" s="179"/>
      <c r="G41" s="181"/>
    </row>
    <row r="42" spans="1:7" x14ac:dyDescent="0.25">
      <c r="A42" s="179"/>
      <c r="B42" s="179"/>
      <c r="C42" s="179"/>
      <c r="G42" s="181"/>
    </row>
    <row r="43" spans="1:7" x14ac:dyDescent="0.25">
      <c r="A43" s="204" t="s">
        <v>313</v>
      </c>
      <c r="B43" s="179"/>
      <c r="C43" s="179"/>
      <c r="G43" s="181"/>
    </row>
    <row r="44" spans="1:7" x14ac:dyDescent="0.25">
      <c r="A44" s="179"/>
      <c r="B44" s="179"/>
      <c r="C44" s="179"/>
      <c r="G44" s="181"/>
    </row>
    <row r="45" spans="1:7" x14ac:dyDescent="0.25">
      <c r="A45" s="204" t="s">
        <v>314</v>
      </c>
      <c r="B45" s="179"/>
      <c r="C45" s="179"/>
      <c r="G45" s="181"/>
    </row>
    <row r="46" spans="1:7" x14ac:dyDescent="0.25">
      <c r="A46" s="205"/>
      <c r="G46" s="181"/>
    </row>
    <row r="47" spans="1:7" hidden="1" x14ac:dyDescent="0.25"/>
    <row r="48" spans="1:7" hidden="1" x14ac:dyDescent="0.25">
      <c r="A48" s="206"/>
      <c r="B48" s="206"/>
      <c r="C48" s="206"/>
      <c r="D48" s="206"/>
      <c r="E48" s="206"/>
      <c r="F48" s="206"/>
      <c r="G48" s="206"/>
    </row>
    <row r="49" spans="1:4" hidden="1" x14ac:dyDescent="0.25"/>
    <row r="50" spans="1:4" hidden="1" x14ac:dyDescent="0.25">
      <c r="A50" s="180" t="s">
        <v>315</v>
      </c>
    </row>
    <row r="51" spans="1:4" hidden="1" x14ac:dyDescent="0.25"/>
    <row r="52" spans="1:4" hidden="1" x14ac:dyDescent="0.25">
      <c r="A52" s="180" t="s">
        <v>316</v>
      </c>
    </row>
    <row r="53" spans="1:4" hidden="1" x14ac:dyDescent="0.25"/>
    <row r="54" spans="1:4" hidden="1" x14ac:dyDescent="0.25"/>
    <row r="55" spans="1:4" hidden="1" x14ac:dyDescent="0.25">
      <c r="A55" s="207"/>
    </row>
    <row r="56" spans="1:4" hidden="1" x14ac:dyDescent="0.25">
      <c r="A56" s="208"/>
    </row>
    <row r="57" spans="1:4" hidden="1" x14ac:dyDescent="0.25"/>
    <row r="58" spans="1:4" hidden="1" x14ac:dyDescent="0.25"/>
    <row r="59" spans="1:4" hidden="1" x14ac:dyDescent="0.25">
      <c r="A59" s="209"/>
      <c r="B59" s="209" t="s">
        <v>317</v>
      </c>
      <c r="C59" s="209" t="s">
        <v>318</v>
      </c>
      <c r="D59" s="210"/>
    </row>
    <row r="60" spans="1:4" hidden="1" x14ac:dyDescent="0.25">
      <c r="A60" s="211" t="s">
        <v>92</v>
      </c>
      <c r="B60" s="211" t="s">
        <v>319</v>
      </c>
      <c r="C60" s="211" t="s">
        <v>319</v>
      </c>
      <c r="D60" s="211" t="s">
        <v>320</v>
      </c>
    </row>
    <row r="61" spans="1:4" hidden="1" x14ac:dyDescent="0.25"/>
    <row r="62" spans="1:4" hidden="1" x14ac:dyDescent="0.25">
      <c r="A62" s="180" t="s">
        <v>321</v>
      </c>
      <c r="B62" s="212">
        <v>0</v>
      </c>
      <c r="C62" s="213">
        <v>0</v>
      </c>
      <c r="D62" s="180" t="s">
        <v>322</v>
      </c>
    </row>
    <row r="63" spans="1:4" hidden="1" x14ac:dyDescent="0.25">
      <c r="A63" s="180" t="s">
        <v>323</v>
      </c>
      <c r="B63" s="212">
        <v>0</v>
      </c>
      <c r="C63" s="214">
        <v>0</v>
      </c>
      <c r="D63" s="180" t="s">
        <v>324</v>
      </c>
    </row>
    <row r="64" spans="1:4" hidden="1" x14ac:dyDescent="0.25">
      <c r="A64" s="180" t="s">
        <v>325</v>
      </c>
      <c r="B64" s="212">
        <v>0</v>
      </c>
      <c r="C64" s="214">
        <v>0</v>
      </c>
    </row>
    <row r="65" spans="1:6" hidden="1" x14ac:dyDescent="0.25">
      <c r="A65" s="180" t="s">
        <v>326</v>
      </c>
      <c r="B65" s="215">
        <v>0</v>
      </c>
      <c r="C65" s="214">
        <v>0</v>
      </c>
      <c r="D65" s="180" t="s">
        <v>327</v>
      </c>
    </row>
    <row r="66" spans="1:6" hidden="1" x14ac:dyDescent="0.25">
      <c r="A66" s="180" t="s">
        <v>328</v>
      </c>
      <c r="B66" s="216">
        <v>0</v>
      </c>
      <c r="C66" s="216">
        <v>0</v>
      </c>
    </row>
    <row r="67" spans="1:6" hidden="1" x14ac:dyDescent="0.25">
      <c r="A67" s="180" t="s">
        <v>329</v>
      </c>
      <c r="B67" s="194"/>
      <c r="C67" s="217"/>
    </row>
    <row r="68" spans="1:6" hidden="1" x14ac:dyDescent="0.25">
      <c r="A68" s="180" t="s">
        <v>330</v>
      </c>
      <c r="B68" s="215">
        <v>0</v>
      </c>
      <c r="C68" s="216">
        <v>0</v>
      </c>
    </row>
    <row r="69" spans="1:6" hidden="1" x14ac:dyDescent="0.25">
      <c r="A69" s="180" t="s">
        <v>331</v>
      </c>
      <c r="B69" s="215">
        <v>0</v>
      </c>
      <c r="C69" s="216">
        <v>0</v>
      </c>
    </row>
    <row r="70" spans="1:6" hidden="1" x14ac:dyDescent="0.25">
      <c r="A70" s="180" t="s">
        <v>332</v>
      </c>
      <c r="B70" s="215">
        <v>0</v>
      </c>
      <c r="C70" s="216">
        <v>0</v>
      </c>
    </row>
    <row r="71" spans="1:6" hidden="1" x14ac:dyDescent="0.25">
      <c r="A71" s="180" t="s">
        <v>333</v>
      </c>
      <c r="B71" s="218">
        <f>0.1*(B68+B69+B70)</f>
        <v>0</v>
      </c>
      <c r="C71" s="214">
        <v>0</v>
      </c>
    </row>
    <row r="72" spans="1:6" hidden="1" x14ac:dyDescent="0.25">
      <c r="B72" s="219" t="s">
        <v>334</v>
      </c>
      <c r="C72" s="219" t="s">
        <v>334</v>
      </c>
    </row>
    <row r="73" spans="1:6" hidden="1" x14ac:dyDescent="0.25">
      <c r="B73" s="194">
        <f>SUM(B61:B72)</f>
        <v>0</v>
      </c>
      <c r="C73" s="220">
        <f>SUM(C61:C72)</f>
        <v>0</v>
      </c>
      <c r="F73" s="221"/>
    </row>
    <row r="74" spans="1:6" hidden="1" x14ac:dyDescent="0.25">
      <c r="B74" s="194"/>
      <c r="C74" s="220"/>
      <c r="F74" s="221"/>
    </row>
    <row r="75" spans="1:6" hidden="1" x14ac:dyDescent="0.25">
      <c r="B75" s="194"/>
      <c r="F75" s="222"/>
    </row>
    <row r="76" spans="1:6" hidden="1" x14ac:dyDescent="0.25">
      <c r="A76" s="180" t="s">
        <v>335</v>
      </c>
      <c r="B76" s="194">
        <f>B22</f>
        <v>3733511.110062256</v>
      </c>
      <c r="C76" s="223">
        <f>B76/$B$79</f>
        <v>1</v>
      </c>
      <c r="F76" s="197"/>
    </row>
    <row r="77" spans="1:6" hidden="1" x14ac:dyDescent="0.25">
      <c r="A77" s="180" t="s">
        <v>336</v>
      </c>
      <c r="B77" s="194">
        <f>B73</f>
        <v>0</v>
      </c>
      <c r="C77" s="223">
        <f>B77/$B$79</f>
        <v>0</v>
      </c>
      <c r="F77" s="197"/>
    </row>
    <row r="78" spans="1:6" hidden="1" x14ac:dyDescent="0.25">
      <c r="A78" s="180" t="s">
        <v>337</v>
      </c>
      <c r="B78" s="224">
        <f>C73*B34</f>
        <v>0</v>
      </c>
      <c r="C78" s="225">
        <f>B78/$B$79</f>
        <v>0</v>
      </c>
      <c r="F78" s="222"/>
    </row>
    <row r="79" spans="1:6" hidden="1" x14ac:dyDescent="0.25">
      <c r="A79" s="180" t="s">
        <v>338</v>
      </c>
      <c r="B79" s="222">
        <f>SUM(B76:B78)</f>
        <v>3733511.110062256</v>
      </c>
      <c r="C79" s="226">
        <f>SUM(C76:C78)</f>
        <v>1</v>
      </c>
    </row>
    <row r="80" spans="1:6" hidden="1" x14ac:dyDescent="0.25">
      <c r="D80" s="197"/>
    </row>
    <row r="81" spans="1:6" hidden="1" x14ac:dyDescent="0.25">
      <c r="D81" s="197"/>
    </row>
    <row r="82" spans="1:6" hidden="1" x14ac:dyDescent="0.25">
      <c r="A82" s="227" t="s">
        <v>278</v>
      </c>
      <c r="D82" s="197"/>
    </row>
    <row r="83" spans="1:6" hidden="1" x14ac:dyDescent="0.25">
      <c r="A83" s="180" t="s">
        <v>339</v>
      </c>
    </row>
    <row r="84" spans="1:6" hidden="1" x14ac:dyDescent="0.25">
      <c r="A84" s="180" t="s">
        <v>340</v>
      </c>
    </row>
    <row r="85" spans="1:6" hidden="1" x14ac:dyDescent="0.25">
      <c r="F85" s="197"/>
    </row>
    <row r="86" spans="1:6" hidden="1" x14ac:dyDescent="0.25">
      <c r="A86" s="210"/>
      <c r="C86" s="228" t="s">
        <v>341</v>
      </c>
      <c r="D86" s="229"/>
    </row>
    <row r="87" spans="1:6" hidden="1" x14ac:dyDescent="0.25">
      <c r="A87" s="209"/>
      <c r="B87" s="181" t="s">
        <v>342</v>
      </c>
      <c r="C87" s="209" t="s">
        <v>317</v>
      </c>
      <c r="D87" s="209" t="s">
        <v>343</v>
      </c>
    </row>
    <row r="88" spans="1:6" hidden="1" x14ac:dyDescent="0.25">
      <c r="A88" s="211" t="s">
        <v>344</v>
      </c>
      <c r="B88" s="230" t="s">
        <v>345</v>
      </c>
      <c r="C88" s="211" t="s">
        <v>319</v>
      </c>
      <c r="D88" s="211" t="s">
        <v>319</v>
      </c>
    </row>
    <row r="89" spans="1:6" hidden="1" x14ac:dyDescent="0.25"/>
    <row r="90" spans="1:6" hidden="1" x14ac:dyDescent="0.25">
      <c r="A90" s="210" t="s">
        <v>346</v>
      </c>
      <c r="B90" s="194">
        <v>15000</v>
      </c>
      <c r="C90" s="194">
        <v>15000</v>
      </c>
      <c r="D90" s="220">
        <v>0</v>
      </c>
    </row>
    <row r="91" spans="1:6" hidden="1" x14ac:dyDescent="0.25">
      <c r="A91" s="210" t="s">
        <v>347</v>
      </c>
      <c r="B91" s="220">
        <v>0.02</v>
      </c>
      <c r="C91" s="194">
        <v>0</v>
      </c>
      <c r="D91" s="220">
        <v>0.02</v>
      </c>
    </row>
    <row r="92" spans="1:6" hidden="1" x14ac:dyDescent="0.25">
      <c r="A92" s="210" t="s">
        <v>348</v>
      </c>
      <c r="B92" s="220">
        <v>0.01</v>
      </c>
      <c r="C92" s="194">
        <v>20000</v>
      </c>
      <c r="D92" s="220">
        <v>0.01</v>
      </c>
    </row>
    <row r="93" spans="1:6" hidden="1" x14ac:dyDescent="0.25">
      <c r="A93" s="210" t="s">
        <v>349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25"/>
    <row r="95" spans="1:6" hidden="1" x14ac:dyDescent="0.25">
      <c r="A95" s="180" t="s">
        <v>350</v>
      </c>
    </row>
    <row r="96" spans="1:6" hidden="1" x14ac:dyDescent="0.25">
      <c r="A96" s="180" t="s">
        <v>351</v>
      </c>
    </row>
    <row r="97" spans="1:2" hidden="1" x14ac:dyDescent="0.25"/>
    <row r="98" spans="1:2" hidden="1" x14ac:dyDescent="0.25"/>
    <row r="100" spans="1:2" x14ac:dyDescent="0.2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2" t="s">
        <v>154</v>
      </c>
      <c r="B2" s="252"/>
      <c r="C2" s="252"/>
      <c r="D2" s="252"/>
      <c r="E2" s="252"/>
      <c r="F2" s="252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179</v>
      </c>
      <c r="F4" s="91">
        <v>-2176761.0499999998</v>
      </c>
      <c r="G4" s="70" t="s">
        <v>369</v>
      </c>
    </row>
    <row r="5" spans="1:7" x14ac:dyDescent="0.2">
      <c r="A5" s="70" t="s">
        <v>182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200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177</v>
      </c>
      <c r="F7" s="72">
        <f>+F45</f>
        <v>1794</v>
      </c>
    </row>
    <row r="8" spans="1:7" x14ac:dyDescent="0.2">
      <c r="A8" s="70" t="s">
        <v>176</v>
      </c>
      <c r="F8" s="78">
        <v>1340</v>
      </c>
    </row>
    <row r="9" spans="1:7" ht="15.75" thickBot="1" x14ac:dyDescent="0.25">
      <c r="A9" s="70" t="s">
        <v>178</v>
      </c>
      <c r="F9" s="78">
        <f>+F7*F8</f>
        <v>2403960</v>
      </c>
    </row>
    <row r="10" spans="1:7" ht="16.5" thickBot="1" x14ac:dyDescent="0.3">
      <c r="A10" s="70" t="s">
        <v>213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173</v>
      </c>
      <c r="E12" s="77" t="s">
        <v>175</v>
      </c>
      <c r="F12" s="77" t="s">
        <v>172</v>
      </c>
    </row>
    <row r="13" spans="1:7" x14ac:dyDescent="0.2">
      <c r="B13" s="70" t="s">
        <v>170</v>
      </c>
      <c r="C13" s="77" t="s">
        <v>174</v>
      </c>
      <c r="D13" s="77" t="s">
        <v>201</v>
      </c>
      <c r="E13" s="77" t="s">
        <v>203</v>
      </c>
      <c r="F13" s="77" t="s">
        <v>211</v>
      </c>
    </row>
    <row r="14" spans="1:7" x14ac:dyDescent="0.2">
      <c r="A14" s="73"/>
      <c r="B14" s="73" t="s">
        <v>171</v>
      </c>
      <c r="C14" s="76" t="s">
        <v>172</v>
      </c>
      <c r="D14" s="76" t="s">
        <v>202</v>
      </c>
      <c r="E14" s="76" t="s">
        <v>204</v>
      </c>
      <c r="F14" s="76" t="s">
        <v>212</v>
      </c>
    </row>
    <row r="15" spans="1:7" ht="15.75" x14ac:dyDescent="0.25">
      <c r="A15" s="98" t="s">
        <v>181</v>
      </c>
      <c r="B15" s="81"/>
      <c r="C15" s="80"/>
      <c r="D15" s="80"/>
      <c r="E15" s="81"/>
      <c r="F15" s="80"/>
    </row>
    <row r="16" spans="1:7" x14ac:dyDescent="0.2">
      <c r="A16" s="70" t="s">
        <v>205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206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207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208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209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210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166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180</v>
      </c>
      <c r="B24" s="81"/>
      <c r="C24" s="80"/>
      <c r="D24" s="80"/>
      <c r="E24" s="81"/>
      <c r="F24" s="80"/>
    </row>
    <row r="25" spans="1:6" x14ac:dyDescent="0.2">
      <c r="A25" s="82" t="s">
        <v>167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157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165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166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162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159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160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164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155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156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168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158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161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163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220</v>
      </c>
    </row>
    <row r="41" spans="1:6" x14ac:dyDescent="0.2">
      <c r="A41" s="70" t="s">
        <v>219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169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221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218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C39" sqref="C39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230</v>
      </c>
      <c r="D1" s="132">
        <f>PMT(0.05,30,C4)</f>
        <v>-253700.59681307865</v>
      </c>
      <c r="E1" s="2">
        <v>0.05</v>
      </c>
      <c r="F1" s="52" t="s">
        <v>236</v>
      </c>
      <c r="H1" s="79" t="s">
        <v>231</v>
      </c>
      <c r="J1" s="132">
        <f>PMT(0.05,20,I4)</f>
        <v>-312946.09004369611</v>
      </c>
      <c r="K1" s="2">
        <v>0.05</v>
      </c>
    </row>
    <row r="2" spans="2:17" x14ac:dyDescent="0.2">
      <c r="C2" s="52" t="s">
        <v>238</v>
      </c>
      <c r="D2" s="18">
        <f>+'A-6 Peaking Summary old'!E12</f>
        <v>810</v>
      </c>
      <c r="F2" s="52" t="s">
        <v>237</v>
      </c>
      <c r="M2"/>
      <c r="N2"/>
      <c r="O2"/>
      <c r="P2"/>
      <c r="Q2"/>
    </row>
    <row r="3" spans="2:17" x14ac:dyDescent="0.2">
      <c r="B3" s="52" t="s">
        <v>227</v>
      </c>
      <c r="C3" s="10" t="s">
        <v>225</v>
      </c>
      <c r="D3" s="10" t="s">
        <v>224</v>
      </c>
      <c r="E3" s="52" t="s">
        <v>226</v>
      </c>
      <c r="H3" s="52" t="s">
        <v>227</v>
      </c>
      <c r="I3" s="10" t="s">
        <v>225</v>
      </c>
      <c r="J3" s="10" t="s">
        <v>224</v>
      </c>
      <c r="K3" s="52" t="s">
        <v>226</v>
      </c>
      <c r="M3" s="134"/>
      <c r="N3" s="135"/>
      <c r="O3" s="135"/>
      <c r="P3" s="136" t="s">
        <v>233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229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235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228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234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102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239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240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241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2"/>
  <sheetViews>
    <sheetView zoomScaleNormal="100" workbookViewId="0">
      <pane xSplit="1" ySplit="10" topLeftCell="B41" activePane="bottomRight" state="frozen"/>
      <selection pane="topRight" activeCell="B1" sqref="B1"/>
      <selection pane="bottomLeft" activeCell="A13" sqref="A13"/>
      <selection pane="bottomRight" activeCell="D44" sqref="D44"/>
    </sheetView>
  </sheetViews>
  <sheetFormatPr defaultColWidth="8.85546875" defaultRowHeight="12.75" x14ac:dyDescent="0.2"/>
  <cols>
    <col min="1" max="1" width="35.7109375" style="52" customWidth="1"/>
    <col min="2" max="2" width="12.5703125" style="52" bestFit="1" customWidth="1"/>
    <col min="3" max="3" width="11.140625" style="52" bestFit="1" customWidth="1"/>
    <col min="4" max="4" width="12.7109375" style="52" bestFit="1" customWidth="1"/>
    <col min="5" max="5" width="8.140625" style="52" bestFit="1" customWidth="1"/>
    <col min="6" max="6" width="11.7109375" style="52" bestFit="1" customWidth="1"/>
    <col min="7" max="7" width="28.85546875" style="52" bestFit="1" customWidth="1"/>
    <col min="8" max="16384" width="8.85546875" style="52"/>
  </cols>
  <sheetData>
    <row r="1" spans="1:10" x14ac:dyDescent="0.2">
      <c r="A1" s="79" t="s">
        <v>384</v>
      </c>
      <c r="B1" s="79"/>
      <c r="C1" s="79"/>
      <c r="D1" s="79"/>
      <c r="E1" s="79"/>
      <c r="F1" s="79"/>
      <c r="G1" s="153" t="s">
        <v>250</v>
      </c>
      <c r="H1" s="79"/>
      <c r="I1" s="79"/>
      <c r="J1" s="79"/>
    </row>
    <row r="2" spans="1:10" x14ac:dyDescent="0.2">
      <c r="A2" s="79" t="s">
        <v>251</v>
      </c>
      <c r="B2" s="79"/>
      <c r="C2" s="79"/>
      <c r="D2" s="79"/>
      <c r="E2" s="79"/>
      <c r="F2" s="79"/>
      <c r="G2" s="154" t="s">
        <v>376</v>
      </c>
      <c r="H2" s="79"/>
      <c r="I2" s="79"/>
      <c r="J2" s="79"/>
    </row>
    <row r="3" spans="1:10" x14ac:dyDescent="0.2">
      <c r="A3" s="79" t="s">
        <v>282</v>
      </c>
      <c r="B3" s="79"/>
      <c r="C3" s="79"/>
      <c r="D3" s="79"/>
      <c r="E3" s="79"/>
      <c r="F3" s="79"/>
      <c r="G3" s="155">
        <v>41246</v>
      </c>
      <c r="H3" s="79"/>
      <c r="I3" s="79"/>
      <c r="J3" s="79"/>
    </row>
    <row r="4" spans="1:10" x14ac:dyDescent="0.2">
      <c r="A4" s="79" t="s">
        <v>363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283</v>
      </c>
      <c r="C8" s="88" t="s">
        <v>286</v>
      </c>
      <c r="D8" s="88" t="s">
        <v>288</v>
      </c>
      <c r="E8" s="88" t="s">
        <v>252</v>
      </c>
      <c r="F8" s="88"/>
      <c r="G8" s="79"/>
      <c r="H8" s="79"/>
      <c r="I8" s="79"/>
      <c r="J8" s="79"/>
    </row>
    <row r="9" spans="1:10" x14ac:dyDescent="0.2">
      <c r="A9" s="79"/>
      <c r="B9" s="88" t="s">
        <v>284</v>
      </c>
      <c r="C9" s="88" t="s">
        <v>287</v>
      </c>
      <c r="D9" s="88" t="s">
        <v>289</v>
      </c>
      <c r="E9" s="88" t="s">
        <v>252</v>
      </c>
      <c r="F9" s="88"/>
      <c r="G9" s="88" t="s">
        <v>253</v>
      </c>
      <c r="H9" s="79"/>
      <c r="I9" s="79"/>
      <c r="J9" s="79"/>
    </row>
    <row r="10" spans="1:10" x14ac:dyDescent="0.2">
      <c r="A10" s="133" t="s">
        <v>254</v>
      </c>
      <c r="B10" s="156" t="s">
        <v>285</v>
      </c>
      <c r="C10" s="156" t="s">
        <v>285</v>
      </c>
      <c r="D10" s="156" t="s">
        <v>285</v>
      </c>
      <c r="E10" s="156" t="s">
        <v>252</v>
      </c>
      <c r="F10" s="156" t="s">
        <v>255</v>
      </c>
      <c r="G10" s="156" t="s">
        <v>256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257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258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259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260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9710999.9999261741</v>
      </c>
      <c r="E15" s="161">
        <v>0</v>
      </c>
      <c r="F15" s="161">
        <f>SUM(B15:E15)</f>
        <v>14138999.999926174</v>
      </c>
      <c r="G15" s="79"/>
      <c r="H15" s="79"/>
      <c r="I15" s="79"/>
      <c r="J15" s="79"/>
    </row>
    <row r="16" spans="1:10" x14ac:dyDescent="0.2">
      <c r="A16" s="159" t="s">
        <v>261</v>
      </c>
      <c r="B16" s="162">
        <f>SUM(B14:B15)</f>
        <v>1950000</v>
      </c>
      <c r="C16" s="162">
        <f>SUM(C14:C15)</f>
        <v>2478000</v>
      </c>
      <c r="D16" s="162">
        <f>SUM(D14:D15)</f>
        <v>9710999.9999261741</v>
      </c>
      <c r="E16" s="162">
        <f>SUM(E14:E15)</f>
        <v>0</v>
      </c>
      <c r="F16" s="160">
        <f>SUM(B16:E16)</f>
        <v>14138999.999926174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354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262</v>
      </c>
      <c r="H18" s="79"/>
      <c r="I18" s="79"/>
      <c r="J18" s="79"/>
    </row>
    <row r="19" spans="1:10" x14ac:dyDescent="0.2">
      <c r="A19" s="164" t="s">
        <v>355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4.0031119598483295E-2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263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264</v>
      </c>
      <c r="B24" s="166">
        <f>B16+B21+B18</f>
        <v>2243000</v>
      </c>
      <c r="C24" s="166">
        <f>C16+C21+C18</f>
        <v>2751000</v>
      </c>
      <c r="D24" s="166">
        <f>D16+D21+D18</f>
        <v>9710999.9999261741</v>
      </c>
      <c r="E24" s="166">
        <f>E16+E21+E18</f>
        <v>0</v>
      </c>
      <c r="F24" s="167">
        <f>SUM(B24:E24)</f>
        <v>14704999.999926174</v>
      </c>
      <c r="G24" s="79"/>
      <c r="H24" s="79"/>
      <c r="I24" s="79"/>
      <c r="J24" s="79"/>
    </row>
    <row r="25" spans="1:10" x14ac:dyDescent="0.2">
      <c r="A25" s="159" t="s">
        <v>265</v>
      </c>
      <c r="B25" s="169">
        <f>B24/$F$24</f>
        <v>0.15253315198988512</v>
      </c>
      <c r="C25" s="169">
        <f>C24/$F$24</f>
        <v>0.18707922475442443</v>
      </c>
      <c r="D25" s="169">
        <f>D24/$F$24</f>
        <v>0.66038762325569045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">
      <c r="A27" s="158" t="s">
        <v>266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264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933958.0868745459</v>
      </c>
      <c r="D28" s="170">
        <f>D24/1000*'A-9 Finance Assumptions'!$B$16*'A-9 Finance Assumptions'!$B$12</f>
        <v>3296861.8617120199</v>
      </c>
      <c r="E28" s="170">
        <f>E24/1000*'A-9 Finance Assumptions'!$B$16*'A-9 Finance Assumptions'!$B$12</f>
        <v>0</v>
      </c>
      <c r="F28" s="161">
        <f>SUM(B28:E28)</f>
        <v>4992313.2197096506</v>
      </c>
      <c r="G28" s="79" t="s">
        <v>267</v>
      </c>
      <c r="H28" s="79"/>
      <c r="I28" s="79"/>
      <c r="J28" s="79"/>
    </row>
    <row r="29" spans="1:10" x14ac:dyDescent="0.2">
      <c r="A29" s="159" t="s">
        <v>268</v>
      </c>
      <c r="B29" s="162">
        <f t="shared" ref="B29:E29" si="2">SUM(B28:B28)</f>
        <v>761493.27112308494</v>
      </c>
      <c r="C29" s="162">
        <f t="shared" si="2"/>
        <v>933958.0868745459</v>
      </c>
      <c r="D29" s="162">
        <f t="shared" si="2"/>
        <v>3296861.8617120199</v>
      </c>
      <c r="E29" s="162">
        <f t="shared" si="2"/>
        <v>0</v>
      </c>
      <c r="F29" s="160">
        <f>SUM(B29:E29)</f>
        <v>4992313.2197096506</v>
      </c>
      <c r="G29" s="163"/>
      <c r="H29" s="79"/>
      <c r="I29" s="79"/>
      <c r="J29" s="79"/>
    </row>
    <row r="30" spans="1:10" x14ac:dyDescent="0.2">
      <c r="A30" s="159" t="s">
        <v>269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0.3394976688020887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270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372</v>
      </c>
      <c r="B33" s="171">
        <v>0</v>
      </c>
      <c r="C33" s="171">
        <v>0</v>
      </c>
      <c r="D33" s="171">
        <f>'[1]Sum 1. City Admin Costs Summary'!$E$30</f>
        <v>6981250</v>
      </c>
      <c r="E33" s="171">
        <v>0</v>
      </c>
      <c r="F33" s="171">
        <f t="shared" ref="F33" si="4">SUM(B33:E33)</f>
        <v>6981250</v>
      </c>
      <c r="G33" s="79"/>
      <c r="H33" s="79"/>
      <c r="I33" s="79"/>
      <c r="J33" s="79"/>
    </row>
    <row r="34" spans="1:10" x14ac:dyDescent="0.2">
      <c r="A34" s="159" t="s">
        <v>370</v>
      </c>
      <c r="B34" s="172">
        <f>B24*0.02</f>
        <v>44860</v>
      </c>
      <c r="C34" s="172">
        <f>C24*0.02</f>
        <v>55020</v>
      </c>
      <c r="D34" s="172">
        <f>D24*0.02</f>
        <v>194219.99999852348</v>
      </c>
      <c r="E34" s="172">
        <f>E24*0.02</f>
        <v>0</v>
      </c>
      <c r="F34" s="161">
        <f>SUM(B34:E34)</f>
        <v>294099.9999985235</v>
      </c>
      <c r="G34" s="79" t="s">
        <v>360</v>
      </c>
      <c r="H34" s="79"/>
      <c r="I34" s="79"/>
      <c r="J34" s="79"/>
    </row>
    <row r="35" spans="1:10" x14ac:dyDescent="0.2">
      <c r="A35" s="79" t="s">
        <v>271</v>
      </c>
      <c r="B35" s="171">
        <f>SUM(B32:B34)</f>
        <v>44860</v>
      </c>
      <c r="C35" s="171">
        <f>SUM(C32:C34)</f>
        <v>55020</v>
      </c>
      <c r="D35" s="171">
        <f>SUM(D32:D34)</f>
        <v>7175469.9999985239</v>
      </c>
      <c r="E35" s="171">
        <f>SUM(E32:E34)</f>
        <v>0</v>
      </c>
      <c r="F35" s="171">
        <f>SUM(F32:F34)</f>
        <v>7275349.9999985239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272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273</v>
      </c>
      <c r="B38" s="245">
        <f>(B24/$F$24)*$F$38</f>
        <v>-684157.83893917082</v>
      </c>
      <c r="C38" s="245">
        <f t="shared" ref="C38:D38" si="5">(C24/$F$24)*$F$38</f>
        <v>-839107.54120448465</v>
      </c>
      <c r="D38" s="245">
        <f t="shared" si="5"/>
        <v>-2962040.4698563442</v>
      </c>
      <c r="E38" s="245">
        <v>0</v>
      </c>
      <c r="F38" s="246">
        <v>-4485305.8499999996</v>
      </c>
      <c r="G38" s="79" t="s">
        <v>377</v>
      </c>
      <c r="H38" s="79"/>
      <c r="I38" s="79"/>
      <c r="J38" s="79"/>
    </row>
    <row r="39" spans="1:10" x14ac:dyDescent="0.2">
      <c r="A39" s="79" t="s">
        <v>274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">
      <c r="A40" s="79" t="s">
        <v>275</v>
      </c>
      <c r="B40" s="171">
        <f t="shared" ref="B40:F40" si="6">SUM(B37:B39)</f>
        <v>-684157.83893917082</v>
      </c>
      <c r="C40" s="171">
        <f t="shared" si="6"/>
        <v>-839107.54120448465</v>
      </c>
      <c r="D40" s="171">
        <f t="shared" si="6"/>
        <v>-2962040.4698563442</v>
      </c>
      <c r="E40" s="171">
        <f t="shared" si="6"/>
        <v>0</v>
      </c>
      <c r="F40" s="171">
        <f t="shared" si="6"/>
        <v>-4485305.8499999996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276</v>
      </c>
      <c r="B42" s="175">
        <f>B24+B35+B29-B40</f>
        <v>3733511.110062256</v>
      </c>
      <c r="C42" s="175">
        <f>C24+C35+C29-C40</f>
        <v>4579085.6280790307</v>
      </c>
      <c r="D42" s="175">
        <f>D24+D35+D29-D40</f>
        <v>23145372.331493061</v>
      </c>
      <c r="E42" s="175">
        <f>E24+E35+E29-E40</f>
        <v>0</v>
      </c>
      <c r="F42" s="175">
        <f>F24+F35+F29-F40</f>
        <v>31457969.069634348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353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60000</v>
      </c>
      <c r="E44" s="165">
        <v>0</v>
      </c>
      <c r="F44" s="165"/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277</v>
      </c>
      <c r="B46" s="176">
        <f>IF(OR(B42=0,B44&lt;0),0,(B42/B44))</f>
        <v>1009.0570567735826</v>
      </c>
      <c r="C46" s="176">
        <f>IF(OR(C42=0,C44&lt;0),0,(C42/C44))</f>
        <v>1552.2324162979764</v>
      </c>
      <c r="D46" s="176">
        <f t="shared" ref="D46:E46" si="7">IF(OR(D42=0,D44&lt;0),0,(D42/D44))</f>
        <v>385.75620552488436</v>
      </c>
      <c r="E46" s="176">
        <f t="shared" si="7"/>
        <v>0</v>
      </c>
      <c r="F46" s="79"/>
      <c r="G46" s="79" t="s">
        <v>385</v>
      </c>
      <c r="H46" s="79"/>
      <c r="I46" s="79"/>
      <c r="J46" s="79"/>
    </row>
    <row r="47" spans="1:10" x14ac:dyDescent="0.2">
      <c r="A47" s="79"/>
      <c r="B47" s="88" t="s">
        <v>362</v>
      </c>
      <c r="C47" s="79"/>
      <c r="D47" s="88" t="s">
        <v>361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177" t="s">
        <v>278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359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279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280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379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281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366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371</v>
      </c>
    </row>
    <row r="59" spans="1:10" x14ac:dyDescent="0.2">
      <c r="A59" s="79" t="s">
        <v>373</v>
      </c>
    </row>
    <row r="60" spans="1:10" x14ac:dyDescent="0.2">
      <c r="A60" s="79" t="s">
        <v>381</v>
      </c>
    </row>
    <row r="61" spans="1:10" x14ac:dyDescent="0.2">
      <c r="A61" s="79" t="s">
        <v>380</v>
      </c>
    </row>
    <row r="62" spans="1:10" x14ac:dyDescent="0.2">
      <c r="A62" s="79" t="s">
        <v>378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workbookViewId="0">
      <selection activeCell="C12" sqref="C12"/>
    </sheetView>
  </sheetViews>
  <sheetFormatPr defaultRowHeight="12.75" x14ac:dyDescent="0.2"/>
  <cols>
    <col min="1" max="1" width="44.28515625" bestFit="1" customWidth="1"/>
    <col min="2" max="2" width="6.42578125" bestFit="1" customWidth="1"/>
    <col min="3" max="3" width="17.28515625" customWidth="1"/>
    <col min="4" max="4" width="8.7109375" bestFit="1" customWidth="1"/>
  </cols>
  <sheetData>
    <row r="1" spans="1:4" ht="18" x14ac:dyDescent="0.25">
      <c r="A1" s="252" t="s">
        <v>62</v>
      </c>
      <c r="B1" s="252"/>
      <c r="C1" s="252"/>
    </row>
    <row r="2" spans="1:4" ht="15.75" x14ac:dyDescent="0.25">
      <c r="A2" s="11"/>
      <c r="B2" s="11"/>
      <c r="C2" s="11"/>
    </row>
    <row r="3" spans="1:4" ht="20.25" x14ac:dyDescent="0.3">
      <c r="A3" s="253" t="s">
        <v>132</v>
      </c>
      <c r="B3" s="253"/>
      <c r="C3" s="253"/>
    </row>
    <row r="4" spans="1:4" ht="15.75" x14ac:dyDescent="0.25">
      <c r="A4" s="254"/>
      <c r="B4" s="254"/>
      <c r="C4" s="254"/>
      <c r="D4" t="s">
        <v>242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2000</v>
      </c>
    </row>
    <row r="8" spans="1:4" ht="15" x14ac:dyDescent="0.2">
      <c r="A8" s="70" t="s">
        <v>17</v>
      </c>
      <c r="B8" s="70"/>
      <c r="C8" s="244">
        <f>0.474/2</f>
        <v>0.23699999999999999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356</v>
      </c>
      <c r="B11" s="70"/>
      <c r="C11" s="72">
        <f>ROUND(C7/(C9*C8*C10),-2)</f>
        <v>3700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243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244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245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140</v>
      </c>
      <c r="B22" s="152">
        <v>0.02</v>
      </c>
      <c r="C22" s="110">
        <f>+$C$19*B22</f>
        <v>39000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293000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">
      <c r="A29" s="70"/>
      <c r="B29" s="70"/>
      <c r="C29" s="107"/>
    </row>
    <row r="30" spans="1:4" ht="15" hidden="1" x14ac:dyDescent="0.2">
      <c r="A30" s="70" t="s">
        <v>57</v>
      </c>
      <c r="B30" s="70"/>
      <c r="C30" s="110">
        <f>C28/C11</f>
        <v>605.40540540540542</v>
      </c>
    </row>
    <row r="31" spans="1:4" ht="13.5" hidden="1" thickBot="1" x14ac:dyDescent="0.25">
      <c r="C31" s="13"/>
    </row>
    <row r="32" spans="1:4" ht="16.5" hidden="1" thickBot="1" x14ac:dyDescent="0.3">
      <c r="A32" s="47" t="s">
        <v>1</v>
      </c>
      <c r="B32" s="3"/>
      <c r="C32" s="57">
        <f>ROUND(C30,-1)</f>
        <v>610</v>
      </c>
    </row>
    <row r="37" spans="1:1" x14ac:dyDescent="0.2">
      <c r="A37" s="52" t="s">
        <v>246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13" sqref="C13"/>
    </sheetView>
  </sheetViews>
  <sheetFormatPr defaultRowHeight="12.75" x14ac:dyDescent="0.2"/>
  <cols>
    <col min="1" max="1" width="57" bestFit="1" customWidth="1"/>
    <col min="2" max="2" width="7.140625" bestFit="1" customWidth="1"/>
    <col min="3" max="3" width="10.85546875" bestFit="1" customWidth="1"/>
  </cols>
  <sheetData>
    <row r="1" spans="1:3" ht="18" x14ac:dyDescent="0.25">
      <c r="A1" s="252" t="s">
        <v>73</v>
      </c>
      <c r="B1" s="252"/>
      <c r="C1" s="252"/>
    </row>
    <row r="2" spans="1:3" ht="20.25" x14ac:dyDescent="0.3">
      <c r="A2" s="253" t="s">
        <v>133</v>
      </c>
      <c r="B2" s="253"/>
      <c r="C2" s="253"/>
    </row>
    <row r="3" spans="1:3" ht="15" x14ac:dyDescent="0.2">
      <c r="A3" s="255" t="s">
        <v>222</v>
      </c>
      <c r="B3" s="255"/>
      <c r="C3" s="255"/>
    </row>
    <row r="5" spans="1:3" ht="18" x14ac:dyDescent="0.25">
      <c r="A5" s="252" t="s">
        <v>77</v>
      </c>
      <c r="B5" s="252"/>
      <c r="C5" s="252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246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" sqref="C2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2" t="s">
        <v>382</v>
      </c>
      <c r="B1" s="252"/>
      <c r="C1" s="252"/>
    </row>
    <row r="2" spans="1:3" ht="15.75" x14ac:dyDescent="0.25">
      <c r="A2" s="11"/>
      <c r="B2" s="11"/>
      <c r="C2" s="11"/>
    </row>
    <row r="3" spans="1:3" ht="20.25" x14ac:dyDescent="0.3">
      <c r="A3" s="253" t="s">
        <v>133</v>
      </c>
      <c r="B3" s="253"/>
      <c r="C3" s="253"/>
    </row>
    <row r="4" spans="1:3" ht="15" x14ac:dyDescent="0.2">
      <c r="A4" s="255" t="s">
        <v>223</v>
      </c>
      <c r="B4" s="255"/>
      <c r="C4" s="255"/>
    </row>
    <row r="5" spans="1:3" ht="15.75" x14ac:dyDescent="0.25">
      <c r="A5" s="11"/>
      <c r="B5" s="11"/>
      <c r="C5" s="11"/>
    </row>
    <row r="6" spans="1:3" ht="18" x14ac:dyDescent="0.25">
      <c r="A6" s="252" t="s">
        <v>18</v>
      </c>
      <c r="B6" s="252"/>
      <c r="C6" s="252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89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87</v>
      </c>
      <c r="B28" s="70"/>
      <c r="C28" s="91">
        <v>22000</v>
      </c>
    </row>
    <row r="29" spans="1:3" ht="15" x14ac:dyDescent="0.2">
      <c r="A29" s="70" t="s">
        <v>86</v>
      </c>
      <c r="B29" s="70"/>
      <c r="C29" s="91">
        <v>9000</v>
      </c>
    </row>
    <row r="30" spans="1:3" ht="15" x14ac:dyDescent="0.2">
      <c r="A30" s="70" t="s">
        <v>90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88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183</v>
      </c>
      <c r="B39" s="76" t="s">
        <v>249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246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8" sqref="C8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7109375" customWidth="1"/>
  </cols>
  <sheetData>
    <row r="1" spans="1:3" ht="18" x14ac:dyDescent="0.25">
      <c r="A1" s="252" t="s">
        <v>383</v>
      </c>
      <c r="B1" s="252"/>
      <c r="C1" s="252"/>
    </row>
    <row r="2" spans="1:3" ht="20.25" x14ac:dyDescent="0.3">
      <c r="A2" s="253" t="s">
        <v>133</v>
      </c>
      <c r="B2" s="253"/>
      <c r="C2" s="253"/>
    </row>
    <row r="3" spans="1:3" ht="15" x14ac:dyDescent="0.2">
      <c r="A3" s="255" t="s">
        <v>223</v>
      </c>
      <c r="B3" s="255"/>
      <c r="C3" s="255"/>
    </row>
    <row r="4" spans="1:3" ht="15.75" x14ac:dyDescent="0.25">
      <c r="A4" s="11"/>
      <c r="B4" s="11"/>
      <c r="C4" s="11"/>
    </row>
    <row r="5" spans="1:3" ht="18" x14ac:dyDescent="0.25">
      <c r="A5" s="252" t="s">
        <v>74</v>
      </c>
      <c r="B5" s="252"/>
      <c r="C5" s="252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247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248</v>
      </c>
    </row>
    <row r="22" spans="1:1" x14ac:dyDescent="0.2">
      <c r="A22" s="52" t="s">
        <v>246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2.75" x14ac:dyDescent="0.2"/>
  <cols>
    <col min="1" max="1" width="54.28515625" bestFit="1" customWidth="1"/>
    <col min="3" max="3" width="12.42578125" bestFit="1" customWidth="1"/>
    <col min="5" max="5" width="10.42578125" customWidth="1"/>
    <col min="6" max="6" width="8.85546875" customWidth="1"/>
    <col min="7" max="7" width="21.42578125" customWidth="1"/>
    <col min="8" max="8" width="8.85546875" customWidth="1"/>
    <col min="9" max="9" width="9.28515625" customWidth="1"/>
  </cols>
  <sheetData>
    <row r="1" spans="1:9" ht="18" x14ac:dyDescent="0.25">
      <c r="A1" s="252" t="s">
        <v>83</v>
      </c>
      <c r="B1" s="252"/>
      <c r="C1" s="252"/>
    </row>
    <row r="2" spans="1:9" ht="20.25" x14ac:dyDescent="0.3">
      <c r="A2" s="253" t="s">
        <v>367</v>
      </c>
      <c r="B2" s="253"/>
      <c r="C2" s="253"/>
    </row>
    <row r="3" spans="1:9" ht="15.75" x14ac:dyDescent="0.25">
      <c r="A3" s="254"/>
      <c r="B3" s="254"/>
      <c r="C3" s="254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232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229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235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228</v>
      </c>
      <c r="H10" s="20">
        <f>+'3.6'!D35</f>
        <v>3711017.9043923616</v>
      </c>
    </row>
    <row r="11" spans="1:9" ht="13.5" thickBot="1" x14ac:dyDescent="0.25">
      <c r="C11" s="26"/>
      <c r="G11" s="133" t="s">
        <v>234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102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C26" sqref="C26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4.28515625" bestFit="1" customWidth="1"/>
  </cols>
  <sheetData>
    <row r="1" spans="1:3" ht="18" x14ac:dyDescent="0.25">
      <c r="A1" s="252" t="s">
        <v>83</v>
      </c>
      <c r="B1" s="252"/>
      <c r="C1" s="252"/>
    </row>
    <row r="2" spans="1:3" ht="20.25" x14ac:dyDescent="0.3">
      <c r="A2" s="253" t="s">
        <v>374</v>
      </c>
      <c r="B2" s="253"/>
      <c r="C2" s="253"/>
    </row>
    <row r="3" spans="1:3" ht="15.75" x14ac:dyDescent="0.25">
      <c r="A3" s="11"/>
      <c r="B3" s="11"/>
      <c r="C3" s="11"/>
    </row>
    <row r="4" spans="1:3" ht="15.75" x14ac:dyDescent="0.25">
      <c r="A4" s="254" t="s">
        <v>78</v>
      </c>
      <c r="B4" s="254"/>
      <c r="C4" s="254"/>
    </row>
    <row r="6" spans="1:3" s="52" customFormat="1" x14ac:dyDescent="0.2"/>
    <row r="7" spans="1:3" s="52" customFormat="1" x14ac:dyDescent="0.2"/>
    <row r="8" spans="1:3" s="52" customFormat="1" ht="15" x14ac:dyDescent="0.2">
      <c r="A8" s="70" t="s">
        <v>49</v>
      </c>
      <c r="B8" s="70"/>
      <c r="C8" s="72">
        <f>ROUND((1000000-100000)/180,-1)</f>
        <v>5000</v>
      </c>
    </row>
    <row r="9" spans="1:3" s="52" customFormat="1" x14ac:dyDescent="0.2">
      <c r="A9" s="123"/>
      <c r="B9" s="123"/>
      <c r="C9" s="124"/>
    </row>
    <row r="10" spans="1:3" s="52" customFormat="1" ht="15" x14ac:dyDescent="0.2">
      <c r="A10" s="70" t="s">
        <v>82</v>
      </c>
      <c r="B10" s="70"/>
      <c r="C10" s="72">
        <f>ROUND(C8/(0.474*2.8*1.15),-1)</f>
        <v>3280</v>
      </c>
    </row>
    <row r="11" spans="1:3" s="52" customFormat="1" x14ac:dyDescent="0.2">
      <c r="A11" s="123"/>
      <c r="B11" s="123"/>
      <c r="C11" s="125"/>
    </row>
    <row r="12" spans="1:3" s="52" customFormat="1" ht="15" x14ac:dyDescent="0.2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"/>
    <row r="14" spans="1:3" s="52" customFormat="1" x14ac:dyDescent="0.2">
      <c r="A14" s="45"/>
      <c r="B14" s="45"/>
      <c r="C14" s="45"/>
    </row>
    <row r="15" spans="1:3" s="52" customFormat="1" x14ac:dyDescent="0.2"/>
    <row r="16" spans="1:3" s="52" customFormat="1" x14ac:dyDescent="0.2"/>
    <row r="17" spans="1:3" s="52" customFormat="1" x14ac:dyDescent="0.2"/>
    <row r="18" spans="1:3" s="52" customFormat="1" x14ac:dyDescent="0.2"/>
    <row r="19" spans="1:3" ht="15" x14ac:dyDescent="0.2">
      <c r="A19" s="70" t="s">
        <v>63</v>
      </c>
    </row>
    <row r="20" spans="1:3" ht="15" x14ac:dyDescent="0.2">
      <c r="A20" s="82" t="s">
        <v>141</v>
      </c>
      <c r="B20" s="70"/>
      <c r="C20" s="91">
        <v>5000</v>
      </c>
    </row>
    <row r="21" spans="1:3" ht="15" x14ac:dyDescent="0.2">
      <c r="A21" s="82" t="s">
        <v>142</v>
      </c>
      <c r="B21" s="70"/>
      <c r="C21" s="91">
        <v>50000</v>
      </c>
    </row>
    <row r="22" spans="1:3" ht="15" x14ac:dyDescent="0.2">
      <c r="A22" s="82" t="s">
        <v>43</v>
      </c>
      <c r="B22" s="70"/>
      <c r="C22" s="91">
        <v>200000</v>
      </c>
    </row>
    <row r="23" spans="1:3" ht="15" x14ac:dyDescent="0.2">
      <c r="A23" s="82" t="s">
        <v>91</v>
      </c>
      <c r="B23" s="70"/>
      <c r="C23" s="91">
        <v>150000</v>
      </c>
    </row>
    <row r="24" spans="1:3" ht="15" x14ac:dyDescent="0.2">
      <c r="A24" s="82" t="s">
        <v>44</v>
      </c>
      <c r="B24" s="70"/>
      <c r="C24" s="91">
        <v>200000</v>
      </c>
    </row>
    <row r="25" spans="1:3" ht="15" x14ac:dyDescent="0.2">
      <c r="A25" s="82" t="s">
        <v>45</v>
      </c>
      <c r="B25" s="70"/>
      <c r="C25" s="91">
        <v>100000</v>
      </c>
    </row>
    <row r="26" spans="1:3" ht="15" x14ac:dyDescent="0.2">
      <c r="A26" s="82" t="s">
        <v>46</v>
      </c>
      <c r="B26" s="70"/>
      <c r="C26" s="91">
        <v>120000</v>
      </c>
    </row>
    <row r="27" spans="1:3" ht="15" x14ac:dyDescent="0.2">
      <c r="A27" s="82" t="s">
        <v>47</v>
      </c>
      <c r="B27" s="70"/>
      <c r="C27" s="91">
        <v>25000</v>
      </c>
    </row>
    <row r="28" spans="1:3" ht="15" x14ac:dyDescent="0.2">
      <c r="A28" s="82" t="s">
        <v>48</v>
      </c>
      <c r="B28" s="70"/>
      <c r="C28" s="92">
        <v>1000000</v>
      </c>
    </row>
    <row r="29" spans="1:3" ht="15" x14ac:dyDescent="0.2">
      <c r="A29" s="82" t="s">
        <v>41</v>
      </c>
      <c r="B29" s="70"/>
      <c r="C29" s="91">
        <f>SUM(C20:C28)</f>
        <v>1850000</v>
      </c>
    </row>
    <row r="30" spans="1:3" ht="15" x14ac:dyDescent="0.2">
      <c r="A30" s="82"/>
      <c r="B30" s="70"/>
      <c r="C30" s="91"/>
    </row>
    <row r="31" spans="1:3" s="52" customFormat="1" ht="15" x14ac:dyDescent="0.2">
      <c r="A31" s="82" t="s">
        <v>58</v>
      </c>
      <c r="B31" s="109"/>
      <c r="C31" s="110">
        <f>ROUND(2*43560*4,-4)</f>
        <v>350000</v>
      </c>
    </row>
    <row r="32" spans="1:3" s="52" customFormat="1" ht="15" x14ac:dyDescent="0.2">
      <c r="A32" s="120" t="s">
        <v>143</v>
      </c>
      <c r="B32" s="109"/>
      <c r="C32" s="91"/>
    </row>
    <row r="33" spans="1:3" ht="15" x14ac:dyDescent="0.2">
      <c r="A33" s="82" t="s">
        <v>72</v>
      </c>
      <c r="B33" s="109">
        <v>0.05</v>
      </c>
      <c r="C33" s="114">
        <f>C29*B33</f>
        <v>92500</v>
      </c>
    </row>
    <row r="34" spans="1:3" ht="15" x14ac:dyDescent="0.2">
      <c r="A34" s="82" t="s">
        <v>54</v>
      </c>
      <c r="B34" s="109">
        <v>0.1</v>
      </c>
      <c r="C34" s="92">
        <f>+C29*B34</f>
        <v>185000</v>
      </c>
    </row>
    <row r="35" spans="1:3" ht="15" x14ac:dyDescent="0.2">
      <c r="A35" s="82" t="s">
        <v>126</v>
      </c>
      <c r="B35" s="70"/>
      <c r="C35" s="91">
        <f>ROUND(+C29+C33+C34+C31,-3)</f>
        <v>2478000</v>
      </c>
    </row>
    <row r="36" spans="1:3" ht="15" x14ac:dyDescent="0.2">
      <c r="A36" s="70"/>
      <c r="B36" s="70"/>
      <c r="C36" s="91"/>
    </row>
    <row r="37" spans="1:3" ht="15" x14ac:dyDescent="0.2">
      <c r="A37" s="70" t="s">
        <v>69</v>
      </c>
      <c r="B37" s="70"/>
      <c r="C37" s="91"/>
    </row>
    <row r="38" spans="1:3" ht="15" x14ac:dyDescent="0.2">
      <c r="A38" s="82" t="s">
        <v>59</v>
      </c>
      <c r="B38" s="109">
        <v>0.02</v>
      </c>
      <c r="C38" s="91">
        <f>$C$35*B38</f>
        <v>49560</v>
      </c>
    </row>
    <row r="39" spans="1:3" ht="15" x14ac:dyDescent="0.2">
      <c r="A39" s="82" t="s">
        <v>55</v>
      </c>
      <c r="B39" s="109">
        <v>0.05</v>
      </c>
      <c r="C39" s="91">
        <f>$C$35*B39</f>
        <v>123900</v>
      </c>
    </row>
    <row r="40" spans="1:3" ht="15" x14ac:dyDescent="0.2">
      <c r="A40" s="82" t="s">
        <v>60</v>
      </c>
      <c r="B40" s="109">
        <v>0.04</v>
      </c>
      <c r="C40" s="92">
        <f>$C$35*B40</f>
        <v>99120</v>
      </c>
    </row>
    <row r="41" spans="1:3" ht="15" x14ac:dyDescent="0.2">
      <c r="A41" s="82" t="s">
        <v>52</v>
      </c>
      <c r="B41" s="70"/>
      <c r="C41" s="92">
        <f>ROUND(SUM(C38:C40),-3)</f>
        <v>273000</v>
      </c>
    </row>
    <row r="42" spans="1:3" ht="15" x14ac:dyDescent="0.2">
      <c r="A42" s="70"/>
      <c r="B42" s="70"/>
      <c r="C42" s="91"/>
    </row>
    <row r="43" spans="1:3" ht="16.5" thickBot="1" x14ac:dyDescent="0.3">
      <c r="A43" s="47" t="s">
        <v>79</v>
      </c>
      <c r="B43" s="47"/>
      <c r="C43" s="121">
        <f>ROUND(+C41+C35,-3)</f>
        <v>2751000</v>
      </c>
    </row>
    <row r="44" spans="1:3" ht="15.75" thickTop="1" x14ac:dyDescent="0.2">
      <c r="A44" s="70"/>
      <c r="B44" s="70"/>
      <c r="C44" s="122"/>
    </row>
    <row r="46" spans="1:3" s="52" customFormat="1" x14ac:dyDescent="0.2"/>
    <row r="47" spans="1:3" s="52" customFormat="1" x14ac:dyDescent="0.2"/>
    <row r="48" spans="1:3" s="52" customFormat="1" x14ac:dyDescent="0.2"/>
    <row r="49" spans="1:3" s="52" customFormat="1" x14ac:dyDescent="0.2"/>
    <row r="50" spans="1:3" s="52" customFormat="1" x14ac:dyDescent="0.2"/>
    <row r="51" spans="1:3" s="52" customFormat="1" x14ac:dyDescent="0.2"/>
    <row r="52" spans="1:3" s="52" customFormat="1" x14ac:dyDescent="0.2"/>
    <row r="53" spans="1:3" s="52" customFormat="1" x14ac:dyDescent="0.2"/>
    <row r="54" spans="1:3" s="52" customFormat="1" x14ac:dyDescent="0.2"/>
    <row r="55" spans="1:3" x14ac:dyDescent="0.2">
      <c r="C55" s="13"/>
    </row>
    <row r="56" spans="1:3" x14ac:dyDescent="0.2">
      <c r="A56" s="79" t="s">
        <v>246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D21" sqref="D21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2" t="s">
        <v>84</v>
      </c>
      <c r="B1" s="252"/>
      <c r="C1" s="252"/>
      <c r="D1" s="252"/>
      <c r="E1" s="252"/>
    </row>
    <row r="2" spans="1:5" ht="15.75" x14ac:dyDescent="0.25">
      <c r="A2" s="11"/>
      <c r="B2" s="11"/>
      <c r="C2" s="11"/>
      <c r="D2" s="11"/>
    </row>
    <row r="3" spans="1:5" ht="20.25" x14ac:dyDescent="0.3">
      <c r="A3" s="253" t="s">
        <v>368</v>
      </c>
      <c r="B3" s="253"/>
      <c r="C3" s="253"/>
      <c r="D3" s="253"/>
      <c r="E3" s="253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123</v>
      </c>
    </row>
    <row r="6" spans="1:5" x14ac:dyDescent="0.2">
      <c r="A6" s="29" t="s">
        <v>92</v>
      </c>
      <c r="B6" s="29" t="s">
        <v>94</v>
      </c>
      <c r="C6" s="29" t="s">
        <v>124</v>
      </c>
      <c r="D6" s="29" t="s">
        <v>93</v>
      </c>
      <c r="E6" s="28"/>
    </row>
    <row r="7" spans="1:5" s="52" customFormat="1" x14ac:dyDescent="0.2">
      <c r="A7" s="233"/>
      <c r="B7" s="233"/>
      <c r="C7" s="233"/>
      <c r="D7" s="233"/>
      <c r="E7" s="28"/>
    </row>
    <row r="8" spans="1:5" x14ac:dyDescent="0.2">
      <c r="A8" t="s">
        <v>117</v>
      </c>
      <c r="B8" s="26">
        <f>0.9*'A-8 Dist Costs'!D7</f>
        <v>269999.99999729998</v>
      </c>
      <c r="C8" s="62">
        <f>+C10</f>
        <v>17.249999999999993</v>
      </c>
      <c r="D8" s="23">
        <f>B8*C8</f>
        <v>4657499.9999534227</v>
      </c>
    </row>
    <row r="9" spans="1:5" x14ac:dyDescent="0.2">
      <c r="A9" t="s">
        <v>131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">
      <c r="A10" t="s">
        <v>118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4"/>
    </row>
    <row r="12" spans="1:5" s="52" customFormat="1" x14ac:dyDescent="0.2">
      <c r="B12" s="26"/>
      <c r="C12" s="63"/>
      <c r="D12" s="43"/>
    </row>
    <row r="13" spans="1:5" x14ac:dyDescent="0.2">
      <c r="A13" s="240" t="s">
        <v>364</v>
      </c>
      <c r="B13" s="26"/>
      <c r="C13" s="6"/>
      <c r="D13" s="43">
        <f>SUM(D7:D11)</f>
        <v>9710999.9999261741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357</v>
      </c>
      <c r="B15" s="26"/>
      <c r="C15" s="235">
        <v>0</v>
      </c>
      <c r="D15" s="43">
        <f>C15*D13</f>
        <v>0</v>
      </c>
    </row>
    <row r="16" spans="1:5" s="52" customFormat="1" x14ac:dyDescent="0.2">
      <c r="B16" s="26"/>
      <c r="C16" s="6"/>
      <c r="D16" s="234"/>
    </row>
    <row r="17" spans="1:4" s="52" customFormat="1" x14ac:dyDescent="0.2">
      <c r="B17" s="26"/>
      <c r="C17" s="6"/>
      <c r="D17" s="43"/>
    </row>
    <row r="18" spans="1:4" x14ac:dyDescent="0.2">
      <c r="A18" s="42" t="s">
        <v>365</v>
      </c>
      <c r="B18" s="44"/>
      <c r="C18" s="5"/>
      <c r="D18" s="46">
        <f>D15+D13</f>
        <v>9710999.9999261741</v>
      </c>
    </row>
    <row r="20" spans="1:4" x14ac:dyDescent="0.2">
      <c r="A20" s="15" t="s">
        <v>100</v>
      </c>
      <c r="D20" s="20">
        <v>60000</v>
      </c>
    </row>
    <row r="21" spans="1:4" s="52" customFormat="1" x14ac:dyDescent="0.2">
      <c r="A21" s="15"/>
      <c r="D21" s="20"/>
    </row>
    <row r="22" spans="1:4" hidden="1" x14ac:dyDescent="0.2">
      <c r="A22" s="15" t="s">
        <v>97</v>
      </c>
      <c r="B22" s="4"/>
      <c r="C22" s="4"/>
      <c r="D22" s="30">
        <f>+D18/D20</f>
        <v>161.84999999876956</v>
      </c>
    </row>
    <row r="23" spans="1:4" ht="13.5" hidden="1" thickBot="1" x14ac:dyDescent="0.25"/>
    <row r="24" spans="1:4" ht="16.5" hidden="1" thickBot="1" x14ac:dyDescent="0.3">
      <c r="A24" s="47" t="s">
        <v>358</v>
      </c>
      <c r="D24" s="57">
        <f>ROUND(D22,-1)</f>
        <v>160</v>
      </c>
    </row>
    <row r="29" spans="1:4" x14ac:dyDescent="0.2">
      <c r="A29" s="79" t="s">
        <v>246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QD2UCF5UJE4V-699202894-382</_dlc_DocId>
    <_dlc_DocIdUrl xmlns="7184055b-e5ea-4162-8b19-ace5c644b73a">
      <Url>http://intranet2/pw/_layouts/15/DocIdRedir.aspx?ID=QD2UCF5UJE4V-699202894-382</Url>
      <Description>QD2UCF5UJE4V-699202894-382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29E5E7E-D3A4-4C15-A581-BBED284EA698}"/>
</file>

<file path=customXml/itemProps2.xml><?xml version="1.0" encoding="utf-8"?>
<ds:datastoreItem xmlns:ds="http://schemas.openxmlformats.org/officeDocument/2006/customXml" ds:itemID="{815F0195-0D4E-4281-BD70-290AE12328DB}"/>
</file>

<file path=customXml/itemProps3.xml><?xml version="1.0" encoding="utf-8"?>
<ds:datastoreItem xmlns:ds="http://schemas.openxmlformats.org/officeDocument/2006/customXml" ds:itemID="{494AF90F-BED3-46FA-8D39-09FA9A2D55E9}"/>
</file>

<file path=customXml/itemProps4.xml><?xml version="1.0" encoding="utf-8"?>
<ds:datastoreItem xmlns:ds="http://schemas.openxmlformats.org/officeDocument/2006/customXml" ds:itemID="{5C40C8F3-4588-4989-895C-9F853C1E11A0}"/>
</file>

<file path=customXml/itemProps5.xml><?xml version="1.0" encoding="utf-8"?>
<ds:datastoreItem xmlns:ds="http://schemas.openxmlformats.org/officeDocument/2006/customXml" ds:itemID="{D0F563B3-3CBD-4445-B0D0-C92C683E7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Stryder</cp:lastModifiedBy>
  <cp:lastPrinted>2012-12-04T18:50:12Z</cp:lastPrinted>
  <dcterms:created xsi:type="dcterms:W3CDTF">2009-12-12T00:04:46Z</dcterms:created>
  <dcterms:modified xsi:type="dcterms:W3CDTF">2012-12-05T02:31:02Z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3807f844-70fb-4350-b98e-02ed555b4b34</vt:lpwstr>
  </property>
  <property fmtid="{D5CDD505-2E9C-101B-9397-08002B2CF9AE}" pid="4" name="Order">
    <vt:r8>11800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http://intranet:12013/_layouts/DocIdRedir.aspx?ID=DS6S4WKU732Q-3-118, DS6S4WKU732Q-3-118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DS6S4WKU732Q-3-118</vt:lpwstr>
  </property>
</Properties>
</file>