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60" windowWidth="17115" windowHeight="9660" tabRatio="853" activeTab="3"/>
  </bookViews>
  <sheets>
    <sheet name="Log" sheetId="12" r:id="rId1"/>
    <sheet name="PFF-Zones (Combined)" sheetId="15" r:id="rId2"/>
    <sheet name="PFF-Zones" sheetId="9" r:id="rId3"/>
    <sheet name="1. Storm Drainage Fee Calc Sum" sheetId="20" r:id="rId4"/>
    <sheet name="2. Fee Per Unit" sheetId="21" r:id="rId5"/>
    <sheet name="3. EDU Calculation" sheetId="19" r:id="rId6"/>
    <sheet name="3a. EDU Calculation Ex wo 85%" sheetId="25" state="hidden" r:id="rId7"/>
    <sheet name="4. Proj Allocations To Zones" sheetId="16" r:id="rId8"/>
    <sheet name="5. Vacant Land + Dev Summary" sheetId="17" r:id="rId9"/>
    <sheet name="Vacant Land Summary" sheetId="28" r:id="rId10"/>
    <sheet name="5M" sheetId="26" r:id="rId11"/>
    <sheet name="5M Old %'s" sheetId="27" r:id="rId12"/>
    <sheet name="6. Finance Assumptions" sheetId="22" r:id="rId13"/>
    <sheet name="7. Beginning Fund Balance" sheetId="23" r:id="rId14"/>
    <sheet name="Future Improve" sheetId="8" r:id="rId15"/>
    <sheet name="North" sheetId="4" r:id="rId16"/>
    <sheet name="South &amp; Levee" sheetId="5" r:id="rId17"/>
    <sheet name="Summary+Austin (Shed D)" sheetId="13" r:id="rId18"/>
    <sheet name="Storm Sheds" sheetId="14" r:id="rId19"/>
    <sheet name="Trails" sheetId="7" r:id="rId20"/>
    <sheet name="Levee &amp; Monitor" sheetId="6" r:id="rId21"/>
    <sheet name="Land Use" sheetId="10" r:id="rId22"/>
    <sheet name="Zone 70" sheetId="11" r:id="rId23"/>
  </sheets>
  <externalReferences>
    <externalReference r:id="rId24"/>
  </externalReferences>
  <definedNames>
    <definedName name="_FIN_ASSUM_03">'6. Finance Assumptions'!$A$1</definedName>
    <definedName name="_ISSUANCE_COST">'6. Finance Assumptions'!$A$50</definedName>
    <definedName name="_Order1" hidden="1">255</definedName>
    <definedName name="P_FINANCE_ASSUM">'6. Finance Assumptions'!$A$4:$F$46</definedName>
    <definedName name="_xlnm.Print_Area" localSheetId="22">'Zone 70'!$A$1:$K$24</definedName>
    <definedName name="_xlnm.Print_Titles" localSheetId="8">'5. Vacant Land + Dev Summary'!$A:$B</definedName>
    <definedName name="_xlnm.Print_Titles" localSheetId="2">'PFF-Zones'!$2:$2</definedName>
    <definedName name="_xlnm.Print_Titles" localSheetId="1">'PFF-Zones (Combined)'!$2:$2</definedName>
    <definedName name="_xlnm.Print_Titles" localSheetId="17">'Summary+Austin (Shed D)'!$1:$6</definedName>
    <definedName name="_xlnm.Print_Titles" localSheetId="9">'Vacant Land Summary'!$A:$B</definedName>
    <definedName name="VARIABLE">'6. Finance Assumptions'!$C$73</definedName>
    <definedName name="wrn.Budget." localSheetId="10" hidden="1">{"Sum Sewer",#N/A,FALSE,"Sewer";"Sum Water",#N/A,FALSE,"Water";"Sew Coll",#N/A,FALSE,"Sewer";"Sew Trt",#N/A,FALSE,"Sewer";"Wat Dist",#N/A,FALSE,"Water";"Wat Cnct",#N/A,FALSE,"Water"}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localSheetId="12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0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2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0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2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0" hidden="1">{"fund_rate_sum",#N/A,FALSE,"Rate Summary";"customers",#N/A,FALSE,"Customers";"cost_summ",#N/A,FALSE,"Budget Sum";"cost_dist",#N/A,FALSE,"Distribution %";"cost_dist_cap",#N/A,FALSE,"Distribution %"}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localSheetId="12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0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2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0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2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I32" i="20" l="1"/>
  <c r="X38" i="17" l="1"/>
  <c r="U38" i="17"/>
  <c r="T38" i="17"/>
  <c r="S38" i="17"/>
  <c r="R38" i="17"/>
  <c r="X37" i="17"/>
  <c r="U37" i="17"/>
  <c r="T37" i="17"/>
  <c r="S37" i="17"/>
  <c r="R37" i="17"/>
  <c r="X36" i="17"/>
  <c r="U36" i="17"/>
  <c r="T36" i="17"/>
  <c r="S36" i="17"/>
  <c r="R36" i="17"/>
  <c r="X35" i="17"/>
  <c r="U35" i="17"/>
  <c r="T35" i="17"/>
  <c r="S35" i="17"/>
  <c r="R35" i="17"/>
  <c r="X34" i="17"/>
  <c r="U34" i="17"/>
  <c r="T34" i="17"/>
  <c r="S34" i="17"/>
  <c r="R34" i="17"/>
  <c r="X33" i="17"/>
  <c r="U33" i="17"/>
  <c r="T33" i="17"/>
  <c r="S33" i="17"/>
  <c r="R33" i="17"/>
  <c r="X32" i="17"/>
  <c r="U32" i="17"/>
  <c r="T32" i="17"/>
  <c r="S32" i="17"/>
  <c r="R32" i="17"/>
  <c r="X31" i="17"/>
  <c r="U31" i="17"/>
  <c r="T31" i="17"/>
  <c r="S31" i="17"/>
  <c r="R31" i="17"/>
  <c r="X30" i="17"/>
  <c r="U30" i="17"/>
  <c r="T30" i="17"/>
  <c r="S30" i="17"/>
  <c r="R30" i="17"/>
  <c r="X29" i="17"/>
  <c r="U29" i="17"/>
  <c r="T29" i="17"/>
  <c r="S29" i="17"/>
  <c r="R29" i="17"/>
  <c r="Q38" i="17"/>
  <c r="Q37" i="17"/>
  <c r="Q36" i="17"/>
  <c r="Q35" i="17"/>
  <c r="Q34" i="17"/>
  <c r="Q33" i="17"/>
  <c r="Q32" i="17"/>
  <c r="Q31" i="17"/>
  <c r="Q30" i="17"/>
  <c r="Q29" i="17"/>
  <c r="P38" i="17"/>
  <c r="P37" i="17"/>
  <c r="P36" i="17"/>
  <c r="P35" i="17"/>
  <c r="P34" i="17"/>
  <c r="P33" i="17"/>
  <c r="P32" i="17"/>
  <c r="P31" i="17"/>
  <c r="P30" i="17"/>
  <c r="P29" i="17"/>
  <c r="O38" i="17" l="1"/>
  <c r="X28" i="17"/>
  <c r="U28" i="17"/>
  <c r="T28" i="17"/>
  <c r="S28" i="17"/>
  <c r="R28" i="17"/>
  <c r="Q28" i="17"/>
  <c r="P28" i="17"/>
  <c r="O28" i="17"/>
  <c r="O37" i="17"/>
  <c r="O36" i="17"/>
  <c r="O35" i="17"/>
  <c r="O34" i="17"/>
  <c r="O33" i="17"/>
  <c r="O32" i="17"/>
  <c r="O31" i="17"/>
  <c r="O30" i="17"/>
  <c r="O29" i="17"/>
  <c r="V3" i="17"/>
  <c r="V2" i="17"/>
  <c r="V1" i="17"/>
  <c r="AS3" i="17"/>
  <c r="AS2" i="17"/>
  <c r="AS1" i="17"/>
  <c r="AH36" i="21"/>
  <c r="AN36" i="21" s="1"/>
  <c r="AH35" i="21"/>
  <c r="AN35" i="21" s="1"/>
  <c r="AH37" i="21"/>
  <c r="AH34" i="21"/>
  <c r="AH33" i="21"/>
  <c r="AH32" i="21"/>
  <c r="AH31" i="21"/>
  <c r="AH23" i="21"/>
  <c r="AH22" i="21"/>
  <c r="AN22" i="21" s="1"/>
  <c r="AH21" i="21"/>
  <c r="AN21" i="21" s="1"/>
  <c r="AH20" i="21"/>
  <c r="AN20" i="21" s="1"/>
  <c r="AH17" i="21"/>
  <c r="AH18" i="21"/>
  <c r="AH19" i="21"/>
  <c r="AH16" i="21"/>
  <c r="F36" i="21"/>
  <c r="F22" i="21"/>
  <c r="AU30" i="21"/>
  <c r="AU29" i="21"/>
  <c r="AU28" i="21"/>
  <c r="AU27" i="21"/>
  <c r="AU26" i="21"/>
  <c r="AU25" i="21"/>
  <c r="AU24" i="21"/>
  <c r="AU22" i="21"/>
  <c r="AU21" i="21"/>
  <c r="AU20" i="21"/>
  <c r="AU19" i="21"/>
  <c r="AU18" i="21"/>
  <c r="AU17" i="21"/>
  <c r="AU16" i="21"/>
  <c r="AU23" i="21"/>
  <c r="AT30" i="21"/>
  <c r="AT29" i="21"/>
  <c r="AT28" i="21"/>
  <c r="AT27" i="21"/>
  <c r="AT26" i="21"/>
  <c r="AT25" i="21"/>
  <c r="AT24" i="21"/>
  <c r="AT23" i="21"/>
  <c r="AT22" i="21"/>
  <c r="AT21" i="21"/>
  <c r="AT20" i="21"/>
  <c r="AT19" i="21"/>
  <c r="AT18" i="21"/>
  <c r="AT17" i="21"/>
  <c r="AT16" i="21"/>
  <c r="AW30" i="21"/>
  <c r="AW29" i="21"/>
  <c r="AW28" i="21"/>
  <c r="AW27" i="21"/>
  <c r="AW26" i="21"/>
  <c r="AW25" i="21"/>
  <c r="AW24" i="21"/>
  <c r="AW23" i="21"/>
  <c r="AW22" i="21"/>
  <c r="AW21" i="21"/>
  <c r="AW20" i="21"/>
  <c r="AW19" i="21"/>
  <c r="AW18" i="21"/>
  <c r="AW17" i="21"/>
  <c r="AW16" i="21"/>
  <c r="AS30" i="21"/>
  <c r="AS29" i="21"/>
  <c r="AS28" i="21"/>
  <c r="AS27" i="21"/>
  <c r="AS26" i="21"/>
  <c r="AS25" i="21"/>
  <c r="AS24" i="21"/>
  <c r="AS23" i="21"/>
  <c r="AS22" i="21"/>
  <c r="AS21" i="21"/>
  <c r="BH21" i="21" s="1"/>
  <c r="AS20" i="21"/>
  <c r="AS19" i="21"/>
  <c r="AS18" i="21"/>
  <c r="AS17" i="21"/>
  <c r="AS16" i="21"/>
  <c r="BH20" i="21"/>
  <c r="BI20" i="21"/>
  <c r="BK20" i="21"/>
  <c r="BM20" i="21"/>
  <c r="BI21" i="21"/>
  <c r="BK21" i="21"/>
  <c r="BM21" i="21"/>
  <c r="BH22" i="21"/>
  <c r="BI22" i="21"/>
  <c r="BK22" i="21"/>
  <c r="BM22" i="21"/>
  <c r="BM46" i="21"/>
  <c r="BL46" i="21"/>
  <c r="Y17" i="21"/>
  <c r="Y18" i="21"/>
  <c r="Y19" i="21"/>
  <c r="BI19" i="21" s="1"/>
  <c r="Y23" i="21"/>
  <c r="BI23" i="21" s="1"/>
  <c r="Y24" i="21"/>
  <c r="BI24" i="21" s="1"/>
  <c r="Y25" i="21"/>
  <c r="BI25" i="21" s="1"/>
  <c r="Y26" i="21"/>
  <c r="BI26" i="21" s="1"/>
  <c r="Y27" i="21"/>
  <c r="BI27" i="21" s="1"/>
  <c r="Y28" i="21"/>
  <c r="BI28" i="21" s="1"/>
  <c r="Y29" i="21"/>
  <c r="BI29" i="21" s="1"/>
  <c r="Y30" i="21"/>
  <c r="BI30" i="21" s="1"/>
  <c r="Y31" i="21"/>
  <c r="Y32" i="21"/>
  <c r="Y33" i="21"/>
  <c r="Y34" i="21"/>
  <c r="Y37" i="21"/>
  <c r="Y38" i="21"/>
  <c r="Y39" i="21"/>
  <c r="Y40" i="21"/>
  <c r="Y41" i="21"/>
  <c r="Y16" i="21"/>
  <c r="BJ44" i="21" s="1"/>
  <c r="BJ48" i="21" s="1"/>
  <c r="O39" i="17"/>
  <c r="AI20" i="21" l="1"/>
  <c r="AK20" i="21"/>
  <c r="AM20" i="21"/>
  <c r="AI21" i="21"/>
  <c r="AK21" i="21"/>
  <c r="AM21" i="21"/>
  <c r="AI22" i="21"/>
  <c r="AK22" i="21"/>
  <c r="AM22" i="21"/>
  <c r="AI35" i="21"/>
  <c r="AK35" i="21"/>
  <c r="AM35" i="21"/>
  <c r="AI36" i="21"/>
  <c r="AK36" i="21"/>
  <c r="AM36" i="21"/>
  <c r="AJ20" i="21"/>
  <c r="AL20" i="21"/>
  <c r="AJ21" i="21"/>
  <c r="AL21" i="21"/>
  <c r="AJ22" i="21"/>
  <c r="AL22" i="21"/>
  <c r="AJ35" i="21"/>
  <c r="AL35" i="21"/>
  <c r="AJ36" i="21"/>
  <c r="AL36" i="21"/>
  <c r="BI18" i="21"/>
  <c r="BK18" i="21"/>
  <c r="BM18" i="21"/>
  <c r="BH18" i="21"/>
  <c r="BM16" i="21"/>
  <c r="BK16" i="21"/>
  <c r="BI16" i="21"/>
  <c r="BH30" i="21"/>
  <c r="BH29" i="21"/>
  <c r="BH28" i="21"/>
  <c r="BH27" i="21"/>
  <c r="BH26" i="21"/>
  <c r="BH25" i="21"/>
  <c r="BH24" i="21"/>
  <c r="BH23" i="21"/>
  <c r="BI17" i="21"/>
  <c r="BK17" i="21"/>
  <c r="BM17" i="21"/>
  <c r="BH17" i="21"/>
  <c r="BM30" i="21"/>
  <c r="BK30" i="21"/>
  <c r="BM29" i="21"/>
  <c r="BK29" i="21"/>
  <c r="BM28" i="21"/>
  <c r="BK28" i="21"/>
  <c r="BM27" i="21"/>
  <c r="BK27" i="21"/>
  <c r="BM26" i="21"/>
  <c r="BK26" i="21"/>
  <c r="BM25" i="21"/>
  <c r="BK25" i="21"/>
  <c r="BM24" i="21"/>
  <c r="BK24" i="21"/>
  <c r="BM23" i="21"/>
  <c r="BK23" i="21"/>
  <c r="BM19" i="21"/>
  <c r="BK19" i="21"/>
  <c r="BH19" i="21"/>
  <c r="BH16" i="21"/>
  <c r="AA106" i="15" l="1"/>
  <c r="AB106" i="15"/>
  <c r="Z106" i="15"/>
  <c r="Z25" i="17" l="1"/>
  <c r="AA25" i="17"/>
  <c r="AB25" i="17"/>
  <c r="AC25" i="17"/>
  <c r="AD25" i="17"/>
  <c r="AE25" i="17"/>
  <c r="AI25" i="17"/>
  <c r="Z26" i="17"/>
  <c r="AA26" i="17"/>
  <c r="AB26" i="17"/>
  <c r="AC26" i="17"/>
  <c r="AD26" i="17"/>
  <c r="AE26" i="17"/>
  <c r="AI26" i="17"/>
  <c r="Z27" i="17"/>
  <c r="AA27" i="17"/>
  <c r="AB27" i="17"/>
  <c r="AC27" i="17"/>
  <c r="AD27" i="17"/>
  <c r="AE27" i="17"/>
  <c r="AI27" i="17"/>
  <c r="Z36" i="17"/>
  <c r="AS35" i="21" s="1"/>
  <c r="AA36" i="17"/>
  <c r="AB36" i="17"/>
  <c r="AC36" i="17"/>
  <c r="AD36" i="17"/>
  <c r="AE36" i="17"/>
  <c r="AI36" i="17"/>
  <c r="AW35" i="21" s="1"/>
  <c r="BM35" i="21" s="1"/>
  <c r="Z37" i="17"/>
  <c r="AS36" i="21" s="1"/>
  <c r="AA37" i="17"/>
  <c r="AB37" i="17"/>
  <c r="AC37" i="17"/>
  <c r="AD37" i="17"/>
  <c r="AE37" i="17"/>
  <c r="AI37" i="17"/>
  <c r="AW36" i="21" s="1"/>
  <c r="BM36" i="21" s="1"/>
  <c r="AZ25" i="17"/>
  <c r="BA25" i="17"/>
  <c r="BB25" i="17"/>
  <c r="BC25" i="17"/>
  <c r="BD25" i="17"/>
  <c r="BE25" i="17"/>
  <c r="BI25" i="17"/>
  <c r="AZ26" i="17"/>
  <c r="BA26" i="17"/>
  <c r="BB26" i="17"/>
  <c r="BC26" i="17"/>
  <c r="BD26" i="17"/>
  <c r="BE26" i="17"/>
  <c r="BI26" i="17"/>
  <c r="AZ27" i="17"/>
  <c r="BA27" i="17"/>
  <c r="BB27" i="17"/>
  <c r="BC27" i="17"/>
  <c r="BD27" i="17"/>
  <c r="BE27" i="17"/>
  <c r="BI27" i="17"/>
  <c r="AZ36" i="17"/>
  <c r="BA36" i="17"/>
  <c r="BB36" i="17"/>
  <c r="BC36" i="17"/>
  <c r="BD36" i="17"/>
  <c r="BE36" i="17"/>
  <c r="BI36" i="17"/>
  <c r="AZ37" i="17"/>
  <c r="BA37" i="17"/>
  <c r="BB37" i="17"/>
  <c r="BC37" i="17"/>
  <c r="BD37" i="17"/>
  <c r="BE37" i="17"/>
  <c r="BI37" i="17"/>
  <c r="AU36" i="21" l="1"/>
  <c r="BK36" i="21" s="1"/>
  <c r="AU35" i="21"/>
  <c r="BK35" i="21" s="1"/>
  <c r="AT36" i="21"/>
  <c r="BI36" i="21" s="1"/>
  <c r="AT35" i="21"/>
  <c r="BI35" i="21" s="1"/>
  <c r="BH36" i="21"/>
  <c r="BH35" i="21"/>
  <c r="P113" i="27"/>
  <c r="P114" i="27"/>
  <c r="P115" i="27"/>
  <c r="P116" i="27"/>
  <c r="P117" i="27"/>
  <c r="P118" i="27"/>
  <c r="P119" i="27"/>
  <c r="P120" i="27"/>
  <c r="P121" i="27"/>
  <c r="P122" i="27"/>
  <c r="P123" i="27"/>
  <c r="P124" i="27"/>
  <c r="P125" i="27"/>
  <c r="P126" i="27"/>
  <c r="P127" i="27"/>
  <c r="P128" i="27"/>
  <c r="P129" i="27"/>
  <c r="P130" i="27"/>
  <c r="P131" i="27"/>
  <c r="P132" i="27"/>
  <c r="P133" i="27"/>
  <c r="P134" i="27"/>
  <c r="P135" i="27"/>
  <c r="P136" i="27"/>
  <c r="P137" i="27"/>
  <c r="P112" i="27"/>
  <c r="G260" i="27"/>
  <c r="J255" i="27"/>
  <c r="F241" i="27"/>
  <c r="C137" i="27"/>
  <c r="D136" i="27"/>
  <c r="C136" i="27"/>
  <c r="C135" i="27"/>
  <c r="D134" i="27"/>
  <c r="C134" i="27"/>
  <c r="C133" i="27"/>
  <c r="D132" i="27"/>
  <c r="C132" i="27"/>
  <c r="C131" i="27"/>
  <c r="D130" i="27"/>
  <c r="C130" i="27"/>
  <c r="C129" i="27"/>
  <c r="D128" i="27"/>
  <c r="C128" i="27"/>
  <c r="C127" i="27"/>
  <c r="D126" i="27"/>
  <c r="C126" i="27"/>
  <c r="C125" i="27"/>
  <c r="D124" i="27"/>
  <c r="C124" i="27"/>
  <c r="C123" i="27"/>
  <c r="D122" i="27"/>
  <c r="C122" i="27"/>
  <c r="C121" i="27"/>
  <c r="C120" i="27"/>
  <c r="C119" i="27"/>
  <c r="C118" i="27"/>
  <c r="C117" i="27"/>
  <c r="C116" i="27"/>
  <c r="C115" i="27"/>
  <c r="C114" i="27"/>
  <c r="C113" i="27"/>
  <c r="C112" i="27"/>
  <c r="F105" i="27"/>
  <c r="F104" i="27"/>
  <c r="F103" i="27"/>
  <c r="F270" i="27" s="1"/>
  <c r="F99" i="27"/>
  <c r="F95" i="27"/>
  <c r="F91" i="27"/>
  <c r="P70" i="27"/>
  <c r="P69" i="27"/>
  <c r="P68" i="27"/>
  <c r="P67" i="27"/>
  <c r="P66" i="27"/>
  <c r="P65" i="27"/>
  <c r="P64" i="27"/>
  <c r="P63" i="27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L33" i="27"/>
  <c r="J103" i="27" s="1"/>
  <c r="K33" i="27"/>
  <c r="I103" i="27" s="1"/>
  <c r="I270" i="27" s="1"/>
  <c r="J33" i="27"/>
  <c r="I33" i="27"/>
  <c r="H33" i="27"/>
  <c r="H103" i="27" s="1"/>
  <c r="G33" i="27"/>
  <c r="G103" i="27" s="1"/>
  <c r="G270" i="27" s="1"/>
  <c r="F33" i="27"/>
  <c r="E33" i="27"/>
  <c r="E103" i="27" s="1"/>
  <c r="E270" i="27" s="1"/>
  <c r="D33" i="27"/>
  <c r="D103" i="27" s="1"/>
  <c r="D137" i="27" s="1"/>
  <c r="L32" i="27"/>
  <c r="J102" i="27" s="1"/>
  <c r="J136" i="27" s="1"/>
  <c r="K32" i="27"/>
  <c r="I102" i="27" s="1"/>
  <c r="J32" i="27"/>
  <c r="I32" i="27"/>
  <c r="H32" i="27"/>
  <c r="G32" i="27"/>
  <c r="G102" i="27" s="1"/>
  <c r="G269" i="27" s="1"/>
  <c r="E32" i="27"/>
  <c r="F32" i="27" s="1"/>
  <c r="D32" i="27"/>
  <c r="D102" i="27" s="1"/>
  <c r="D269" i="27" s="1"/>
  <c r="L31" i="27"/>
  <c r="J101" i="27" s="1"/>
  <c r="K31" i="27"/>
  <c r="I101" i="27" s="1"/>
  <c r="I268" i="27" s="1"/>
  <c r="J31" i="27"/>
  <c r="I31" i="27"/>
  <c r="H31" i="27"/>
  <c r="H101" i="27" s="1"/>
  <c r="G31" i="27"/>
  <c r="G101" i="27" s="1"/>
  <c r="G268" i="27" s="1"/>
  <c r="F31" i="27"/>
  <c r="E31" i="27"/>
  <c r="E101" i="27" s="1"/>
  <c r="F101" i="27" s="1"/>
  <c r="F268" i="27" s="1"/>
  <c r="D31" i="27"/>
  <c r="D101" i="27" s="1"/>
  <c r="L30" i="27"/>
  <c r="J100" i="27" s="1"/>
  <c r="J267" i="27" s="1"/>
  <c r="K30" i="27"/>
  <c r="I100" i="27" s="1"/>
  <c r="J30" i="27"/>
  <c r="I30" i="27"/>
  <c r="H30" i="27"/>
  <c r="G30" i="27"/>
  <c r="G100" i="27" s="1"/>
  <c r="E30" i="27"/>
  <c r="E100" i="27" s="1"/>
  <c r="F100" i="27" s="1"/>
  <c r="F267" i="27" s="1"/>
  <c r="D30" i="27"/>
  <c r="D100" i="27" s="1"/>
  <c r="D267" i="27" s="1"/>
  <c r="L29" i="27"/>
  <c r="J99" i="27" s="1"/>
  <c r="K29" i="27"/>
  <c r="I99" i="27" s="1"/>
  <c r="I266" i="27" s="1"/>
  <c r="J29" i="27"/>
  <c r="I29" i="27"/>
  <c r="H29" i="27"/>
  <c r="H99" i="27" s="1"/>
  <c r="G29" i="27"/>
  <c r="G99" i="27" s="1"/>
  <c r="G266" i="27" s="1"/>
  <c r="F29" i="27"/>
  <c r="E29" i="27"/>
  <c r="E99" i="27" s="1"/>
  <c r="D29" i="27"/>
  <c r="D99" i="27" s="1"/>
  <c r="L28" i="27"/>
  <c r="J98" i="27" s="1"/>
  <c r="J265" i="27" s="1"/>
  <c r="K28" i="27"/>
  <c r="I98" i="27" s="1"/>
  <c r="I265" i="27" s="1"/>
  <c r="J28" i="27"/>
  <c r="I28" i="27"/>
  <c r="H28" i="27"/>
  <c r="G28" i="27"/>
  <c r="G98" i="27" s="1"/>
  <c r="G265" i="27" s="1"/>
  <c r="E28" i="27"/>
  <c r="F28" i="27" s="1"/>
  <c r="D28" i="27"/>
  <c r="D98" i="27" s="1"/>
  <c r="L27" i="27"/>
  <c r="J97" i="27" s="1"/>
  <c r="J131" i="27" s="1"/>
  <c r="K27" i="27"/>
  <c r="I97" i="27" s="1"/>
  <c r="J27" i="27"/>
  <c r="I27" i="27"/>
  <c r="H27" i="27"/>
  <c r="H97" i="27" s="1"/>
  <c r="G27" i="27"/>
  <c r="G97" i="27" s="1"/>
  <c r="G264" i="27" s="1"/>
  <c r="F27" i="27"/>
  <c r="E27" i="27"/>
  <c r="E97" i="27" s="1"/>
  <c r="F97" i="27" s="1"/>
  <c r="D27" i="27"/>
  <c r="D97" i="27" s="1"/>
  <c r="L26" i="27"/>
  <c r="J96" i="27" s="1"/>
  <c r="J263" i="27" s="1"/>
  <c r="K26" i="27"/>
  <c r="I96" i="27" s="1"/>
  <c r="I263" i="27" s="1"/>
  <c r="J26" i="27"/>
  <c r="I26" i="27"/>
  <c r="H26" i="27"/>
  <c r="G26" i="27"/>
  <c r="G96" i="27" s="1"/>
  <c r="G263" i="27" s="1"/>
  <c r="E26" i="27"/>
  <c r="E96" i="27" s="1"/>
  <c r="F96" i="27" s="1"/>
  <c r="D26" i="27"/>
  <c r="D96" i="27" s="1"/>
  <c r="D263" i="27" s="1"/>
  <c r="L25" i="27"/>
  <c r="J95" i="27" s="1"/>
  <c r="J129" i="27" s="1"/>
  <c r="K25" i="27"/>
  <c r="I95" i="27" s="1"/>
  <c r="J25" i="27"/>
  <c r="I25" i="27"/>
  <c r="H25" i="27"/>
  <c r="H95" i="27" s="1"/>
  <c r="G25" i="27"/>
  <c r="G95" i="27" s="1"/>
  <c r="G262" i="27" s="1"/>
  <c r="F25" i="27"/>
  <c r="E25" i="27"/>
  <c r="E95" i="27" s="1"/>
  <c r="D25" i="27"/>
  <c r="D95" i="27" s="1"/>
  <c r="L24" i="27"/>
  <c r="J94" i="27" s="1"/>
  <c r="J128" i="27" s="1"/>
  <c r="K24" i="27"/>
  <c r="I94" i="27" s="1"/>
  <c r="J24" i="27"/>
  <c r="I24" i="27"/>
  <c r="H24" i="27"/>
  <c r="G24" i="27"/>
  <c r="G94" i="27" s="1"/>
  <c r="G261" i="27" s="1"/>
  <c r="E24" i="27"/>
  <c r="F24" i="27" s="1"/>
  <c r="D24" i="27"/>
  <c r="D94" i="27" s="1"/>
  <c r="D261" i="27" s="1"/>
  <c r="L23" i="27"/>
  <c r="J93" i="27" s="1"/>
  <c r="K23" i="27"/>
  <c r="I93" i="27" s="1"/>
  <c r="J23" i="27"/>
  <c r="I23" i="27"/>
  <c r="H23" i="27"/>
  <c r="H93" i="27" s="1"/>
  <c r="G23" i="27"/>
  <c r="G93" i="27" s="1"/>
  <c r="F23" i="27"/>
  <c r="E23" i="27"/>
  <c r="E93" i="27" s="1"/>
  <c r="F93" i="27" s="1"/>
  <c r="D23" i="27"/>
  <c r="D93" i="27" s="1"/>
  <c r="D127" i="27" s="1"/>
  <c r="L22" i="27"/>
  <c r="J92" i="27" s="1"/>
  <c r="J259" i="27" s="1"/>
  <c r="K22" i="27"/>
  <c r="I92" i="27" s="1"/>
  <c r="J22" i="27"/>
  <c r="I22" i="27"/>
  <c r="H22" i="27"/>
  <c r="G22" i="27"/>
  <c r="G92" i="27" s="1"/>
  <c r="G259" i="27" s="1"/>
  <c r="E22" i="27"/>
  <c r="E92" i="27" s="1"/>
  <c r="D22" i="27"/>
  <c r="D92" i="27" s="1"/>
  <c r="D259" i="27" s="1"/>
  <c r="L21" i="27"/>
  <c r="J91" i="27" s="1"/>
  <c r="K21" i="27"/>
  <c r="I91" i="27" s="1"/>
  <c r="J21" i="27"/>
  <c r="I21" i="27"/>
  <c r="H21" i="27"/>
  <c r="H91" i="27" s="1"/>
  <c r="H125" i="27" s="1"/>
  <c r="G21" i="27"/>
  <c r="G91" i="27" s="1"/>
  <c r="G258" i="27" s="1"/>
  <c r="F21" i="27"/>
  <c r="E21" i="27"/>
  <c r="E91" i="27" s="1"/>
  <c r="D21" i="27"/>
  <c r="D91" i="27" s="1"/>
  <c r="D125" i="27" s="1"/>
  <c r="L20" i="27"/>
  <c r="J90" i="27" s="1"/>
  <c r="J257" i="27" s="1"/>
  <c r="K20" i="27"/>
  <c r="I90" i="27" s="1"/>
  <c r="J20" i="27"/>
  <c r="I20" i="27"/>
  <c r="H20" i="27"/>
  <c r="G20" i="27"/>
  <c r="G90" i="27" s="1"/>
  <c r="E20" i="27"/>
  <c r="F20" i="27" s="1"/>
  <c r="D20" i="27"/>
  <c r="D90" i="27" s="1"/>
  <c r="L19" i="27"/>
  <c r="J89" i="27" s="1"/>
  <c r="J123" i="27" s="1"/>
  <c r="K19" i="27"/>
  <c r="I89" i="27" s="1"/>
  <c r="I256" i="27" s="1"/>
  <c r="J19" i="27"/>
  <c r="I19" i="27"/>
  <c r="H19" i="27"/>
  <c r="H89" i="27" s="1"/>
  <c r="G19" i="27"/>
  <c r="G89" i="27" s="1"/>
  <c r="F19" i="27"/>
  <c r="E19" i="27"/>
  <c r="E89" i="27" s="1"/>
  <c r="F89" i="27" s="1"/>
  <c r="D19" i="27"/>
  <c r="D89" i="27" s="1"/>
  <c r="L18" i="27"/>
  <c r="J88" i="27" s="1"/>
  <c r="J122" i="27" s="1"/>
  <c r="K18" i="27"/>
  <c r="I88" i="27" s="1"/>
  <c r="J18" i="27"/>
  <c r="I18" i="27"/>
  <c r="H18" i="27"/>
  <c r="G18" i="27"/>
  <c r="G88" i="27" s="1"/>
  <c r="E18" i="27"/>
  <c r="E88" i="27" s="1"/>
  <c r="D18" i="27"/>
  <c r="D88" i="27" s="1"/>
  <c r="D255" i="27" s="1"/>
  <c r="L17" i="27"/>
  <c r="J87" i="27" s="1"/>
  <c r="J121" i="27" s="1"/>
  <c r="K17" i="27"/>
  <c r="I87" i="27" s="1"/>
  <c r="J17" i="27"/>
  <c r="I17" i="27"/>
  <c r="H17" i="27"/>
  <c r="H87" i="27" s="1"/>
  <c r="H121" i="27" s="1"/>
  <c r="G17" i="27"/>
  <c r="G87" i="27" s="1"/>
  <c r="F17" i="27"/>
  <c r="E17" i="27"/>
  <c r="E87" i="27" s="1"/>
  <c r="D17" i="27"/>
  <c r="D87" i="27" s="1"/>
  <c r="L16" i="27"/>
  <c r="J86" i="27" s="1"/>
  <c r="K16" i="27"/>
  <c r="I86" i="27" s="1"/>
  <c r="J16" i="27"/>
  <c r="I16" i="27"/>
  <c r="H16" i="27"/>
  <c r="H86" i="27" s="1"/>
  <c r="H120" i="27" s="1"/>
  <c r="G16" i="27"/>
  <c r="G86" i="27" s="1"/>
  <c r="E16" i="27"/>
  <c r="F16" i="27" s="1"/>
  <c r="D16" i="27"/>
  <c r="D86" i="27" s="1"/>
  <c r="D120" i="27" s="1"/>
  <c r="L15" i="27"/>
  <c r="J85" i="27" s="1"/>
  <c r="J119" i="27" s="1"/>
  <c r="K15" i="27"/>
  <c r="I85" i="27" s="1"/>
  <c r="J15" i="27"/>
  <c r="I15" i="27"/>
  <c r="H15" i="27"/>
  <c r="H85" i="27" s="1"/>
  <c r="H119" i="27" s="1"/>
  <c r="G15" i="27"/>
  <c r="G85" i="27" s="1"/>
  <c r="F15" i="27"/>
  <c r="E15" i="27"/>
  <c r="E85" i="27" s="1"/>
  <c r="F85" i="27" s="1"/>
  <c r="D15" i="27"/>
  <c r="D85" i="27" s="1"/>
  <c r="D119" i="27" s="1"/>
  <c r="L14" i="27"/>
  <c r="J84" i="27" s="1"/>
  <c r="K14" i="27"/>
  <c r="I84" i="27" s="1"/>
  <c r="J14" i="27"/>
  <c r="I14" i="27"/>
  <c r="H14" i="27"/>
  <c r="H84" i="27" s="1"/>
  <c r="H118" i="27" s="1"/>
  <c r="G14" i="27"/>
  <c r="G84" i="27" s="1"/>
  <c r="G251" i="27" s="1"/>
  <c r="E14" i="27"/>
  <c r="F14" i="27" s="1"/>
  <c r="D14" i="27"/>
  <c r="D84" i="27" s="1"/>
  <c r="D118" i="27" s="1"/>
  <c r="L13" i="27"/>
  <c r="J83" i="27" s="1"/>
  <c r="J117" i="27" s="1"/>
  <c r="K13" i="27"/>
  <c r="I83" i="27" s="1"/>
  <c r="J13" i="27"/>
  <c r="I13" i="27"/>
  <c r="H13" i="27"/>
  <c r="H83" i="27" s="1"/>
  <c r="H117" i="27" s="1"/>
  <c r="G13" i="27"/>
  <c r="G83" i="27" s="1"/>
  <c r="F13" i="27"/>
  <c r="E13" i="27"/>
  <c r="E83" i="27" s="1"/>
  <c r="D13" i="27"/>
  <c r="D83" i="27" s="1"/>
  <c r="L12" i="27"/>
  <c r="J82" i="27" s="1"/>
  <c r="J116" i="27" s="1"/>
  <c r="K12" i="27"/>
  <c r="I82" i="27" s="1"/>
  <c r="J12" i="27"/>
  <c r="I12" i="27"/>
  <c r="H12" i="27"/>
  <c r="H82" i="27" s="1"/>
  <c r="H116" i="27" s="1"/>
  <c r="G12" i="27"/>
  <c r="G82" i="27" s="1"/>
  <c r="E12" i="27"/>
  <c r="F12" i="27" s="1"/>
  <c r="D12" i="27"/>
  <c r="D82" i="27" s="1"/>
  <c r="L11" i="27"/>
  <c r="J81" i="27" s="1"/>
  <c r="J115" i="27" s="1"/>
  <c r="K11" i="27"/>
  <c r="I81" i="27" s="1"/>
  <c r="J11" i="27"/>
  <c r="I11" i="27"/>
  <c r="H11" i="27"/>
  <c r="H81" i="27" s="1"/>
  <c r="H115" i="27" s="1"/>
  <c r="G11" i="27"/>
  <c r="G81" i="27" s="1"/>
  <c r="F11" i="27"/>
  <c r="E11" i="27"/>
  <c r="E81" i="27" s="1"/>
  <c r="F81" i="27" s="1"/>
  <c r="D11" i="27"/>
  <c r="D81" i="27" s="1"/>
  <c r="L10" i="27"/>
  <c r="J80" i="27" s="1"/>
  <c r="K10" i="27"/>
  <c r="I80" i="27" s="1"/>
  <c r="I247" i="27" s="1"/>
  <c r="J10" i="27"/>
  <c r="I10" i="27"/>
  <c r="H10" i="27"/>
  <c r="H80" i="27" s="1"/>
  <c r="H114" i="27" s="1"/>
  <c r="G10" i="27"/>
  <c r="G80" i="27" s="1"/>
  <c r="G247" i="27" s="1"/>
  <c r="E10" i="27"/>
  <c r="F10" i="27" s="1"/>
  <c r="D10" i="27"/>
  <c r="D80" i="27" s="1"/>
  <c r="L9" i="27"/>
  <c r="J79" i="27" s="1"/>
  <c r="J113" i="27" s="1"/>
  <c r="K9" i="27"/>
  <c r="I79" i="27" s="1"/>
  <c r="I246" i="27" s="1"/>
  <c r="J9" i="27"/>
  <c r="I9" i="27"/>
  <c r="H9" i="27"/>
  <c r="H79" i="27" s="1"/>
  <c r="G9" i="27"/>
  <c r="G79" i="27" s="1"/>
  <c r="G246" i="27" s="1"/>
  <c r="F9" i="27"/>
  <c r="E9" i="27"/>
  <c r="E79" i="27" s="1"/>
  <c r="D9" i="27"/>
  <c r="D79" i="27" s="1"/>
  <c r="L8" i="27"/>
  <c r="J78" i="27" s="1"/>
  <c r="K8" i="27"/>
  <c r="I78" i="27" s="1"/>
  <c r="I106" i="27" s="1"/>
  <c r="J8" i="27"/>
  <c r="J36" i="27" s="1"/>
  <c r="I8" i="27"/>
  <c r="I36" i="27" s="1"/>
  <c r="H8" i="27"/>
  <c r="H78" i="27" s="1"/>
  <c r="G8" i="27"/>
  <c r="G78" i="27" s="1"/>
  <c r="E8" i="27"/>
  <c r="F8" i="27" s="1"/>
  <c r="D8" i="27"/>
  <c r="D78" i="27" s="1"/>
  <c r="K1" i="27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68" i="26"/>
  <c r="P69" i="26"/>
  <c r="P70" i="26"/>
  <c r="P45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J70" i="26"/>
  <c r="J69" i="26"/>
  <c r="D69" i="26"/>
  <c r="K68" i="26"/>
  <c r="J68" i="26"/>
  <c r="D68" i="26"/>
  <c r="J67" i="26"/>
  <c r="D67" i="26"/>
  <c r="J66" i="26"/>
  <c r="D66" i="26"/>
  <c r="K65" i="26"/>
  <c r="J65" i="26"/>
  <c r="J64" i="26"/>
  <c r="D64" i="26"/>
  <c r="J63" i="26"/>
  <c r="D63" i="26"/>
  <c r="J62" i="26"/>
  <c r="D62" i="26"/>
  <c r="J61" i="26"/>
  <c r="E61" i="26"/>
  <c r="D61" i="26"/>
  <c r="J60" i="26"/>
  <c r="D59" i="26"/>
  <c r="L58" i="26"/>
  <c r="K58" i="26"/>
  <c r="J58" i="26"/>
  <c r="I58" i="26"/>
  <c r="H58" i="26"/>
  <c r="G58" i="26"/>
  <c r="E58" i="26"/>
  <c r="D58" i="26"/>
  <c r="L57" i="26"/>
  <c r="K57" i="26"/>
  <c r="J57" i="26"/>
  <c r="I57" i="26"/>
  <c r="H57" i="26"/>
  <c r="G57" i="26"/>
  <c r="E57" i="26"/>
  <c r="D57" i="26"/>
  <c r="L56" i="26"/>
  <c r="K56" i="26"/>
  <c r="J56" i="26"/>
  <c r="I56" i="26"/>
  <c r="H56" i="26"/>
  <c r="G56" i="26"/>
  <c r="E56" i="26"/>
  <c r="D56" i="26"/>
  <c r="L55" i="26"/>
  <c r="K55" i="26"/>
  <c r="J55" i="26"/>
  <c r="I55" i="26"/>
  <c r="H55" i="26"/>
  <c r="G55" i="26"/>
  <c r="E55" i="26"/>
  <c r="D55" i="26"/>
  <c r="L54" i="26"/>
  <c r="K54" i="26"/>
  <c r="J54" i="26"/>
  <c r="I54" i="26"/>
  <c r="H54" i="26"/>
  <c r="G54" i="26"/>
  <c r="E54" i="26"/>
  <c r="D54" i="26"/>
  <c r="L53" i="26"/>
  <c r="J53" i="26"/>
  <c r="I53" i="26"/>
  <c r="H53" i="26"/>
  <c r="G53" i="26"/>
  <c r="E53" i="26"/>
  <c r="D53" i="26"/>
  <c r="L52" i="26"/>
  <c r="K52" i="26"/>
  <c r="J52" i="26"/>
  <c r="I52" i="26"/>
  <c r="H52" i="26"/>
  <c r="G52" i="26"/>
  <c r="E52" i="26"/>
  <c r="D52" i="26"/>
  <c r="L51" i="26"/>
  <c r="J51" i="26"/>
  <c r="I51" i="26"/>
  <c r="H51" i="26"/>
  <c r="G51" i="26"/>
  <c r="E51" i="26"/>
  <c r="D51" i="26"/>
  <c r="L50" i="26"/>
  <c r="K50" i="26"/>
  <c r="J50" i="26"/>
  <c r="I50" i="26"/>
  <c r="H50" i="26"/>
  <c r="G50" i="26"/>
  <c r="E50" i="26"/>
  <c r="D50" i="26"/>
  <c r="L49" i="26"/>
  <c r="K49" i="26"/>
  <c r="J49" i="26"/>
  <c r="I49" i="26"/>
  <c r="H49" i="26"/>
  <c r="G49" i="26"/>
  <c r="E49" i="26"/>
  <c r="D49" i="26"/>
  <c r="L48" i="26"/>
  <c r="K48" i="26"/>
  <c r="J48" i="26"/>
  <c r="I48" i="26"/>
  <c r="H48" i="26"/>
  <c r="G48" i="26"/>
  <c r="E48" i="26"/>
  <c r="D48" i="26"/>
  <c r="L47" i="26"/>
  <c r="K47" i="26"/>
  <c r="J47" i="26"/>
  <c r="I47" i="26"/>
  <c r="H47" i="26"/>
  <c r="G47" i="26"/>
  <c r="E47" i="26"/>
  <c r="D47" i="26"/>
  <c r="L46" i="26"/>
  <c r="K46" i="26"/>
  <c r="J46" i="26"/>
  <c r="I46" i="26"/>
  <c r="H46" i="26"/>
  <c r="G46" i="26"/>
  <c r="E46" i="26"/>
  <c r="D46" i="26"/>
  <c r="J45" i="26"/>
  <c r="I45" i="26"/>
  <c r="H45" i="26"/>
  <c r="G45" i="26"/>
  <c r="L33" i="26"/>
  <c r="K33" i="26"/>
  <c r="J33" i="26"/>
  <c r="I33" i="26"/>
  <c r="H33" i="26"/>
  <c r="G33" i="26"/>
  <c r="E33" i="26"/>
  <c r="D33" i="26"/>
  <c r="L32" i="26"/>
  <c r="K32" i="26"/>
  <c r="I102" i="26" s="1"/>
  <c r="I136" i="26" s="1"/>
  <c r="J32" i="26"/>
  <c r="I32" i="26"/>
  <c r="H32" i="26"/>
  <c r="G32" i="26"/>
  <c r="E32" i="26"/>
  <c r="D32" i="26"/>
  <c r="L31" i="26"/>
  <c r="K31" i="26"/>
  <c r="I101" i="26" s="1"/>
  <c r="I268" i="26" s="1"/>
  <c r="J31" i="26"/>
  <c r="I31" i="26"/>
  <c r="H31" i="26"/>
  <c r="G31" i="26"/>
  <c r="E31" i="26"/>
  <c r="D31" i="26"/>
  <c r="L30" i="26"/>
  <c r="K30" i="26"/>
  <c r="J30" i="26"/>
  <c r="I30" i="26"/>
  <c r="H30" i="26"/>
  <c r="G30" i="26"/>
  <c r="E30" i="26"/>
  <c r="D30" i="26"/>
  <c r="L29" i="26"/>
  <c r="K29" i="26"/>
  <c r="J29" i="26"/>
  <c r="I29" i="26"/>
  <c r="H29" i="26"/>
  <c r="G29" i="26"/>
  <c r="E29" i="26"/>
  <c r="D29" i="26"/>
  <c r="L28" i="26"/>
  <c r="K28" i="26"/>
  <c r="I98" i="26" s="1"/>
  <c r="I265" i="26" s="1"/>
  <c r="J28" i="26"/>
  <c r="I28" i="26"/>
  <c r="H28" i="26"/>
  <c r="G28" i="26"/>
  <c r="E28" i="26"/>
  <c r="D28" i="26"/>
  <c r="L27" i="26"/>
  <c r="K27" i="26"/>
  <c r="I97" i="26" s="1"/>
  <c r="I131" i="26" s="1"/>
  <c r="J27" i="26"/>
  <c r="I27" i="26"/>
  <c r="H27" i="26"/>
  <c r="G27" i="26"/>
  <c r="E27" i="26"/>
  <c r="D27" i="26"/>
  <c r="L26" i="26"/>
  <c r="K26" i="26"/>
  <c r="J26" i="26"/>
  <c r="I26" i="26"/>
  <c r="H26" i="26"/>
  <c r="G26" i="26"/>
  <c r="E26" i="26"/>
  <c r="D26" i="26"/>
  <c r="L25" i="26"/>
  <c r="K25" i="26"/>
  <c r="J25" i="26"/>
  <c r="I25" i="26"/>
  <c r="H25" i="26"/>
  <c r="G25" i="26"/>
  <c r="E25" i="26"/>
  <c r="D25" i="26"/>
  <c r="L24" i="26"/>
  <c r="K24" i="26"/>
  <c r="I94" i="26" s="1"/>
  <c r="I128" i="26" s="1"/>
  <c r="J24" i="26"/>
  <c r="I24" i="26"/>
  <c r="H24" i="26"/>
  <c r="G24" i="26"/>
  <c r="E24" i="26"/>
  <c r="D24" i="26"/>
  <c r="L23" i="26"/>
  <c r="K23" i="26"/>
  <c r="I93" i="26" s="1"/>
  <c r="I127" i="26" s="1"/>
  <c r="J23" i="26"/>
  <c r="I23" i="26"/>
  <c r="H23" i="26"/>
  <c r="G23" i="26"/>
  <c r="E23" i="26"/>
  <c r="D23" i="26"/>
  <c r="L22" i="26"/>
  <c r="K22" i="26"/>
  <c r="J22" i="26"/>
  <c r="I22" i="26"/>
  <c r="H22" i="26"/>
  <c r="G22" i="26"/>
  <c r="E22" i="26"/>
  <c r="D22" i="26"/>
  <c r="L21" i="26"/>
  <c r="K21" i="26"/>
  <c r="J21" i="26"/>
  <c r="I21" i="26"/>
  <c r="H21" i="26"/>
  <c r="G21" i="26"/>
  <c r="E21" i="26"/>
  <c r="D21" i="26"/>
  <c r="L20" i="26"/>
  <c r="K20" i="26"/>
  <c r="I90" i="26" s="1"/>
  <c r="I124" i="26" s="1"/>
  <c r="J20" i="26"/>
  <c r="I20" i="26"/>
  <c r="H20" i="26"/>
  <c r="G20" i="26"/>
  <c r="E20" i="26"/>
  <c r="D20" i="26"/>
  <c r="L19" i="26"/>
  <c r="K19" i="26"/>
  <c r="I89" i="26" s="1"/>
  <c r="I256" i="26" s="1"/>
  <c r="J19" i="26"/>
  <c r="I19" i="26"/>
  <c r="H19" i="26"/>
  <c r="G19" i="26"/>
  <c r="E19" i="26"/>
  <c r="D19" i="26"/>
  <c r="L18" i="26"/>
  <c r="K18" i="26"/>
  <c r="J18" i="26"/>
  <c r="I18" i="26"/>
  <c r="H18" i="26"/>
  <c r="G18" i="26"/>
  <c r="E18" i="26"/>
  <c r="D18" i="26"/>
  <c r="L17" i="26"/>
  <c r="K17" i="26"/>
  <c r="J17" i="26"/>
  <c r="I17" i="26"/>
  <c r="H17" i="26"/>
  <c r="G17" i="26"/>
  <c r="E17" i="26"/>
  <c r="D17" i="26"/>
  <c r="L16" i="26"/>
  <c r="K16" i="26"/>
  <c r="I86" i="26" s="1"/>
  <c r="I120" i="26" s="1"/>
  <c r="J16" i="26"/>
  <c r="I16" i="26"/>
  <c r="H16" i="26"/>
  <c r="G16" i="26"/>
  <c r="E16" i="26"/>
  <c r="D16" i="26"/>
  <c r="L15" i="26"/>
  <c r="K15" i="26"/>
  <c r="I85" i="26" s="1"/>
  <c r="I119" i="26" s="1"/>
  <c r="J15" i="26"/>
  <c r="I15" i="26"/>
  <c r="H15" i="26"/>
  <c r="G15" i="26"/>
  <c r="E15" i="26"/>
  <c r="D15" i="26"/>
  <c r="L14" i="26"/>
  <c r="K14" i="26"/>
  <c r="J14" i="26"/>
  <c r="I14" i="26"/>
  <c r="H14" i="26"/>
  <c r="G14" i="26"/>
  <c r="E14" i="26"/>
  <c r="D14" i="26"/>
  <c r="L13" i="26"/>
  <c r="K13" i="26"/>
  <c r="J13" i="26"/>
  <c r="I13" i="26"/>
  <c r="H13" i="26"/>
  <c r="G13" i="26"/>
  <c r="E13" i="26"/>
  <c r="D13" i="26"/>
  <c r="L12" i="26"/>
  <c r="K12" i="26"/>
  <c r="I82" i="26" s="1"/>
  <c r="I116" i="26" s="1"/>
  <c r="J12" i="26"/>
  <c r="I12" i="26"/>
  <c r="H12" i="26"/>
  <c r="G12" i="26"/>
  <c r="E12" i="26"/>
  <c r="D12" i="26"/>
  <c r="L11" i="26"/>
  <c r="K11" i="26"/>
  <c r="I81" i="26" s="1"/>
  <c r="I115" i="26" s="1"/>
  <c r="J11" i="26"/>
  <c r="I11" i="26"/>
  <c r="H11" i="26"/>
  <c r="G11" i="26"/>
  <c r="E11" i="26"/>
  <c r="D11" i="26"/>
  <c r="L10" i="26"/>
  <c r="K10" i="26"/>
  <c r="J10" i="26"/>
  <c r="I10" i="26"/>
  <c r="H10" i="26"/>
  <c r="G10" i="26"/>
  <c r="E10" i="26"/>
  <c r="D10" i="26"/>
  <c r="L9" i="26"/>
  <c r="K9" i="26"/>
  <c r="J9" i="26"/>
  <c r="I9" i="26"/>
  <c r="H9" i="26"/>
  <c r="G9" i="26"/>
  <c r="E9" i="26"/>
  <c r="D9" i="26"/>
  <c r="L8" i="26"/>
  <c r="K8" i="26"/>
  <c r="I78" i="26" s="1"/>
  <c r="I112" i="26" s="1"/>
  <c r="J8" i="26"/>
  <c r="I8" i="26"/>
  <c r="H8" i="26"/>
  <c r="G8" i="26"/>
  <c r="E8" i="26"/>
  <c r="D8" i="26"/>
  <c r="K1" i="26"/>
  <c r="F241" i="26"/>
  <c r="F105" i="26"/>
  <c r="F104" i="26"/>
  <c r="J103" i="26"/>
  <c r="J270" i="26" s="1"/>
  <c r="I103" i="26"/>
  <c r="I270" i="26" s="1"/>
  <c r="H103" i="26"/>
  <c r="H270" i="26" s="1"/>
  <c r="G103" i="26"/>
  <c r="G270" i="26" s="1"/>
  <c r="F103" i="26"/>
  <c r="F270" i="26" s="1"/>
  <c r="E103" i="26"/>
  <c r="E270" i="26" s="1"/>
  <c r="D103" i="26"/>
  <c r="D137" i="26" s="1"/>
  <c r="J102" i="26"/>
  <c r="J136" i="26" s="1"/>
  <c r="H102" i="26"/>
  <c r="H269" i="26" s="1"/>
  <c r="G102" i="26"/>
  <c r="G269" i="26" s="1"/>
  <c r="E102" i="26"/>
  <c r="D102" i="26"/>
  <c r="D269" i="26" s="1"/>
  <c r="J101" i="26"/>
  <c r="J268" i="26" s="1"/>
  <c r="H101" i="26"/>
  <c r="H268" i="26" s="1"/>
  <c r="G101" i="26"/>
  <c r="G268" i="26" s="1"/>
  <c r="F101" i="26"/>
  <c r="F268" i="26" s="1"/>
  <c r="E101" i="26"/>
  <c r="E135" i="26" s="1"/>
  <c r="D101" i="26"/>
  <c r="D268" i="26" s="1"/>
  <c r="J100" i="26"/>
  <c r="J267" i="26" s="1"/>
  <c r="I100" i="26"/>
  <c r="I134" i="26" s="1"/>
  <c r="H100" i="26"/>
  <c r="H267" i="26" s="1"/>
  <c r="G100" i="26"/>
  <c r="G134" i="26" s="1"/>
  <c r="E100" i="26"/>
  <c r="F100" i="26" s="1"/>
  <c r="F267" i="26" s="1"/>
  <c r="D100" i="26"/>
  <c r="D267" i="26" s="1"/>
  <c r="J99" i="26"/>
  <c r="J266" i="26" s="1"/>
  <c r="I99" i="26"/>
  <c r="I266" i="26" s="1"/>
  <c r="H99" i="26"/>
  <c r="H266" i="26" s="1"/>
  <c r="G99" i="26"/>
  <c r="G266" i="26" s="1"/>
  <c r="F99" i="26"/>
  <c r="E99" i="26"/>
  <c r="E133" i="26" s="1"/>
  <c r="D99" i="26"/>
  <c r="D266" i="26" s="1"/>
  <c r="J98" i="26"/>
  <c r="J265" i="26" s="1"/>
  <c r="H98" i="26"/>
  <c r="H265" i="26" s="1"/>
  <c r="G98" i="26"/>
  <c r="G265" i="26" s="1"/>
  <c r="E98" i="26"/>
  <c r="D98" i="26"/>
  <c r="D132" i="26" s="1"/>
  <c r="J97" i="26"/>
  <c r="J131" i="26" s="1"/>
  <c r="H97" i="26"/>
  <c r="H264" i="26" s="1"/>
  <c r="G97" i="26"/>
  <c r="G264" i="26" s="1"/>
  <c r="F97" i="26"/>
  <c r="E97" i="26"/>
  <c r="E131" i="26" s="1"/>
  <c r="D97" i="26"/>
  <c r="D264" i="26" s="1"/>
  <c r="J96" i="26"/>
  <c r="J263" i="26" s="1"/>
  <c r="I96" i="26"/>
  <c r="I263" i="26" s="1"/>
  <c r="H96" i="26"/>
  <c r="H263" i="26" s="1"/>
  <c r="G96" i="26"/>
  <c r="G263" i="26" s="1"/>
  <c r="E96" i="26"/>
  <c r="F96" i="26" s="1"/>
  <c r="D96" i="26"/>
  <c r="D263" i="26" s="1"/>
  <c r="J95" i="26"/>
  <c r="J129" i="26" s="1"/>
  <c r="I95" i="26"/>
  <c r="I129" i="26" s="1"/>
  <c r="H95" i="26"/>
  <c r="H262" i="26" s="1"/>
  <c r="G95" i="26"/>
  <c r="G262" i="26" s="1"/>
  <c r="F95" i="26"/>
  <c r="E95" i="26"/>
  <c r="E129" i="26" s="1"/>
  <c r="D95" i="26"/>
  <c r="D262" i="26" s="1"/>
  <c r="J94" i="26"/>
  <c r="J128" i="26" s="1"/>
  <c r="H94" i="26"/>
  <c r="H261" i="26" s="1"/>
  <c r="G94" i="26"/>
  <c r="G261" i="26" s="1"/>
  <c r="E94" i="26"/>
  <c r="D94" i="26"/>
  <c r="D261" i="26" s="1"/>
  <c r="J93" i="26"/>
  <c r="J260" i="26" s="1"/>
  <c r="H93" i="26"/>
  <c r="H260" i="26" s="1"/>
  <c r="G93" i="26"/>
  <c r="G260" i="26" s="1"/>
  <c r="F93" i="26"/>
  <c r="E93" i="26"/>
  <c r="E127" i="26" s="1"/>
  <c r="D93" i="26"/>
  <c r="D127" i="26" s="1"/>
  <c r="J92" i="26"/>
  <c r="J259" i="26" s="1"/>
  <c r="I92" i="26"/>
  <c r="I126" i="26" s="1"/>
  <c r="H92" i="26"/>
  <c r="H259" i="26" s="1"/>
  <c r="G92" i="26"/>
  <c r="G259" i="26" s="1"/>
  <c r="E92" i="26"/>
  <c r="D92" i="26"/>
  <c r="D259" i="26" s="1"/>
  <c r="J91" i="26"/>
  <c r="J258" i="26" s="1"/>
  <c r="I91" i="26"/>
  <c r="I125" i="26" s="1"/>
  <c r="H91" i="26"/>
  <c r="H125" i="26" s="1"/>
  <c r="G91" i="26"/>
  <c r="G258" i="26" s="1"/>
  <c r="F91" i="26"/>
  <c r="E91" i="26"/>
  <c r="E125" i="26" s="1"/>
  <c r="D91" i="26"/>
  <c r="D125" i="26" s="1"/>
  <c r="J90" i="26"/>
  <c r="J257" i="26" s="1"/>
  <c r="H90" i="26"/>
  <c r="H124" i="26" s="1"/>
  <c r="G90" i="26"/>
  <c r="G124" i="26" s="1"/>
  <c r="E90" i="26"/>
  <c r="D90" i="26"/>
  <c r="D124" i="26" s="1"/>
  <c r="J89" i="26"/>
  <c r="J123" i="26" s="1"/>
  <c r="H89" i="26"/>
  <c r="H256" i="26" s="1"/>
  <c r="G89" i="26"/>
  <c r="G123" i="26" s="1"/>
  <c r="F89" i="26"/>
  <c r="E89" i="26"/>
  <c r="E123" i="26" s="1"/>
  <c r="D89" i="26"/>
  <c r="D256" i="26" s="1"/>
  <c r="J88" i="26"/>
  <c r="J255" i="26" s="1"/>
  <c r="I88" i="26"/>
  <c r="I122" i="26" s="1"/>
  <c r="H88" i="26"/>
  <c r="H122" i="26" s="1"/>
  <c r="G88" i="26"/>
  <c r="G122" i="26" s="1"/>
  <c r="E88" i="26"/>
  <c r="D88" i="26"/>
  <c r="D255" i="26" s="1"/>
  <c r="J87" i="26"/>
  <c r="J121" i="26" s="1"/>
  <c r="I87" i="26"/>
  <c r="I121" i="26" s="1"/>
  <c r="H87" i="26"/>
  <c r="H121" i="26" s="1"/>
  <c r="G87" i="26"/>
  <c r="G121" i="26" s="1"/>
  <c r="F87" i="26"/>
  <c r="F254" i="26" s="1"/>
  <c r="E87" i="26"/>
  <c r="E254" i="26" s="1"/>
  <c r="D87" i="26"/>
  <c r="D254" i="26" s="1"/>
  <c r="J86" i="26"/>
  <c r="J253" i="26" s="1"/>
  <c r="H86" i="26"/>
  <c r="H120" i="26" s="1"/>
  <c r="G86" i="26"/>
  <c r="G120" i="26" s="1"/>
  <c r="E86" i="26"/>
  <c r="D86" i="26"/>
  <c r="D120" i="26" s="1"/>
  <c r="J85" i="26"/>
  <c r="J119" i="26" s="1"/>
  <c r="H85" i="26"/>
  <c r="H119" i="26" s="1"/>
  <c r="G85" i="26"/>
  <c r="G119" i="26" s="1"/>
  <c r="F85" i="26"/>
  <c r="E85" i="26"/>
  <c r="E119" i="26" s="1"/>
  <c r="D85" i="26"/>
  <c r="D119" i="26" s="1"/>
  <c r="J84" i="26"/>
  <c r="J251" i="26" s="1"/>
  <c r="I84" i="26"/>
  <c r="I118" i="26" s="1"/>
  <c r="H84" i="26"/>
  <c r="H118" i="26" s="1"/>
  <c r="G84" i="26"/>
  <c r="G251" i="26" s="1"/>
  <c r="E84" i="26"/>
  <c r="D84" i="26"/>
  <c r="D118" i="26" s="1"/>
  <c r="J83" i="26"/>
  <c r="J117" i="26" s="1"/>
  <c r="I83" i="26"/>
  <c r="I117" i="26" s="1"/>
  <c r="H83" i="26"/>
  <c r="H117" i="26" s="1"/>
  <c r="G83" i="26"/>
  <c r="G117" i="26" s="1"/>
  <c r="F83" i="26"/>
  <c r="F250" i="26" s="1"/>
  <c r="E83" i="26"/>
  <c r="E250" i="26" s="1"/>
  <c r="D83" i="26"/>
  <c r="D250" i="26" s="1"/>
  <c r="J82" i="26"/>
  <c r="J116" i="26" s="1"/>
  <c r="H82" i="26"/>
  <c r="H116" i="26" s="1"/>
  <c r="G82" i="26"/>
  <c r="G116" i="26" s="1"/>
  <c r="E82" i="26"/>
  <c r="D82" i="26"/>
  <c r="D249" i="26" s="1"/>
  <c r="J81" i="26"/>
  <c r="J115" i="26" s="1"/>
  <c r="H81" i="26"/>
  <c r="H115" i="26" s="1"/>
  <c r="G81" i="26"/>
  <c r="G115" i="26" s="1"/>
  <c r="F81" i="26"/>
  <c r="E81" i="26"/>
  <c r="E115" i="26" s="1"/>
  <c r="D81" i="26"/>
  <c r="D248" i="26" s="1"/>
  <c r="J80" i="26"/>
  <c r="J247" i="26" s="1"/>
  <c r="I80" i="26"/>
  <c r="I247" i="26" s="1"/>
  <c r="H80" i="26"/>
  <c r="H114" i="26" s="1"/>
  <c r="G80" i="26"/>
  <c r="G247" i="26" s="1"/>
  <c r="E80" i="26"/>
  <c r="D80" i="26"/>
  <c r="D247" i="26" s="1"/>
  <c r="J79" i="26"/>
  <c r="J113" i="26" s="1"/>
  <c r="I79" i="26"/>
  <c r="I246" i="26" s="1"/>
  <c r="H79" i="26"/>
  <c r="H246" i="26" s="1"/>
  <c r="G79" i="26"/>
  <c r="G246" i="26" s="1"/>
  <c r="F79" i="26"/>
  <c r="F246" i="26" s="1"/>
  <c r="E79" i="26"/>
  <c r="E246" i="26" s="1"/>
  <c r="D79" i="26"/>
  <c r="D246" i="26" s="1"/>
  <c r="J78" i="26"/>
  <c r="J112" i="26" s="1"/>
  <c r="H78" i="26"/>
  <c r="H245" i="26" s="1"/>
  <c r="G78" i="26"/>
  <c r="G245" i="26" s="1"/>
  <c r="E78" i="26"/>
  <c r="D78" i="26"/>
  <c r="D112" i="26" s="1"/>
  <c r="L36" i="26"/>
  <c r="J36" i="26"/>
  <c r="I36" i="26"/>
  <c r="H36" i="26"/>
  <c r="G36" i="26"/>
  <c r="E36" i="26"/>
  <c r="D36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D38" i="26" l="1"/>
  <c r="K36" i="26"/>
  <c r="I123" i="27"/>
  <c r="I127" i="27"/>
  <c r="I131" i="27"/>
  <c r="I135" i="27"/>
  <c r="I125" i="27"/>
  <c r="I129" i="27"/>
  <c r="I133" i="27"/>
  <c r="I137" i="27"/>
  <c r="H245" i="27"/>
  <c r="H112" i="27"/>
  <c r="J106" i="27"/>
  <c r="J112" i="27"/>
  <c r="E246" i="27"/>
  <c r="F79" i="27"/>
  <c r="D247" i="27"/>
  <c r="D114" i="27"/>
  <c r="D248" i="27"/>
  <c r="D115" i="27"/>
  <c r="E250" i="27"/>
  <c r="F83" i="27"/>
  <c r="F250" i="27" s="1"/>
  <c r="J253" i="27"/>
  <c r="J120" i="27"/>
  <c r="E254" i="27"/>
  <c r="F87" i="27"/>
  <c r="F254" i="27" s="1"/>
  <c r="D256" i="27"/>
  <c r="D123" i="27"/>
  <c r="H256" i="27"/>
  <c r="H123" i="27"/>
  <c r="H260" i="27"/>
  <c r="H127" i="27"/>
  <c r="J260" i="27"/>
  <c r="J127" i="27"/>
  <c r="D264" i="27"/>
  <c r="D131" i="27"/>
  <c r="H264" i="27"/>
  <c r="H131" i="27"/>
  <c r="D268" i="27"/>
  <c r="D135" i="27"/>
  <c r="H268" i="27"/>
  <c r="H135" i="27"/>
  <c r="J268" i="27"/>
  <c r="J135" i="27"/>
  <c r="D106" i="27"/>
  <c r="D112" i="27"/>
  <c r="G245" i="27"/>
  <c r="G106" i="27"/>
  <c r="D113" i="27"/>
  <c r="D246" i="27"/>
  <c r="H246" i="27"/>
  <c r="H113" i="27"/>
  <c r="J247" i="27"/>
  <c r="J114" i="27"/>
  <c r="D249" i="27"/>
  <c r="D116" i="27"/>
  <c r="D250" i="27"/>
  <c r="D117" i="27"/>
  <c r="J251" i="27"/>
  <c r="J118" i="27"/>
  <c r="D254" i="27"/>
  <c r="D121" i="27"/>
  <c r="E255" i="27"/>
  <c r="F88" i="27"/>
  <c r="F255" i="27" s="1"/>
  <c r="J258" i="27"/>
  <c r="J125" i="27"/>
  <c r="E259" i="27"/>
  <c r="F92" i="27"/>
  <c r="F259" i="27" s="1"/>
  <c r="D262" i="27"/>
  <c r="D129" i="27"/>
  <c r="H262" i="27"/>
  <c r="H129" i="27"/>
  <c r="D266" i="27"/>
  <c r="D133" i="27"/>
  <c r="H266" i="27"/>
  <c r="H133" i="27"/>
  <c r="J266" i="27"/>
  <c r="J133" i="27"/>
  <c r="H137" i="27"/>
  <c r="H270" i="27"/>
  <c r="J270" i="27"/>
  <c r="J137" i="27"/>
  <c r="E36" i="27"/>
  <c r="G36" i="27"/>
  <c r="K36" i="27"/>
  <c r="E78" i="27"/>
  <c r="E80" i="27"/>
  <c r="E82" i="27"/>
  <c r="F82" i="27" s="1"/>
  <c r="E84" i="27"/>
  <c r="E86" i="27"/>
  <c r="E90" i="27"/>
  <c r="F90" i="27" s="1"/>
  <c r="E94" i="27"/>
  <c r="E98" i="27"/>
  <c r="E102" i="27"/>
  <c r="F102" i="27" s="1"/>
  <c r="F269" i="27" s="1"/>
  <c r="I113" i="27"/>
  <c r="I115" i="27"/>
  <c r="I117" i="27"/>
  <c r="I119" i="27"/>
  <c r="I121" i="27"/>
  <c r="F18" i="27"/>
  <c r="F36" i="27" s="1"/>
  <c r="H88" i="27"/>
  <c r="H122" i="27" s="1"/>
  <c r="H90" i="27"/>
  <c r="H124" i="27" s="1"/>
  <c r="F22" i="27"/>
  <c r="H92" i="27"/>
  <c r="H94" i="27"/>
  <c r="F26" i="27"/>
  <c r="H96" i="27"/>
  <c r="H98" i="27"/>
  <c r="F30" i="27"/>
  <c r="H100" i="27"/>
  <c r="H102" i="27"/>
  <c r="D36" i="27"/>
  <c r="H36" i="27"/>
  <c r="L36" i="27"/>
  <c r="I112" i="27"/>
  <c r="I114" i="27"/>
  <c r="I116" i="27"/>
  <c r="I118" i="27"/>
  <c r="I120" i="27"/>
  <c r="I122" i="27"/>
  <c r="I124" i="27"/>
  <c r="J124" i="27"/>
  <c r="I126" i="27"/>
  <c r="J126" i="27"/>
  <c r="I128" i="27"/>
  <c r="I130" i="27"/>
  <c r="J130" i="27"/>
  <c r="I132" i="27"/>
  <c r="J132" i="27"/>
  <c r="I134" i="27"/>
  <c r="J134" i="27"/>
  <c r="I136" i="27"/>
  <c r="E112" i="27"/>
  <c r="G112" i="27"/>
  <c r="E113" i="27"/>
  <c r="G113" i="27"/>
  <c r="E114" i="27"/>
  <c r="G114" i="27"/>
  <c r="E115" i="27"/>
  <c r="G115" i="27"/>
  <c r="E116" i="27"/>
  <c r="G116" i="27"/>
  <c r="E117" i="27"/>
  <c r="G117" i="27"/>
  <c r="E118" i="27"/>
  <c r="G118" i="27"/>
  <c r="E119" i="27"/>
  <c r="G119" i="27"/>
  <c r="E120" i="27"/>
  <c r="G120" i="27"/>
  <c r="E121" i="27"/>
  <c r="G121" i="27"/>
  <c r="E122" i="27"/>
  <c r="G122" i="27"/>
  <c r="E123" i="27"/>
  <c r="G123" i="27"/>
  <c r="E124" i="27"/>
  <c r="G124" i="27"/>
  <c r="E125" i="27"/>
  <c r="G125" i="27"/>
  <c r="E126" i="27"/>
  <c r="G126" i="27"/>
  <c r="E127" i="27"/>
  <c r="G127" i="27"/>
  <c r="E128" i="27"/>
  <c r="G128" i="27"/>
  <c r="E129" i="27"/>
  <c r="G129" i="27"/>
  <c r="E130" i="27"/>
  <c r="G130" i="27"/>
  <c r="E131" i="27"/>
  <c r="G131" i="27"/>
  <c r="E132" i="27"/>
  <c r="G132" i="27"/>
  <c r="E133" i="27"/>
  <c r="G133" i="27"/>
  <c r="E134" i="27"/>
  <c r="G134" i="27"/>
  <c r="E135" i="27"/>
  <c r="G135" i="27"/>
  <c r="E136" i="27"/>
  <c r="G136" i="27"/>
  <c r="E137" i="27"/>
  <c r="G137" i="27"/>
  <c r="E247" i="26"/>
  <c r="F80" i="26"/>
  <c r="F247" i="26" s="1"/>
  <c r="F36" i="26"/>
  <c r="F78" i="26"/>
  <c r="F82" i="26"/>
  <c r="E253" i="26"/>
  <c r="F86" i="26"/>
  <c r="F253" i="26" s="1"/>
  <c r="F90" i="26"/>
  <c r="E261" i="26"/>
  <c r="F94" i="26"/>
  <c r="F261" i="26" s="1"/>
  <c r="E265" i="26"/>
  <c r="F98" i="26"/>
  <c r="F265" i="26" s="1"/>
  <c r="F102" i="26"/>
  <c r="F269" i="26" s="1"/>
  <c r="E106" i="26"/>
  <c r="I106" i="26"/>
  <c r="K106" i="26" s="1"/>
  <c r="E112" i="26"/>
  <c r="G114" i="26"/>
  <c r="D115" i="26"/>
  <c r="E116" i="26"/>
  <c r="G118" i="26"/>
  <c r="E120" i="26"/>
  <c r="D123" i="26"/>
  <c r="H123" i="26"/>
  <c r="E124" i="26"/>
  <c r="J125" i="26"/>
  <c r="G126" i="26"/>
  <c r="H127" i="26"/>
  <c r="E128" i="26"/>
  <c r="G130" i="26"/>
  <c r="D131" i="26"/>
  <c r="H131" i="26"/>
  <c r="E132" i="26"/>
  <c r="I132" i="26"/>
  <c r="J133" i="26"/>
  <c r="D135" i="26"/>
  <c r="H135" i="26"/>
  <c r="E136" i="26"/>
  <c r="J137" i="26"/>
  <c r="E251" i="26"/>
  <c r="F84" i="26"/>
  <c r="F251" i="26" s="1"/>
  <c r="E255" i="26"/>
  <c r="F88" i="26"/>
  <c r="F255" i="26" s="1"/>
  <c r="E259" i="26"/>
  <c r="F92" i="26"/>
  <c r="F259" i="26" s="1"/>
  <c r="G106" i="26"/>
  <c r="G112" i="26"/>
  <c r="D113" i="26"/>
  <c r="H113" i="26"/>
  <c r="E114" i="26"/>
  <c r="I114" i="26"/>
  <c r="F115" i="26"/>
  <c r="D117" i="26"/>
  <c r="E118" i="26"/>
  <c r="F119" i="26"/>
  <c r="D121" i="26"/>
  <c r="E122" i="26"/>
  <c r="F123" i="26"/>
  <c r="E126" i="26"/>
  <c r="J127" i="26"/>
  <c r="G128" i="26"/>
  <c r="D129" i="26"/>
  <c r="H129" i="26"/>
  <c r="E130" i="26"/>
  <c r="I130" i="26"/>
  <c r="G132" i="26"/>
  <c r="D133" i="26"/>
  <c r="H133" i="26"/>
  <c r="E134" i="26"/>
  <c r="J135" i="26"/>
  <c r="G136" i="26"/>
  <c r="H137" i="26"/>
  <c r="D106" i="26"/>
  <c r="H106" i="26"/>
  <c r="J106" i="26"/>
  <c r="H112" i="26"/>
  <c r="E113" i="26"/>
  <c r="G113" i="26"/>
  <c r="I113" i="26"/>
  <c r="D114" i="26"/>
  <c r="J114" i="26"/>
  <c r="D116" i="26"/>
  <c r="E117" i="26"/>
  <c r="J118" i="26"/>
  <c r="J120" i="26"/>
  <c r="E121" i="26"/>
  <c r="D122" i="26"/>
  <c r="J122" i="26"/>
  <c r="I123" i="26"/>
  <c r="J124" i="26"/>
  <c r="G125" i="26"/>
  <c r="D126" i="26"/>
  <c r="H126" i="26"/>
  <c r="J126" i="26"/>
  <c r="G127" i="26"/>
  <c r="D128" i="26"/>
  <c r="H128" i="26"/>
  <c r="G129" i="26"/>
  <c r="D130" i="26"/>
  <c r="H130" i="26"/>
  <c r="J130" i="26"/>
  <c r="G131" i="26"/>
  <c r="H132" i="26"/>
  <c r="J132" i="26"/>
  <c r="G133" i="26"/>
  <c r="F133" i="26" s="1"/>
  <c r="I133" i="26"/>
  <c r="D134" i="26"/>
  <c r="H134" i="26"/>
  <c r="J134" i="26"/>
  <c r="G135" i="26"/>
  <c r="I135" i="26"/>
  <c r="D136" i="26"/>
  <c r="H136" i="26"/>
  <c r="E137" i="26"/>
  <c r="G137" i="26"/>
  <c r="I137" i="26"/>
  <c r="F137" i="27" l="1"/>
  <c r="F136" i="27"/>
  <c r="F135" i="27"/>
  <c r="F134" i="27"/>
  <c r="F133" i="27"/>
  <c r="F132" i="27"/>
  <c r="F131" i="27"/>
  <c r="F130" i="27"/>
  <c r="E162" i="27"/>
  <c r="F129" i="27"/>
  <c r="E161" i="27"/>
  <c r="F128" i="27"/>
  <c r="E160" i="27"/>
  <c r="F127" i="27"/>
  <c r="E159" i="27"/>
  <c r="F126" i="27"/>
  <c r="E158" i="27"/>
  <c r="F125" i="27"/>
  <c r="E157" i="27"/>
  <c r="F124" i="27"/>
  <c r="E156" i="27"/>
  <c r="F123" i="27"/>
  <c r="E155" i="27"/>
  <c r="F122" i="27"/>
  <c r="E154" i="27"/>
  <c r="F121" i="27"/>
  <c r="E153" i="27"/>
  <c r="F120" i="27"/>
  <c r="E152" i="27"/>
  <c r="F119" i="27"/>
  <c r="E151" i="27"/>
  <c r="F118" i="27"/>
  <c r="E150" i="27"/>
  <c r="F117" i="27"/>
  <c r="E149" i="27"/>
  <c r="F116" i="27"/>
  <c r="E148" i="27"/>
  <c r="F115" i="27"/>
  <c r="E147" i="27"/>
  <c r="F114" i="27"/>
  <c r="E146" i="27"/>
  <c r="F113" i="27"/>
  <c r="E145" i="27"/>
  <c r="E140" i="27"/>
  <c r="E170" i="27" s="1"/>
  <c r="F112" i="27"/>
  <c r="G163" i="27"/>
  <c r="G161" i="27"/>
  <c r="G159" i="27"/>
  <c r="G157" i="27"/>
  <c r="G155" i="27"/>
  <c r="G153" i="27"/>
  <c r="G151" i="27"/>
  <c r="G149" i="27"/>
  <c r="G147" i="27"/>
  <c r="G145" i="27"/>
  <c r="G140" i="27"/>
  <c r="G170" i="27" s="1"/>
  <c r="J167" i="27"/>
  <c r="J163" i="27"/>
  <c r="I159" i="27"/>
  <c r="I145" i="27"/>
  <c r="I140" i="27"/>
  <c r="H269" i="27"/>
  <c r="H136" i="27"/>
  <c r="H263" i="27"/>
  <c r="H130" i="27"/>
  <c r="H261" i="27"/>
  <c r="H128" i="27"/>
  <c r="I154" i="27"/>
  <c r="I150" i="27"/>
  <c r="I146" i="27"/>
  <c r="E265" i="27"/>
  <c r="F98" i="27"/>
  <c r="F265" i="27" s="1"/>
  <c r="E251" i="27"/>
  <c r="F84" i="27"/>
  <c r="F251" i="27" s="1"/>
  <c r="F80" i="27"/>
  <c r="F247" i="27" s="1"/>
  <c r="E247" i="27"/>
  <c r="D154" i="27"/>
  <c r="D149" i="27"/>
  <c r="D140" i="27"/>
  <c r="D145" i="27"/>
  <c r="D164" i="27"/>
  <c r="D148" i="27"/>
  <c r="D147" i="27"/>
  <c r="J140" i="27"/>
  <c r="J145" i="27"/>
  <c r="I169" i="27"/>
  <c r="I167" i="27"/>
  <c r="I165" i="27"/>
  <c r="I163" i="27"/>
  <c r="J159" i="27"/>
  <c r="J157" i="27"/>
  <c r="I155" i="27"/>
  <c r="I151" i="27"/>
  <c r="I147" i="27"/>
  <c r="D38" i="27"/>
  <c r="H267" i="27"/>
  <c r="H134" i="27"/>
  <c r="H265" i="27"/>
  <c r="H132" i="27"/>
  <c r="H259" i="27"/>
  <c r="H126" i="27"/>
  <c r="I152" i="27"/>
  <c r="I148" i="27"/>
  <c r="E261" i="27"/>
  <c r="F94" i="27"/>
  <c r="F261" i="27" s="1"/>
  <c r="E253" i="27"/>
  <c r="F86" i="27"/>
  <c r="F253" i="27" s="1"/>
  <c r="E106" i="27"/>
  <c r="F78" i="27"/>
  <c r="F106" i="27" s="1"/>
  <c r="J170" i="27"/>
  <c r="D162" i="27"/>
  <c r="J158" i="27"/>
  <c r="J151" i="27"/>
  <c r="D146" i="27"/>
  <c r="D107" i="27"/>
  <c r="J168" i="27"/>
  <c r="D168" i="27"/>
  <c r="J160" i="27"/>
  <c r="D156" i="27"/>
  <c r="J153" i="27"/>
  <c r="H106" i="27"/>
  <c r="G160" i="26"/>
  <c r="F137" i="26"/>
  <c r="G168" i="26"/>
  <c r="G164" i="26"/>
  <c r="G162" i="26"/>
  <c r="F121" i="26"/>
  <c r="H140" i="26"/>
  <c r="H167" i="26" s="1"/>
  <c r="H170" i="26"/>
  <c r="F134" i="26"/>
  <c r="F131" i="26"/>
  <c r="F130" i="26"/>
  <c r="F126" i="26"/>
  <c r="F122" i="26"/>
  <c r="G145" i="26"/>
  <c r="G140" i="26"/>
  <c r="F136" i="26"/>
  <c r="F132" i="26"/>
  <c r="F129" i="26"/>
  <c r="J158" i="26"/>
  <c r="F124" i="26"/>
  <c r="G151" i="26"/>
  <c r="F112" i="26"/>
  <c r="E140" i="26"/>
  <c r="E170" i="26" s="1"/>
  <c r="F106" i="26"/>
  <c r="H169" i="26"/>
  <c r="G166" i="26"/>
  <c r="H161" i="26"/>
  <c r="E150" i="26"/>
  <c r="F117" i="26"/>
  <c r="F113" i="26"/>
  <c r="D107" i="26"/>
  <c r="G169" i="26"/>
  <c r="F135" i="26"/>
  <c r="H166" i="26"/>
  <c r="G165" i="26"/>
  <c r="G161" i="26"/>
  <c r="F127" i="26"/>
  <c r="E151" i="26"/>
  <c r="F118" i="26"/>
  <c r="F114" i="26"/>
  <c r="D140" i="26"/>
  <c r="D167" i="26" s="1"/>
  <c r="H168" i="26"/>
  <c r="G163" i="26"/>
  <c r="F128" i="26"/>
  <c r="G159" i="26"/>
  <c r="F125" i="26"/>
  <c r="E153" i="26"/>
  <c r="F120" i="26"/>
  <c r="E149" i="26"/>
  <c r="F116" i="26"/>
  <c r="G147" i="26"/>
  <c r="J140" i="26"/>
  <c r="I140" i="26"/>
  <c r="BK15" i="17"/>
  <c r="BL15" i="17"/>
  <c r="BM15" i="17"/>
  <c r="BN15" i="17"/>
  <c r="BO15" i="17"/>
  <c r="BP15" i="17"/>
  <c r="BQ15" i="17"/>
  <c r="BT15" i="17"/>
  <c r="BK16" i="17"/>
  <c r="BL16" i="17"/>
  <c r="BM16" i="17"/>
  <c r="BN16" i="17"/>
  <c r="BO16" i="17"/>
  <c r="BP16" i="17"/>
  <c r="BQ16" i="17"/>
  <c r="BT16" i="17"/>
  <c r="BK17" i="17"/>
  <c r="BL17" i="17"/>
  <c r="BM17" i="17"/>
  <c r="BN17" i="17"/>
  <c r="BO17" i="17"/>
  <c r="BP17" i="17"/>
  <c r="BQ17" i="17"/>
  <c r="BT17" i="17"/>
  <c r="BK18" i="17"/>
  <c r="BL18" i="17"/>
  <c r="BM18" i="17"/>
  <c r="BN18" i="17"/>
  <c r="BO18" i="17"/>
  <c r="BP18" i="17"/>
  <c r="BQ18" i="17"/>
  <c r="BT18" i="17"/>
  <c r="BK19" i="17"/>
  <c r="BL19" i="17"/>
  <c r="BM19" i="17"/>
  <c r="BN19" i="17"/>
  <c r="BO19" i="17"/>
  <c r="BP19" i="17"/>
  <c r="BQ19" i="17"/>
  <c r="BT19" i="17"/>
  <c r="BK20" i="17"/>
  <c r="BL20" i="17"/>
  <c r="BM20" i="17"/>
  <c r="BN20" i="17"/>
  <c r="BO20" i="17"/>
  <c r="BP20" i="17"/>
  <c r="BQ20" i="17"/>
  <c r="BT20" i="17"/>
  <c r="BK21" i="17"/>
  <c r="BL21" i="17"/>
  <c r="BM21" i="17"/>
  <c r="BN21" i="17"/>
  <c r="BO21" i="17"/>
  <c r="BP21" i="17"/>
  <c r="BQ21" i="17"/>
  <c r="BT21" i="17"/>
  <c r="BK22" i="17"/>
  <c r="BL22" i="17"/>
  <c r="BM22" i="17"/>
  <c r="BN22" i="17"/>
  <c r="BO22" i="17"/>
  <c r="BP22" i="17"/>
  <c r="BQ22" i="17"/>
  <c r="BT22" i="17"/>
  <c r="BK23" i="17"/>
  <c r="BL23" i="17"/>
  <c r="BM23" i="17"/>
  <c r="BN23" i="17"/>
  <c r="BO23" i="17"/>
  <c r="BP23" i="17"/>
  <c r="BQ23" i="17"/>
  <c r="BT23" i="17"/>
  <c r="BK24" i="17"/>
  <c r="BL24" i="17"/>
  <c r="BM24" i="17"/>
  <c r="BN24" i="17"/>
  <c r="BO24" i="17"/>
  <c r="BP24" i="17"/>
  <c r="BQ24" i="17"/>
  <c r="BT24" i="17"/>
  <c r="BK25" i="17"/>
  <c r="BL25" i="17"/>
  <c r="BM25" i="17"/>
  <c r="BN25" i="17"/>
  <c r="BO25" i="17"/>
  <c r="BP25" i="17"/>
  <c r="BQ25" i="17"/>
  <c r="BT25" i="17"/>
  <c r="BK26" i="17"/>
  <c r="BL26" i="17"/>
  <c r="BM26" i="17"/>
  <c r="BN26" i="17"/>
  <c r="BO26" i="17"/>
  <c r="BP26" i="17"/>
  <c r="BQ26" i="17"/>
  <c r="BT26" i="17"/>
  <c r="BK27" i="17"/>
  <c r="BL27" i="17"/>
  <c r="BM27" i="17"/>
  <c r="BN27" i="17"/>
  <c r="BO27" i="17"/>
  <c r="BP27" i="17"/>
  <c r="BQ27" i="17"/>
  <c r="BT27" i="17"/>
  <c r="BK28" i="17"/>
  <c r="BL28" i="17"/>
  <c r="BM28" i="17"/>
  <c r="BN28" i="17"/>
  <c r="BO28" i="17"/>
  <c r="BP28" i="17"/>
  <c r="BQ28" i="17"/>
  <c r="BT28" i="17"/>
  <c r="BK29" i="17"/>
  <c r="BL29" i="17"/>
  <c r="BM29" i="17"/>
  <c r="BN29" i="17"/>
  <c r="BO29" i="17"/>
  <c r="BP29" i="17"/>
  <c r="BQ29" i="17"/>
  <c r="BT29" i="17"/>
  <c r="BK30" i="17"/>
  <c r="BL30" i="17"/>
  <c r="BM30" i="17"/>
  <c r="BN30" i="17"/>
  <c r="BO30" i="17"/>
  <c r="BP30" i="17"/>
  <c r="BQ30" i="17"/>
  <c r="BT30" i="17"/>
  <c r="BK31" i="17"/>
  <c r="BL31" i="17"/>
  <c r="BM31" i="17"/>
  <c r="BN31" i="17"/>
  <c r="BO31" i="17"/>
  <c r="BP31" i="17"/>
  <c r="BQ31" i="17"/>
  <c r="BT31" i="17"/>
  <c r="BK32" i="17"/>
  <c r="BL32" i="17"/>
  <c r="BM32" i="17"/>
  <c r="BN32" i="17"/>
  <c r="BO32" i="17"/>
  <c r="BP32" i="17"/>
  <c r="BQ32" i="17"/>
  <c r="BT32" i="17"/>
  <c r="BK33" i="17"/>
  <c r="BL33" i="17"/>
  <c r="BM33" i="17"/>
  <c r="BN33" i="17"/>
  <c r="BO33" i="17"/>
  <c r="BP33" i="17"/>
  <c r="BQ33" i="17"/>
  <c r="BT33" i="17"/>
  <c r="BK34" i="17"/>
  <c r="BL34" i="17"/>
  <c r="BM34" i="17"/>
  <c r="BN34" i="17"/>
  <c r="BO34" i="17"/>
  <c r="BP34" i="17"/>
  <c r="BQ34" i="17"/>
  <c r="BT34" i="17"/>
  <c r="BK35" i="17"/>
  <c r="BL35" i="17"/>
  <c r="BM35" i="17"/>
  <c r="BN35" i="17"/>
  <c r="BO35" i="17"/>
  <c r="BP35" i="17"/>
  <c r="BQ35" i="17"/>
  <c r="BT35" i="17"/>
  <c r="BK36" i="17"/>
  <c r="BL36" i="17"/>
  <c r="BM36" i="17"/>
  <c r="BN36" i="17"/>
  <c r="BO36" i="17"/>
  <c r="BP36" i="17"/>
  <c r="BQ36" i="17"/>
  <c r="BT36" i="17"/>
  <c r="BK37" i="17"/>
  <c r="BL37" i="17"/>
  <c r="BM37" i="17"/>
  <c r="BN37" i="17"/>
  <c r="BO37" i="17"/>
  <c r="BP37" i="17"/>
  <c r="BQ37" i="17"/>
  <c r="BT37" i="17"/>
  <c r="BK38" i="17"/>
  <c r="BL38" i="17"/>
  <c r="BM38" i="17"/>
  <c r="BN38" i="17"/>
  <c r="BO38" i="17"/>
  <c r="BP38" i="17"/>
  <c r="BQ38" i="17"/>
  <c r="BT38" i="17"/>
  <c r="BK39" i="17"/>
  <c r="BL39" i="17"/>
  <c r="BM39" i="17"/>
  <c r="BN39" i="17"/>
  <c r="BO39" i="17"/>
  <c r="BP39" i="17"/>
  <c r="BQ39" i="17"/>
  <c r="BT39" i="17"/>
  <c r="BT14" i="17"/>
  <c r="BL14" i="17"/>
  <c r="BM14" i="17"/>
  <c r="BN14" i="17"/>
  <c r="BO14" i="17"/>
  <c r="BP14" i="17"/>
  <c r="BQ14" i="17"/>
  <c r="BK14" i="17"/>
  <c r="AX20" i="17"/>
  <c r="AY20" i="17"/>
  <c r="AX21" i="17"/>
  <c r="AY21" i="17"/>
  <c r="AX22" i="17"/>
  <c r="AY22" i="17"/>
  <c r="AX23" i="17"/>
  <c r="AY23" i="17"/>
  <c r="AX24" i="17"/>
  <c r="AY24" i="17"/>
  <c r="AX25" i="17"/>
  <c r="AY25" i="17"/>
  <c r="AX26" i="17"/>
  <c r="AY26" i="17"/>
  <c r="AX27" i="17"/>
  <c r="AY27" i="17"/>
  <c r="AX28" i="17"/>
  <c r="AY28" i="17"/>
  <c r="AX29" i="17"/>
  <c r="AY29" i="17"/>
  <c r="AX30" i="17"/>
  <c r="AY30" i="17"/>
  <c r="AX31" i="17"/>
  <c r="AY31" i="17"/>
  <c r="AX32" i="17"/>
  <c r="AY32" i="17"/>
  <c r="AX33" i="17"/>
  <c r="AY33" i="17"/>
  <c r="AX34" i="17"/>
  <c r="AY34" i="17"/>
  <c r="AX35" i="17"/>
  <c r="AY35" i="17"/>
  <c r="AX36" i="17"/>
  <c r="AY36" i="17"/>
  <c r="AX37" i="17"/>
  <c r="AY37" i="17"/>
  <c r="AX38" i="17"/>
  <c r="AY38" i="17"/>
  <c r="AX39" i="17"/>
  <c r="AY39" i="17"/>
  <c r="AX14" i="17"/>
  <c r="AY14" i="17"/>
  <c r="AX15" i="17"/>
  <c r="AY15" i="17"/>
  <c r="AX16" i="17"/>
  <c r="AY16" i="17"/>
  <c r="AX17" i="17"/>
  <c r="AY17" i="17"/>
  <c r="AX18" i="17"/>
  <c r="AY18" i="17"/>
  <c r="AY19" i="17"/>
  <c r="AX19" i="17"/>
  <c r="AK15" i="17"/>
  <c r="AK16" i="17"/>
  <c r="AK17" i="17"/>
  <c r="AK18" i="17"/>
  <c r="AK19" i="17"/>
  <c r="AK20" i="17"/>
  <c r="AK21" i="17"/>
  <c r="AK22" i="17"/>
  <c r="AK23" i="17"/>
  <c r="AK24" i="17"/>
  <c r="AK28" i="17"/>
  <c r="AK29" i="17"/>
  <c r="AK30" i="17"/>
  <c r="AK31" i="17"/>
  <c r="AK32" i="17"/>
  <c r="AK33" i="17"/>
  <c r="AK34" i="17"/>
  <c r="AK35" i="17"/>
  <c r="AK38" i="17"/>
  <c r="AK39" i="17"/>
  <c r="AK14" i="17"/>
  <c r="I141" i="27" l="1"/>
  <c r="K140" i="27"/>
  <c r="I153" i="27"/>
  <c r="I172" i="27" s="1"/>
  <c r="H159" i="27"/>
  <c r="H167" i="27"/>
  <c r="H140" i="27"/>
  <c r="J164" i="27"/>
  <c r="J146" i="27"/>
  <c r="J155" i="27"/>
  <c r="J148" i="27"/>
  <c r="J149" i="27"/>
  <c r="J152" i="27"/>
  <c r="J156" i="27"/>
  <c r="J161" i="27"/>
  <c r="J169" i="27"/>
  <c r="J150" i="27"/>
  <c r="J154" i="27"/>
  <c r="J162" i="27"/>
  <c r="D151" i="27"/>
  <c r="D160" i="27"/>
  <c r="D170" i="27"/>
  <c r="D152" i="27"/>
  <c r="D157" i="27"/>
  <c r="D161" i="27"/>
  <c r="D165" i="27"/>
  <c r="D169" i="27"/>
  <c r="D153" i="27"/>
  <c r="D158" i="27"/>
  <c r="D155" i="27"/>
  <c r="D159" i="27"/>
  <c r="D163" i="27"/>
  <c r="D167" i="27"/>
  <c r="J147" i="27"/>
  <c r="D150" i="27"/>
  <c r="D166" i="27"/>
  <c r="J166" i="27"/>
  <c r="H161" i="27"/>
  <c r="H163" i="27"/>
  <c r="H169" i="27"/>
  <c r="I156" i="27"/>
  <c r="I160" i="27"/>
  <c r="I164" i="27"/>
  <c r="I168" i="27"/>
  <c r="I158" i="27"/>
  <c r="I162" i="27"/>
  <c r="I166" i="27"/>
  <c r="I170" i="27"/>
  <c r="I149" i="27"/>
  <c r="I157" i="27"/>
  <c r="I161" i="27"/>
  <c r="J165" i="27"/>
  <c r="G146" i="27"/>
  <c r="G148" i="27"/>
  <c r="G150" i="27"/>
  <c r="G152" i="27"/>
  <c r="G154" i="27"/>
  <c r="G156" i="27"/>
  <c r="G158" i="27"/>
  <c r="G160" i="27"/>
  <c r="G162" i="27"/>
  <c r="G164" i="27"/>
  <c r="F153" i="27"/>
  <c r="F155" i="27"/>
  <c r="F157" i="27"/>
  <c r="F159" i="27"/>
  <c r="F161" i="27"/>
  <c r="F163" i="27"/>
  <c r="F165" i="27"/>
  <c r="F167" i="27"/>
  <c r="F169" i="27"/>
  <c r="G165" i="27"/>
  <c r="G167" i="27"/>
  <c r="G169" i="27"/>
  <c r="J172" i="27"/>
  <c r="D172" i="27"/>
  <c r="F140" i="27"/>
  <c r="F147" i="27" s="1"/>
  <c r="F145" i="27"/>
  <c r="E163" i="27"/>
  <c r="E164" i="27"/>
  <c r="E165" i="27"/>
  <c r="E166" i="27"/>
  <c r="E167" i="27"/>
  <c r="E168" i="27"/>
  <c r="E169" i="27"/>
  <c r="G166" i="27"/>
  <c r="G168" i="27"/>
  <c r="J154" i="26"/>
  <c r="J152" i="26"/>
  <c r="J156" i="26"/>
  <c r="J161" i="26"/>
  <c r="J169" i="26"/>
  <c r="J150" i="26"/>
  <c r="J145" i="26"/>
  <c r="J146" i="26"/>
  <c r="J148" i="26"/>
  <c r="J149" i="26"/>
  <c r="J164" i="26"/>
  <c r="J162" i="26"/>
  <c r="H156" i="26"/>
  <c r="E161" i="26"/>
  <c r="H164" i="26"/>
  <c r="J166" i="26"/>
  <c r="J170" i="26"/>
  <c r="D146" i="26"/>
  <c r="E147" i="26"/>
  <c r="D154" i="26"/>
  <c r="H162" i="26"/>
  <c r="E146" i="26"/>
  <c r="J153" i="26"/>
  <c r="H159" i="26"/>
  <c r="J163" i="26"/>
  <c r="J167" i="26"/>
  <c r="F140" i="26"/>
  <c r="F153" i="26" s="1"/>
  <c r="D148" i="26"/>
  <c r="D156" i="26"/>
  <c r="E157" i="26"/>
  <c r="H160" i="26"/>
  <c r="D164" i="26"/>
  <c r="E165" i="26"/>
  <c r="F169" i="26"/>
  <c r="G149" i="26"/>
  <c r="G150" i="26"/>
  <c r="G154" i="26"/>
  <c r="G155" i="26"/>
  <c r="G167" i="26"/>
  <c r="G148" i="26"/>
  <c r="G156" i="26"/>
  <c r="G152" i="26"/>
  <c r="G153" i="26"/>
  <c r="G157" i="26"/>
  <c r="H146" i="26"/>
  <c r="D150" i="26"/>
  <c r="F159" i="26"/>
  <c r="J160" i="26"/>
  <c r="F163" i="26"/>
  <c r="F167" i="26"/>
  <c r="J168" i="26"/>
  <c r="H145" i="26"/>
  <c r="G146" i="26"/>
  <c r="D149" i="26"/>
  <c r="J155" i="26"/>
  <c r="D159" i="26"/>
  <c r="D161" i="26"/>
  <c r="H163" i="26"/>
  <c r="J165" i="26"/>
  <c r="D169" i="26"/>
  <c r="J147" i="26"/>
  <c r="G158" i="26"/>
  <c r="D163" i="26"/>
  <c r="G170" i="26"/>
  <c r="I159" i="26"/>
  <c r="I162" i="26"/>
  <c r="I152" i="26"/>
  <c r="I161" i="26"/>
  <c r="I148" i="26"/>
  <c r="I153" i="26"/>
  <c r="I157" i="26"/>
  <c r="I150" i="26"/>
  <c r="I151" i="26"/>
  <c r="I154" i="26"/>
  <c r="I155" i="26"/>
  <c r="I158" i="26"/>
  <c r="I167" i="26"/>
  <c r="I145" i="26"/>
  <c r="I149" i="26"/>
  <c r="I160" i="26"/>
  <c r="I164" i="26"/>
  <c r="I169" i="26"/>
  <c r="F158" i="26"/>
  <c r="F161" i="26"/>
  <c r="I165" i="26"/>
  <c r="D145" i="26"/>
  <c r="D153" i="26"/>
  <c r="D157" i="26"/>
  <c r="D151" i="26"/>
  <c r="D152" i="26"/>
  <c r="D158" i="26"/>
  <c r="D170" i="26"/>
  <c r="D160" i="26"/>
  <c r="D165" i="26"/>
  <c r="F147" i="26"/>
  <c r="I163" i="26"/>
  <c r="F146" i="26"/>
  <c r="I146" i="26"/>
  <c r="I156" i="26"/>
  <c r="E148" i="26"/>
  <c r="E158" i="26"/>
  <c r="E160" i="26"/>
  <c r="E164" i="26"/>
  <c r="E168" i="26"/>
  <c r="E156" i="26"/>
  <c r="E162" i="26"/>
  <c r="E152" i="26"/>
  <c r="E166" i="26"/>
  <c r="E145" i="26"/>
  <c r="F157" i="26"/>
  <c r="F162" i="26"/>
  <c r="F165" i="26"/>
  <c r="D168" i="26"/>
  <c r="E169" i="26"/>
  <c r="G172" i="26"/>
  <c r="I147" i="26"/>
  <c r="E155" i="26"/>
  <c r="E159" i="26"/>
  <c r="D162" i="26"/>
  <c r="E163" i="26"/>
  <c r="D166" i="26"/>
  <c r="E167" i="26"/>
  <c r="H151" i="26"/>
  <c r="H148" i="26"/>
  <c r="H149" i="26"/>
  <c r="H154" i="26"/>
  <c r="H150" i="26"/>
  <c r="H152" i="26"/>
  <c r="H153" i="26"/>
  <c r="H157" i="26"/>
  <c r="H147" i="26"/>
  <c r="H155" i="26"/>
  <c r="H158" i="26"/>
  <c r="D147" i="26"/>
  <c r="J151" i="26"/>
  <c r="E154" i="26"/>
  <c r="J157" i="26"/>
  <c r="J159" i="26"/>
  <c r="I166" i="26"/>
  <c r="F170" i="26"/>
  <c r="I170" i="26"/>
  <c r="D155" i="26"/>
  <c r="H165" i="26"/>
  <c r="I168" i="26"/>
  <c r="AA19" i="19"/>
  <c r="AA18" i="19"/>
  <c r="AB19" i="19"/>
  <c r="AB18" i="19"/>
  <c r="M3" i="19"/>
  <c r="M2" i="19"/>
  <c r="M1" i="19"/>
  <c r="E16" i="19"/>
  <c r="E30" i="19"/>
  <c r="F141" i="27" l="1"/>
  <c r="E141" i="27"/>
  <c r="G141" i="27"/>
  <c r="D141" i="27"/>
  <c r="K141" i="27"/>
  <c r="H141" i="27"/>
  <c r="J141" i="27"/>
  <c r="E172" i="27"/>
  <c r="G172" i="27"/>
  <c r="F170" i="27"/>
  <c r="F168" i="27"/>
  <c r="F166" i="27"/>
  <c r="F164" i="27"/>
  <c r="F162" i="27"/>
  <c r="F160" i="27"/>
  <c r="F158" i="27"/>
  <c r="F156" i="27"/>
  <c r="F154" i="27"/>
  <c r="F152" i="27"/>
  <c r="F150" i="27"/>
  <c r="F148" i="27"/>
  <c r="F146" i="27"/>
  <c r="H148" i="27"/>
  <c r="H149" i="27"/>
  <c r="H152" i="27"/>
  <c r="H153" i="27"/>
  <c r="H150" i="27"/>
  <c r="H151" i="27"/>
  <c r="H154" i="27"/>
  <c r="H158" i="27"/>
  <c r="H147" i="27"/>
  <c r="H155" i="27"/>
  <c r="H170" i="27"/>
  <c r="H166" i="27"/>
  <c r="H146" i="27"/>
  <c r="H145" i="27"/>
  <c r="H157" i="27"/>
  <c r="H162" i="27"/>
  <c r="H168" i="27"/>
  <c r="H156" i="27"/>
  <c r="H164" i="27"/>
  <c r="H160" i="27"/>
  <c r="H165" i="27"/>
  <c r="F151" i="27"/>
  <c r="F149" i="27"/>
  <c r="E172" i="26"/>
  <c r="D172" i="26"/>
  <c r="I172" i="26"/>
  <c r="F154" i="26"/>
  <c r="F164" i="26"/>
  <c r="F155" i="26"/>
  <c r="F145" i="26"/>
  <c r="F150" i="26"/>
  <c r="F168" i="26"/>
  <c r="F160" i="26"/>
  <c r="F151" i="26"/>
  <c r="H172" i="26"/>
  <c r="F166" i="26"/>
  <c r="F152" i="26"/>
  <c r="F156" i="26"/>
  <c r="F148" i="26"/>
  <c r="F149" i="26"/>
  <c r="J172" i="26"/>
  <c r="J35" i="25"/>
  <c r="D35" i="25"/>
  <c r="J34" i="25"/>
  <c r="D34" i="25"/>
  <c r="J33" i="25"/>
  <c r="D33" i="25"/>
  <c r="J32" i="25"/>
  <c r="D32" i="25"/>
  <c r="I31" i="25"/>
  <c r="J31" i="25" s="1"/>
  <c r="D31" i="25"/>
  <c r="F31" i="25" s="1"/>
  <c r="J30" i="25"/>
  <c r="D30" i="25"/>
  <c r="N29" i="25"/>
  <c r="J29" i="25"/>
  <c r="D29" i="25"/>
  <c r="I28" i="25"/>
  <c r="J28" i="25" s="1"/>
  <c r="D28" i="25"/>
  <c r="I27" i="25"/>
  <c r="J27" i="25" s="1"/>
  <c r="D27" i="25"/>
  <c r="F27" i="25" s="1"/>
  <c r="J26" i="25"/>
  <c r="I26" i="25"/>
  <c r="D26" i="25"/>
  <c r="I25" i="25"/>
  <c r="J25" i="25" s="1"/>
  <c r="D25" i="25"/>
  <c r="F25" i="25" s="1"/>
  <c r="J24" i="25"/>
  <c r="D24" i="25"/>
  <c r="J23" i="25"/>
  <c r="D23" i="25"/>
  <c r="J22" i="25"/>
  <c r="D22" i="25"/>
  <c r="J21" i="25"/>
  <c r="D21" i="25"/>
  <c r="J20" i="25"/>
  <c r="D20" i="25"/>
  <c r="W19" i="25"/>
  <c r="X19" i="25" s="1"/>
  <c r="J19" i="25"/>
  <c r="E19" i="25"/>
  <c r="E20" i="25" s="1"/>
  <c r="D19" i="25"/>
  <c r="F19" i="25" s="1"/>
  <c r="Y18" i="25"/>
  <c r="X18" i="25"/>
  <c r="W18" i="25"/>
  <c r="K18" i="25"/>
  <c r="J18" i="25"/>
  <c r="D18" i="25"/>
  <c r="F18" i="25" s="1"/>
  <c r="Z18" i="25" s="1"/>
  <c r="J17" i="25"/>
  <c r="I17" i="25"/>
  <c r="D17" i="25"/>
  <c r="J16" i="25"/>
  <c r="D16" i="25"/>
  <c r="N15" i="25"/>
  <c r="J15" i="25"/>
  <c r="D15" i="25"/>
  <c r="N14" i="25"/>
  <c r="J14" i="25"/>
  <c r="D14" i="25"/>
  <c r="I13" i="25"/>
  <c r="J13" i="25" s="1"/>
  <c r="D13" i="25"/>
  <c r="F13" i="25" s="1"/>
  <c r="J12" i="25"/>
  <c r="I12" i="25"/>
  <c r="D12" i="25"/>
  <c r="I11" i="25"/>
  <c r="W11" i="25" s="1"/>
  <c r="X11" i="25" s="1"/>
  <c r="D11" i="25"/>
  <c r="F30" i="25" s="1"/>
  <c r="W10" i="25"/>
  <c r="X10" i="25" s="1"/>
  <c r="J10" i="25"/>
  <c r="I10" i="25"/>
  <c r="F10" i="25"/>
  <c r="Z10" i="25" s="1"/>
  <c r="D10" i="25"/>
  <c r="K3" i="25"/>
  <c r="K2" i="25"/>
  <c r="K1" i="25"/>
  <c r="AB11" i="19"/>
  <c r="AB10" i="19"/>
  <c r="Z18" i="19"/>
  <c r="Y19" i="19"/>
  <c r="Y18" i="19"/>
  <c r="Y11" i="19"/>
  <c r="Y10" i="19"/>
  <c r="AA11" i="19"/>
  <c r="AA10" i="19"/>
  <c r="X19" i="19"/>
  <c r="X18" i="19"/>
  <c r="X11" i="19"/>
  <c r="X10" i="19"/>
  <c r="F172" i="27" l="1"/>
  <c r="H172" i="27"/>
  <c r="F172" i="26"/>
  <c r="K20" i="25"/>
  <c r="F20" i="25"/>
  <c r="E21" i="25"/>
  <c r="I6" i="25" s="1"/>
  <c r="F12" i="25"/>
  <c r="F16" i="25"/>
  <c r="F17" i="25"/>
  <c r="K19" i="25"/>
  <c r="Y19" i="25"/>
  <c r="Z19" i="25" s="1"/>
  <c r="F11" i="25"/>
  <c r="Z11" i="25" s="1"/>
  <c r="J11" i="25"/>
  <c r="O17" i="25" s="1"/>
  <c r="F26" i="25"/>
  <c r="F28" i="25"/>
  <c r="C3" i="23"/>
  <c r="C2" i="23"/>
  <c r="C1" i="23"/>
  <c r="F19" i="19"/>
  <c r="L18" i="19"/>
  <c r="J12" i="19"/>
  <c r="CC43" i="17"/>
  <c r="CD43" i="17"/>
  <c r="P4" i="15"/>
  <c r="Z37" i="25" l="1"/>
  <c r="Z42" i="25" s="1"/>
  <c r="AB19" i="25" s="1"/>
  <c r="F20" i="19"/>
  <c r="L20" i="19" s="1"/>
  <c r="Z19" i="19"/>
  <c r="AB11" i="25"/>
  <c r="AB10" i="25"/>
  <c r="L17" i="25"/>
  <c r="N17" i="25" s="1"/>
  <c r="L12" i="25"/>
  <c r="N12" i="25" s="1"/>
  <c r="L26" i="25"/>
  <c r="N26" i="25" s="1"/>
  <c r="L19" i="25"/>
  <c r="AA19" i="25" s="1"/>
  <c r="O31" i="25"/>
  <c r="K21" i="25"/>
  <c r="F21" i="25"/>
  <c r="E22" i="25"/>
  <c r="L20" i="25"/>
  <c r="N20" i="25" s="1"/>
  <c r="O15" i="25"/>
  <c r="L28" i="25"/>
  <c r="N28" i="25" s="1"/>
  <c r="L27" i="25"/>
  <c r="N27" i="25" s="1"/>
  <c r="O26" i="25"/>
  <c r="L13" i="25"/>
  <c r="N13" i="25" s="1"/>
  <c r="O12" i="25"/>
  <c r="O25" i="25"/>
  <c r="L30" i="25"/>
  <c r="N30" i="25" s="1"/>
  <c r="O16" i="25"/>
  <c r="L16" i="25"/>
  <c r="N16" i="25" s="1"/>
  <c r="O11" i="25"/>
  <c r="L11" i="25"/>
  <c r="L10" i="25"/>
  <c r="L18" i="25"/>
  <c r="AA18" i="25" s="1"/>
  <c r="L31" i="25"/>
  <c r="N31" i="25" s="1"/>
  <c r="O20" i="25"/>
  <c r="O18" i="25"/>
  <c r="O28" i="25"/>
  <c r="O27" i="25"/>
  <c r="O19" i="25"/>
  <c r="O14" i="25"/>
  <c r="O13" i="25"/>
  <c r="O10" i="25"/>
  <c r="L25" i="25"/>
  <c r="N25" i="25" s="1"/>
  <c r="L19" i="19"/>
  <c r="F21" i="19"/>
  <c r="B3" i="22"/>
  <c r="B2" i="22"/>
  <c r="B1" i="22"/>
  <c r="CC3" i="17"/>
  <c r="CC2" i="17"/>
  <c r="CC1" i="17"/>
  <c r="BR3" i="17"/>
  <c r="BR2" i="17"/>
  <c r="BR1" i="17"/>
  <c r="AM2" i="21"/>
  <c r="AM3" i="21"/>
  <c r="E17" i="21"/>
  <c r="E19" i="21"/>
  <c r="E20" i="21"/>
  <c r="E21" i="21"/>
  <c r="E23" i="21"/>
  <c r="E31" i="21"/>
  <c r="E32" i="21"/>
  <c r="E33" i="21"/>
  <c r="E34" i="21"/>
  <c r="E35" i="21"/>
  <c r="E37" i="21"/>
  <c r="E16" i="21"/>
  <c r="F37" i="21"/>
  <c r="F34" i="21"/>
  <c r="F33" i="21"/>
  <c r="F32" i="21"/>
  <c r="F31" i="21"/>
  <c r="F23" i="21"/>
  <c r="F17" i="21"/>
  <c r="F18" i="21"/>
  <c r="F19" i="21"/>
  <c r="F16" i="21"/>
  <c r="P31" i="19"/>
  <c r="P28" i="19"/>
  <c r="P27" i="19"/>
  <c r="P26" i="19"/>
  <c r="P25" i="19"/>
  <c r="P19" i="19"/>
  <c r="P20" i="19"/>
  <c r="P18" i="19"/>
  <c r="P17" i="19"/>
  <c r="P11" i="19"/>
  <c r="P13" i="19"/>
  <c r="G13" i="19"/>
  <c r="G12" i="19"/>
  <c r="G11" i="19"/>
  <c r="G10" i="19"/>
  <c r="G31" i="19"/>
  <c r="G28" i="19"/>
  <c r="G27" i="19"/>
  <c r="G26" i="19"/>
  <c r="G25" i="19"/>
  <c r="G21" i="19"/>
  <c r="G20" i="19"/>
  <c r="G19" i="19"/>
  <c r="G18" i="19"/>
  <c r="G17" i="19"/>
  <c r="J5" i="15"/>
  <c r="K5" i="15" s="1"/>
  <c r="K4" i="15"/>
  <c r="J3" i="15"/>
  <c r="K3" i="15" s="1"/>
  <c r="P14" i="19"/>
  <c r="P15" i="19"/>
  <c r="P10" i="19"/>
  <c r="AB18" i="25" l="1"/>
  <c r="AA37" i="19"/>
  <c r="AA42" i="19" s="1"/>
  <c r="AB37" i="25"/>
  <c r="N10" i="25"/>
  <c r="AA10" i="25"/>
  <c r="K22" i="25"/>
  <c r="F22" i="25"/>
  <c r="E23" i="25"/>
  <c r="L21" i="25"/>
  <c r="N21" i="25" s="1"/>
  <c r="O21" i="25"/>
  <c r="N19" i="25"/>
  <c r="N18" i="25"/>
  <c r="N11" i="25"/>
  <c r="AA11" i="25"/>
  <c r="F22" i="19"/>
  <c r="L21" i="19"/>
  <c r="P21" i="19" s="1"/>
  <c r="D14" i="17"/>
  <c r="E14" i="17"/>
  <c r="F14" i="17"/>
  <c r="G14" i="17"/>
  <c r="H14" i="17"/>
  <c r="I14" i="17"/>
  <c r="J14" i="17"/>
  <c r="D14" i="28" s="1"/>
  <c r="M14" i="17"/>
  <c r="O14" i="17"/>
  <c r="Z14" i="17" s="1"/>
  <c r="AZ14" i="17" s="1"/>
  <c r="BV14" i="17" s="1"/>
  <c r="P14" i="17"/>
  <c r="AA14" i="17" s="1"/>
  <c r="BA14" i="17" s="1"/>
  <c r="BW14" i="17" s="1"/>
  <c r="Q14" i="17"/>
  <c r="AB14" i="17" s="1"/>
  <c r="BB14" i="17" s="1"/>
  <c r="BX14" i="17" s="1"/>
  <c r="R14" i="17"/>
  <c r="S14" i="17"/>
  <c r="AD14" i="17" s="1"/>
  <c r="BD14" i="17" s="1"/>
  <c r="BZ14" i="17" s="1"/>
  <c r="T14" i="17"/>
  <c r="AE14" i="17" s="1"/>
  <c r="BE14" i="17" s="1"/>
  <c r="CA14" i="17" s="1"/>
  <c r="U14" i="17"/>
  <c r="AF14" i="17" s="1"/>
  <c r="X14" i="17"/>
  <c r="AI14" i="17" s="1"/>
  <c r="BI14" i="17" s="1"/>
  <c r="CE14" i="17" s="1"/>
  <c r="AC14" i="17"/>
  <c r="BC14" i="17" s="1"/>
  <c r="BY14" i="17" s="1"/>
  <c r="BF14" i="17" l="1"/>
  <c r="CB14" i="17" s="1"/>
  <c r="AV23" i="21"/>
  <c r="AC19" i="19"/>
  <c r="AC18" i="19"/>
  <c r="AC10" i="19"/>
  <c r="AC11" i="19"/>
  <c r="K23" i="25"/>
  <c r="F23" i="25"/>
  <c r="E24" i="25"/>
  <c r="L22" i="25"/>
  <c r="N22" i="25" s="1"/>
  <c r="O22" i="25"/>
  <c r="AA37" i="25"/>
  <c r="AA42" i="25" s="1"/>
  <c r="L22" i="19"/>
  <c r="P22" i="19" s="1"/>
  <c r="F23" i="19"/>
  <c r="G22" i="19"/>
  <c r="AL14" i="17"/>
  <c r="AU14" i="17"/>
  <c r="AO14" i="17"/>
  <c r="AQ14" i="17"/>
  <c r="AM14" i="17"/>
  <c r="AR14" i="17"/>
  <c r="AP14" i="17"/>
  <c r="AN14" i="17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14" i="16"/>
  <c r="AX23" i="21" l="1"/>
  <c r="BL23" i="21"/>
  <c r="BN23" i="21" s="1"/>
  <c r="AC37" i="19"/>
  <c r="E32" i="25"/>
  <c r="K24" i="25"/>
  <c r="F24" i="25"/>
  <c r="L23" i="25"/>
  <c r="N23" i="25" s="1"/>
  <c r="O23" i="25"/>
  <c r="AC18" i="25"/>
  <c r="AC10" i="25"/>
  <c r="AC19" i="25"/>
  <c r="AC11" i="25"/>
  <c r="L23" i="19"/>
  <c r="P23" i="19" s="1"/>
  <c r="F24" i="19"/>
  <c r="G23" i="19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AC37" i="25" l="1"/>
  <c r="E33" i="25"/>
  <c r="K32" i="25"/>
  <c r="F32" i="25"/>
  <c r="L24" i="25"/>
  <c r="N24" i="25" s="1"/>
  <c r="O24" i="25"/>
  <c r="F32" i="19"/>
  <c r="L24" i="19"/>
  <c r="P24" i="19" s="1"/>
  <c r="G24" i="19"/>
  <c r="E119" i="16"/>
  <c r="D110" i="16"/>
  <c r="D114" i="16" s="1"/>
  <c r="E114" i="16"/>
  <c r="E107" i="16"/>
  <c r="D104" i="16"/>
  <c r="D107" i="16" s="1"/>
  <c r="E100" i="16"/>
  <c r="D96" i="16"/>
  <c r="D87" i="16"/>
  <c r="D89" i="16"/>
  <c r="D90" i="16"/>
  <c r="D91" i="16"/>
  <c r="D92" i="16"/>
  <c r="D86" i="16"/>
  <c r="D82" i="16"/>
  <c r="D81" i="16"/>
  <c r="F72" i="16"/>
  <c r="F73" i="16"/>
  <c r="F74" i="16"/>
  <c r="F75" i="16"/>
  <c r="F76" i="16"/>
  <c r="F77" i="16"/>
  <c r="F71" i="16"/>
  <c r="E83" i="16"/>
  <c r="E72" i="16"/>
  <c r="E73" i="16"/>
  <c r="E74" i="16"/>
  <c r="E75" i="16"/>
  <c r="E71" i="16"/>
  <c r="E78" i="16" s="1"/>
  <c r="E92" i="16"/>
  <c r="F92" i="16" s="1"/>
  <c r="D77" i="16"/>
  <c r="D76" i="16"/>
  <c r="D75" i="16"/>
  <c r="D74" i="16"/>
  <c r="D73" i="16"/>
  <c r="D72" i="16"/>
  <c r="D71" i="16"/>
  <c r="F86" i="16"/>
  <c r="F87" i="16"/>
  <c r="F89" i="16"/>
  <c r="F90" i="16"/>
  <c r="F91" i="16"/>
  <c r="D78" i="16"/>
  <c r="L32" i="25" l="1"/>
  <c r="N32" i="25" s="1"/>
  <c r="O32" i="25"/>
  <c r="E34" i="25"/>
  <c r="K33" i="25"/>
  <c r="F33" i="25"/>
  <c r="F33" i="19"/>
  <c r="L32" i="19"/>
  <c r="P32" i="19" s="1"/>
  <c r="G32" i="19"/>
  <c r="E93" i="16"/>
  <c r="D83" i="16"/>
  <c r="B139" i="9"/>
  <c r="F104" i="16"/>
  <c r="F110" i="16"/>
  <c r="E35" i="25" l="1"/>
  <c r="K34" i="25"/>
  <c r="F34" i="25"/>
  <c r="L33" i="25"/>
  <c r="N33" i="25" s="1"/>
  <c r="O33" i="25"/>
  <c r="F34" i="19"/>
  <c r="L33" i="19"/>
  <c r="P33" i="19" s="1"/>
  <c r="G33" i="19"/>
  <c r="B71" i="22"/>
  <c r="B73" i="22" s="1"/>
  <c r="B77" i="22" s="1"/>
  <c r="C73" i="22"/>
  <c r="B14" i="22"/>
  <c r="B16" i="22" s="1"/>
  <c r="K35" i="25" l="1"/>
  <c r="F35" i="25"/>
  <c r="L34" i="25"/>
  <c r="N34" i="25" s="1"/>
  <c r="O34" i="25"/>
  <c r="F35" i="19"/>
  <c r="L34" i="19"/>
  <c r="P34" i="19" s="1"/>
  <c r="G34" i="19"/>
  <c r="O3" i="16"/>
  <c r="O2" i="16"/>
  <c r="O1" i="16"/>
  <c r="AM1" i="21"/>
  <c r="L35" i="25" l="1"/>
  <c r="N35" i="25" s="1"/>
  <c r="O35" i="25"/>
  <c r="L35" i="19"/>
  <c r="P35" i="19" s="1"/>
  <c r="G35" i="19"/>
  <c r="H137" i="9"/>
  <c r="H136" i="9"/>
  <c r="H131" i="9"/>
  <c r="H132" i="9"/>
  <c r="H133" i="9"/>
  <c r="G131" i="9"/>
  <c r="G132" i="9"/>
  <c r="G133" i="9"/>
  <c r="G134" i="9"/>
  <c r="G135" i="9"/>
  <c r="G136" i="9"/>
  <c r="G137" i="9"/>
  <c r="F138" i="9"/>
  <c r="F137" i="9"/>
  <c r="F136" i="9"/>
  <c r="F135" i="9"/>
  <c r="F134" i="9"/>
  <c r="F133" i="9"/>
  <c r="F132" i="9"/>
  <c r="F131" i="9"/>
  <c r="F130" i="9"/>
  <c r="C146" i="15"/>
  <c r="C145" i="15"/>
  <c r="C142" i="15"/>
  <c r="C141" i="15"/>
  <c r="C140" i="15"/>
  <c r="AT43" i="17"/>
  <c r="AS43" i="17"/>
  <c r="E134" i="9"/>
  <c r="E135" i="9"/>
  <c r="E137" i="9"/>
  <c r="C134" i="9"/>
  <c r="C135" i="9"/>
  <c r="C137" i="9"/>
  <c r="B137" i="9"/>
  <c r="B135" i="9"/>
  <c r="B134" i="9"/>
  <c r="B133" i="9"/>
  <c r="B132" i="9"/>
  <c r="B131" i="9"/>
  <c r="B130" i="9"/>
  <c r="B146" i="15"/>
  <c r="F20" i="21"/>
  <c r="F21" i="21"/>
  <c r="F35" i="21"/>
  <c r="G39" i="20"/>
  <c r="F39" i="20"/>
  <c r="I38" i="20"/>
  <c r="H39" i="20"/>
  <c r="E39" i="20"/>
  <c r="D39" i="20"/>
  <c r="C39" i="20"/>
  <c r="B39" i="20"/>
  <c r="I20" i="20"/>
  <c r="H16" i="20"/>
  <c r="I14" i="20"/>
  <c r="H18" i="20" l="1"/>
  <c r="H23" i="20" s="1"/>
  <c r="I37" i="20"/>
  <c r="I39" i="20" s="1"/>
  <c r="H28" i="20" l="1"/>
  <c r="H29" i="20"/>
  <c r="H33" i="20"/>
  <c r="H27" i="20"/>
  <c r="E11" i="19"/>
  <c r="E12" i="19"/>
  <c r="E13" i="19"/>
  <c r="E14" i="19"/>
  <c r="E15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1" i="19"/>
  <c r="E32" i="19"/>
  <c r="E33" i="19"/>
  <c r="E34" i="19"/>
  <c r="E35" i="19"/>
  <c r="E10" i="19"/>
  <c r="K35" i="19"/>
  <c r="K34" i="19"/>
  <c r="M34" i="19" s="1"/>
  <c r="K33" i="19"/>
  <c r="K32" i="19"/>
  <c r="M32" i="19" s="1"/>
  <c r="K30" i="19"/>
  <c r="K29" i="19"/>
  <c r="K24" i="19"/>
  <c r="K23" i="19"/>
  <c r="M23" i="19" s="1"/>
  <c r="K22" i="19"/>
  <c r="K21" i="19"/>
  <c r="M21" i="19" s="1"/>
  <c r="K20" i="19"/>
  <c r="K19" i="19"/>
  <c r="M19" i="19" s="1"/>
  <c r="K18" i="19"/>
  <c r="K15" i="19"/>
  <c r="K16" i="19"/>
  <c r="P16" i="19" s="1"/>
  <c r="K14" i="19"/>
  <c r="J31" i="19"/>
  <c r="K31" i="19" s="1"/>
  <c r="J28" i="19"/>
  <c r="K28" i="19" s="1"/>
  <c r="M28" i="19" s="1"/>
  <c r="J27" i="19"/>
  <c r="K27" i="19" s="1"/>
  <c r="J26" i="19"/>
  <c r="K26" i="19" s="1"/>
  <c r="M26" i="19" s="1"/>
  <c r="J25" i="19"/>
  <c r="K25" i="19" s="1"/>
  <c r="J17" i="19"/>
  <c r="K17" i="19" s="1"/>
  <c r="M17" i="19" s="1"/>
  <c r="J11" i="19"/>
  <c r="K11" i="19" s="1"/>
  <c r="M11" i="19" s="1"/>
  <c r="K12" i="19"/>
  <c r="J13" i="19"/>
  <c r="K13" i="19" s="1"/>
  <c r="M13" i="19" s="1"/>
  <c r="J10" i="19"/>
  <c r="K10" i="19" s="1"/>
  <c r="M10" i="19" s="1"/>
  <c r="O18" i="21"/>
  <c r="O19" i="21"/>
  <c r="O20" i="21"/>
  <c r="O21" i="21"/>
  <c r="O23" i="21"/>
  <c r="O25" i="21"/>
  <c r="O27" i="21"/>
  <c r="O29" i="21"/>
  <c r="O30" i="21"/>
  <c r="E38" i="21" l="1"/>
  <c r="E40" i="21"/>
  <c r="E29" i="21"/>
  <c r="E27" i="21"/>
  <c r="E25" i="21"/>
  <c r="M12" i="19"/>
  <c r="P12" i="19"/>
  <c r="M25" i="19"/>
  <c r="M27" i="19"/>
  <c r="M31" i="19"/>
  <c r="M18" i="19"/>
  <c r="AB37" i="19" s="1"/>
  <c r="AB42" i="19" s="1"/>
  <c r="M20" i="19"/>
  <c r="M22" i="19"/>
  <c r="M24" i="19"/>
  <c r="M33" i="19"/>
  <c r="M35" i="19"/>
  <c r="O16" i="21"/>
  <c r="O40" i="21"/>
  <c r="O36" i="21"/>
  <c r="O34" i="21"/>
  <c r="O32" i="21"/>
  <c r="O28" i="21"/>
  <c r="O26" i="21"/>
  <c r="O24" i="21"/>
  <c r="O22" i="21"/>
  <c r="O11" i="19"/>
  <c r="O41" i="21"/>
  <c r="O39" i="21"/>
  <c r="O37" i="21"/>
  <c r="O35" i="21"/>
  <c r="O33" i="21"/>
  <c r="O31" i="21"/>
  <c r="O38" i="21"/>
  <c r="O13" i="19"/>
  <c r="O14" i="19"/>
  <c r="O15" i="19"/>
  <c r="O29" i="19"/>
  <c r="AD11" i="19" l="1"/>
  <c r="AD19" i="19"/>
  <c r="AD18" i="19"/>
  <c r="AD10" i="19"/>
  <c r="O18" i="19"/>
  <c r="E36" i="21"/>
  <c r="E22" i="21"/>
  <c r="E39" i="21"/>
  <c r="E41" i="21"/>
  <c r="E30" i="21"/>
  <c r="E28" i="21"/>
  <c r="E26" i="21"/>
  <c r="E24" i="21"/>
  <c r="E18" i="21"/>
  <c r="O35" i="19"/>
  <c r="O22" i="19"/>
  <c r="O31" i="19"/>
  <c r="O25" i="19"/>
  <c r="O33" i="19"/>
  <c r="O24" i="19"/>
  <c r="O20" i="19"/>
  <c r="O16" i="19"/>
  <c r="O27" i="19"/>
  <c r="O34" i="19"/>
  <c r="O21" i="19"/>
  <c r="O28" i="19"/>
  <c r="O17" i="19"/>
  <c r="O10" i="19"/>
  <c r="O30" i="19"/>
  <c r="O32" i="19"/>
  <c r="O23" i="19"/>
  <c r="O19" i="19"/>
  <c r="O26" i="19"/>
  <c r="O12" i="19"/>
  <c r="O17" i="21"/>
  <c r="AH43" i="17"/>
  <c r="AG43" i="17"/>
  <c r="O15" i="17"/>
  <c r="P15" i="17"/>
  <c r="Q15" i="17"/>
  <c r="R15" i="17"/>
  <c r="S15" i="17"/>
  <c r="T15" i="17"/>
  <c r="U15" i="17"/>
  <c r="X15" i="17"/>
  <c r="O16" i="17"/>
  <c r="P16" i="17"/>
  <c r="Q16" i="17"/>
  <c r="R16" i="17"/>
  <c r="S16" i="17"/>
  <c r="T16" i="17"/>
  <c r="U16" i="17"/>
  <c r="X16" i="17"/>
  <c r="O17" i="17"/>
  <c r="P17" i="17"/>
  <c r="Q17" i="17"/>
  <c r="R17" i="17"/>
  <c r="S17" i="17"/>
  <c r="T17" i="17"/>
  <c r="U17" i="17"/>
  <c r="X17" i="17"/>
  <c r="O18" i="17"/>
  <c r="P18" i="17"/>
  <c r="Q18" i="17"/>
  <c r="R18" i="17"/>
  <c r="S18" i="17"/>
  <c r="T18" i="17"/>
  <c r="U18" i="17"/>
  <c r="X18" i="17"/>
  <c r="O19" i="17"/>
  <c r="P19" i="17"/>
  <c r="Q19" i="17"/>
  <c r="R19" i="17"/>
  <c r="S19" i="17"/>
  <c r="T19" i="17"/>
  <c r="U19" i="17"/>
  <c r="X19" i="17"/>
  <c r="O20" i="17"/>
  <c r="P20" i="17"/>
  <c r="Q20" i="17"/>
  <c r="R20" i="17"/>
  <c r="S20" i="17"/>
  <c r="T20" i="17"/>
  <c r="U20" i="17"/>
  <c r="X20" i="17"/>
  <c r="O21" i="17"/>
  <c r="P21" i="17"/>
  <c r="Q21" i="17"/>
  <c r="R21" i="17"/>
  <c r="S21" i="17"/>
  <c r="T21" i="17"/>
  <c r="U21" i="17"/>
  <c r="X21" i="17"/>
  <c r="O22" i="17"/>
  <c r="P22" i="17"/>
  <c r="Q22" i="17"/>
  <c r="R22" i="17"/>
  <c r="S22" i="17"/>
  <c r="T22" i="17"/>
  <c r="U22" i="17"/>
  <c r="X22" i="17"/>
  <c r="O23" i="17"/>
  <c r="P23" i="17"/>
  <c r="Q23" i="17"/>
  <c r="R23" i="17"/>
  <c r="S23" i="17"/>
  <c r="T23" i="17"/>
  <c r="U23" i="17"/>
  <c r="X23" i="17"/>
  <c r="O24" i="17"/>
  <c r="P24" i="17"/>
  <c r="Q24" i="17"/>
  <c r="R24" i="17"/>
  <c r="S24" i="17"/>
  <c r="T24" i="17"/>
  <c r="U24" i="17"/>
  <c r="X24" i="17"/>
  <c r="O25" i="17"/>
  <c r="P25" i="17"/>
  <c r="Q25" i="17"/>
  <c r="R25" i="17"/>
  <c r="S25" i="17"/>
  <c r="T25" i="17"/>
  <c r="U25" i="17"/>
  <c r="X25" i="17"/>
  <c r="O26" i="17"/>
  <c r="P26" i="17"/>
  <c r="Q26" i="17"/>
  <c r="R26" i="17"/>
  <c r="S26" i="17"/>
  <c r="T26" i="17"/>
  <c r="U26" i="17"/>
  <c r="X26" i="17"/>
  <c r="O27" i="17"/>
  <c r="P27" i="17"/>
  <c r="Q27" i="17"/>
  <c r="R27" i="17"/>
  <c r="S27" i="17"/>
  <c r="T27" i="17"/>
  <c r="U27" i="17"/>
  <c r="X27" i="17"/>
  <c r="P39" i="17"/>
  <c r="Q39" i="17"/>
  <c r="R39" i="17"/>
  <c r="S39" i="17"/>
  <c r="T39" i="17"/>
  <c r="U39" i="17"/>
  <c r="X39" i="17"/>
  <c r="W106" i="15"/>
  <c r="S106" i="15"/>
  <c r="J15" i="17"/>
  <c r="D15" i="28" s="1"/>
  <c r="M15" i="17"/>
  <c r="J16" i="17"/>
  <c r="D16" i="28" s="1"/>
  <c r="M16" i="17"/>
  <c r="J17" i="17"/>
  <c r="D17" i="28" s="1"/>
  <c r="M17" i="17"/>
  <c r="J18" i="17"/>
  <c r="D18" i="28" s="1"/>
  <c r="M18" i="17"/>
  <c r="J19" i="17"/>
  <c r="D19" i="28" s="1"/>
  <c r="M19" i="17"/>
  <c r="J20" i="17"/>
  <c r="D20" i="28" s="1"/>
  <c r="M20" i="17"/>
  <c r="J21" i="17"/>
  <c r="D21" i="28" s="1"/>
  <c r="M21" i="17"/>
  <c r="J22" i="17"/>
  <c r="D22" i="28" s="1"/>
  <c r="M22" i="17"/>
  <c r="J23" i="17"/>
  <c r="D23" i="28" s="1"/>
  <c r="M23" i="17"/>
  <c r="J24" i="17"/>
  <c r="D24" i="28" s="1"/>
  <c r="M24" i="17"/>
  <c r="J25" i="17"/>
  <c r="D25" i="28" s="1"/>
  <c r="M25" i="17"/>
  <c r="J26" i="17"/>
  <c r="D26" i="28" s="1"/>
  <c r="M26" i="17"/>
  <c r="J27" i="17"/>
  <c r="D27" i="28" s="1"/>
  <c r="M27" i="17"/>
  <c r="J28" i="17"/>
  <c r="D28" i="28" s="1"/>
  <c r="M28" i="17"/>
  <c r="J29" i="17"/>
  <c r="D29" i="28" s="1"/>
  <c r="M29" i="17"/>
  <c r="J30" i="17"/>
  <c r="D30" i="28" s="1"/>
  <c r="M30" i="17"/>
  <c r="J31" i="17"/>
  <c r="D31" i="28" s="1"/>
  <c r="M31" i="17"/>
  <c r="J32" i="17"/>
  <c r="D32" i="28" s="1"/>
  <c r="M32" i="17"/>
  <c r="J33" i="17"/>
  <c r="D33" i="28" s="1"/>
  <c r="M33" i="17"/>
  <c r="J34" i="17"/>
  <c r="D34" i="28" s="1"/>
  <c r="M34" i="17"/>
  <c r="J35" i="17"/>
  <c r="D35" i="28" s="1"/>
  <c r="M35" i="17"/>
  <c r="J36" i="17"/>
  <c r="M36" i="17"/>
  <c r="J37" i="17"/>
  <c r="M37" i="17"/>
  <c r="J38" i="17"/>
  <c r="D38" i="28" s="1"/>
  <c r="M38" i="17"/>
  <c r="J39" i="17"/>
  <c r="D39" i="28" s="1"/>
  <c r="M39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D15" i="17"/>
  <c r="E15" i="17"/>
  <c r="F15" i="17"/>
  <c r="G15" i="17"/>
  <c r="H15" i="17"/>
  <c r="D16" i="17"/>
  <c r="E16" i="17"/>
  <c r="F16" i="17"/>
  <c r="G16" i="17"/>
  <c r="H16" i="17"/>
  <c r="D17" i="17"/>
  <c r="E17" i="17"/>
  <c r="F17" i="17"/>
  <c r="G17" i="17"/>
  <c r="H17" i="17"/>
  <c r="D18" i="17"/>
  <c r="E18" i="17"/>
  <c r="F18" i="17"/>
  <c r="G18" i="17"/>
  <c r="H18" i="17"/>
  <c r="D19" i="17"/>
  <c r="E19" i="17"/>
  <c r="F19" i="17"/>
  <c r="G19" i="17"/>
  <c r="H19" i="17"/>
  <c r="D20" i="17"/>
  <c r="E20" i="17"/>
  <c r="F20" i="17"/>
  <c r="G20" i="17"/>
  <c r="H20" i="17"/>
  <c r="D21" i="17"/>
  <c r="E21" i="17"/>
  <c r="F21" i="17"/>
  <c r="G21" i="17"/>
  <c r="H21" i="17"/>
  <c r="D22" i="17"/>
  <c r="E22" i="17"/>
  <c r="F22" i="17"/>
  <c r="G22" i="17"/>
  <c r="H22" i="17"/>
  <c r="D23" i="17"/>
  <c r="E23" i="17"/>
  <c r="F23" i="17"/>
  <c r="G23" i="17"/>
  <c r="H23" i="17"/>
  <c r="D24" i="17"/>
  <c r="E24" i="17"/>
  <c r="F24" i="17"/>
  <c r="G24" i="17"/>
  <c r="H24" i="17"/>
  <c r="D25" i="17"/>
  <c r="E25" i="17"/>
  <c r="F25" i="17"/>
  <c r="G25" i="17"/>
  <c r="H25" i="17"/>
  <c r="D26" i="17"/>
  <c r="E26" i="17"/>
  <c r="F26" i="17"/>
  <c r="G26" i="17"/>
  <c r="H26" i="17"/>
  <c r="D27" i="17"/>
  <c r="E27" i="17"/>
  <c r="F27" i="17"/>
  <c r="G27" i="17"/>
  <c r="H27" i="17"/>
  <c r="D28" i="17"/>
  <c r="E28" i="17"/>
  <c r="F28" i="17"/>
  <c r="G28" i="17"/>
  <c r="H28" i="17"/>
  <c r="D29" i="17"/>
  <c r="E29" i="17"/>
  <c r="F29" i="17"/>
  <c r="G29" i="17"/>
  <c r="H29" i="17"/>
  <c r="D30" i="17"/>
  <c r="E30" i="17"/>
  <c r="F30" i="17"/>
  <c r="G30" i="17"/>
  <c r="H30" i="17"/>
  <c r="D31" i="17"/>
  <c r="E31" i="17"/>
  <c r="F31" i="17"/>
  <c r="G31" i="17"/>
  <c r="H31" i="17"/>
  <c r="D32" i="17"/>
  <c r="E32" i="17"/>
  <c r="F32" i="17"/>
  <c r="G32" i="17"/>
  <c r="H32" i="17"/>
  <c r="D33" i="17"/>
  <c r="E33" i="17"/>
  <c r="F33" i="17"/>
  <c r="G33" i="17"/>
  <c r="H33" i="17"/>
  <c r="D34" i="17"/>
  <c r="E34" i="17"/>
  <c r="F34" i="17"/>
  <c r="G34" i="17"/>
  <c r="H34" i="17"/>
  <c r="D35" i="17"/>
  <c r="E35" i="17"/>
  <c r="F35" i="17"/>
  <c r="G35" i="17"/>
  <c r="H35" i="17"/>
  <c r="D36" i="17"/>
  <c r="E36" i="17"/>
  <c r="F36" i="17"/>
  <c r="G36" i="17"/>
  <c r="H36" i="17"/>
  <c r="D37" i="17"/>
  <c r="E37" i="17"/>
  <c r="F37" i="17"/>
  <c r="G37" i="17"/>
  <c r="H37" i="17"/>
  <c r="D38" i="17"/>
  <c r="E38" i="17"/>
  <c r="F38" i="17"/>
  <c r="G38" i="17"/>
  <c r="H38" i="17"/>
  <c r="D39" i="17"/>
  <c r="E39" i="17"/>
  <c r="F39" i="17"/>
  <c r="G39" i="17"/>
  <c r="H39" i="17"/>
  <c r="K43" i="17"/>
  <c r="L43" i="17"/>
  <c r="M43" i="17"/>
  <c r="AB94" i="15"/>
  <c r="AA94" i="15"/>
  <c r="Z94" i="15"/>
  <c r="AC88" i="15"/>
  <c r="AC89" i="15"/>
  <c r="AC90" i="15"/>
  <c r="AC91" i="15"/>
  <c r="AC92" i="15"/>
  <c r="AC93" i="15"/>
  <c r="AC95" i="15"/>
  <c r="AC96" i="15"/>
  <c r="AC97" i="15"/>
  <c r="AC98" i="15"/>
  <c r="AC99" i="15"/>
  <c r="AC100" i="15"/>
  <c r="AC101" i="15"/>
  <c r="AC102" i="15"/>
  <c r="AC103" i="15"/>
  <c r="AC104" i="15"/>
  <c r="AC105" i="15"/>
  <c r="AC87" i="15"/>
  <c r="AB92" i="15"/>
  <c r="AA92" i="15"/>
  <c r="Z92" i="15"/>
  <c r="Z91" i="15"/>
  <c r="S91" i="15" s="1"/>
  <c r="AA91" i="15"/>
  <c r="Z90" i="15"/>
  <c r="AA90" i="15"/>
  <c r="AB90" i="15"/>
  <c r="AA97" i="15"/>
  <c r="Z97" i="15"/>
  <c r="Z96" i="15"/>
  <c r="AA96" i="15"/>
  <c r="Z105" i="15"/>
  <c r="S105" i="15" s="1"/>
  <c r="Z104" i="15"/>
  <c r="S104" i="15" s="1"/>
  <c r="Z103" i="15"/>
  <c r="S103" i="15" s="1"/>
  <c r="Z102" i="15"/>
  <c r="S102" i="15" s="1"/>
  <c r="Z101" i="15"/>
  <c r="S101" i="15" s="1"/>
  <c r="Z100" i="15"/>
  <c r="S100" i="15" s="1"/>
  <c r="Z99" i="15"/>
  <c r="S99" i="15" s="1"/>
  <c r="Z98" i="15"/>
  <c r="S98" i="15" s="1"/>
  <c r="Z95" i="15"/>
  <c r="S95" i="15" s="1"/>
  <c r="Z93" i="15"/>
  <c r="S93" i="15" s="1"/>
  <c r="Z89" i="15"/>
  <c r="AA89" i="15"/>
  <c r="S88" i="15"/>
  <c r="Z88" i="15"/>
  <c r="S87" i="15"/>
  <c r="AA88" i="15"/>
  <c r="Z87" i="15"/>
  <c r="W121" i="15"/>
  <c r="X121" i="15"/>
  <c r="S121" i="15"/>
  <c r="S120" i="15"/>
  <c r="S119" i="15"/>
  <c r="S118" i="15"/>
  <c r="S117" i="15"/>
  <c r="S116" i="15"/>
  <c r="S115" i="15"/>
  <c r="S114" i="15"/>
  <c r="S113" i="15"/>
  <c r="W113" i="15" s="1"/>
  <c r="X113" i="15" s="1"/>
  <c r="S112" i="15"/>
  <c r="S111" i="15"/>
  <c r="S110" i="15"/>
  <c r="S109" i="15"/>
  <c r="V110" i="15"/>
  <c r="W110" i="15" s="1"/>
  <c r="X110" i="15" s="1"/>
  <c r="V111" i="15"/>
  <c r="W111" i="15" s="1"/>
  <c r="X111" i="15" s="1"/>
  <c r="V112" i="15"/>
  <c r="W112" i="15" s="1"/>
  <c r="X112" i="15" s="1"/>
  <c r="V113" i="15"/>
  <c r="V114" i="15"/>
  <c r="W114" i="15" s="1"/>
  <c r="X114" i="15" s="1"/>
  <c r="V115" i="15"/>
  <c r="W115" i="15" s="1"/>
  <c r="X115" i="15" s="1"/>
  <c r="V116" i="15"/>
  <c r="W116" i="15" s="1"/>
  <c r="X116" i="15" s="1"/>
  <c r="V117" i="15"/>
  <c r="W117" i="15" s="1"/>
  <c r="X117" i="15" s="1"/>
  <c r="V118" i="15"/>
  <c r="W118" i="15" s="1"/>
  <c r="X118" i="15" s="1"/>
  <c r="V119" i="15"/>
  <c r="W119" i="15" s="1"/>
  <c r="X119" i="15" s="1"/>
  <c r="V120" i="15"/>
  <c r="W120" i="15" s="1"/>
  <c r="X120" i="15" s="1"/>
  <c r="V109" i="15"/>
  <c r="L96" i="16"/>
  <c r="N96" i="16"/>
  <c r="M96" i="16"/>
  <c r="K96" i="16"/>
  <c r="J96" i="16"/>
  <c r="I96" i="16"/>
  <c r="H96" i="16"/>
  <c r="G96" i="16"/>
  <c r="N91" i="16"/>
  <c r="C91" i="16"/>
  <c r="B91" i="16"/>
  <c r="L56" i="16"/>
  <c r="L91" i="16" s="1"/>
  <c r="K56" i="16"/>
  <c r="K91" i="16" s="1"/>
  <c r="J56" i="16"/>
  <c r="J91" i="16" s="1"/>
  <c r="I56" i="16"/>
  <c r="I91" i="16" s="1"/>
  <c r="H56" i="16"/>
  <c r="H91" i="16" s="1"/>
  <c r="G56" i="16"/>
  <c r="G91" i="16" s="1"/>
  <c r="F82" i="16"/>
  <c r="F81" i="16"/>
  <c r="N75" i="16"/>
  <c r="M46" i="16"/>
  <c r="M75" i="16" s="1"/>
  <c r="L46" i="16"/>
  <c r="L75" i="16" s="1"/>
  <c r="K46" i="16"/>
  <c r="K75" i="16" s="1"/>
  <c r="J46" i="16"/>
  <c r="J75" i="16" s="1"/>
  <c r="I46" i="16"/>
  <c r="I75" i="16" s="1"/>
  <c r="G46" i="16"/>
  <c r="R3" i="9"/>
  <c r="N110" i="16"/>
  <c r="N114" i="16" s="1"/>
  <c r="M110" i="16"/>
  <c r="M114" i="16" s="1"/>
  <c r="L110" i="16"/>
  <c r="L114" i="16" s="1"/>
  <c r="K110" i="16"/>
  <c r="K114" i="16" s="1"/>
  <c r="J110" i="16"/>
  <c r="J114" i="16" s="1"/>
  <c r="I110" i="16"/>
  <c r="I114" i="16" s="1"/>
  <c r="G110" i="16"/>
  <c r="G114" i="16" s="1"/>
  <c r="H110" i="16"/>
  <c r="H114" i="16" s="1"/>
  <c r="F107" i="16"/>
  <c r="N92" i="16"/>
  <c r="N90" i="16"/>
  <c r="N89" i="16"/>
  <c r="N88" i="16"/>
  <c r="N87" i="16"/>
  <c r="N86" i="16"/>
  <c r="N82" i="16"/>
  <c r="N81" i="16"/>
  <c r="F83" i="16"/>
  <c r="N77" i="16"/>
  <c r="N76" i="16"/>
  <c r="N74" i="16"/>
  <c r="N73" i="16"/>
  <c r="N72" i="16"/>
  <c r="N71" i="16"/>
  <c r="M60" i="16"/>
  <c r="M104" i="16" s="1"/>
  <c r="M107" i="16" s="1"/>
  <c r="L60" i="16"/>
  <c r="L104" i="16" s="1"/>
  <c r="L107" i="16" s="1"/>
  <c r="K60" i="16"/>
  <c r="K104" i="16" s="1"/>
  <c r="K107" i="16" s="1"/>
  <c r="J60" i="16"/>
  <c r="J104" i="16" s="1"/>
  <c r="J107" i="16" s="1"/>
  <c r="I60" i="16"/>
  <c r="I104" i="16" s="1"/>
  <c r="I107" i="16" s="1"/>
  <c r="H60" i="16"/>
  <c r="H104" i="16" s="1"/>
  <c r="H107" i="16" s="1"/>
  <c r="G60" i="16"/>
  <c r="G104" i="16" s="1"/>
  <c r="L57" i="16"/>
  <c r="L92" i="16" s="1"/>
  <c r="K57" i="16"/>
  <c r="K92" i="16" s="1"/>
  <c r="J57" i="16"/>
  <c r="J92" i="16" s="1"/>
  <c r="I57" i="16"/>
  <c r="I92" i="16" s="1"/>
  <c r="H57" i="16"/>
  <c r="H92" i="16" s="1"/>
  <c r="G57" i="16"/>
  <c r="G92" i="16" s="1"/>
  <c r="L55" i="16"/>
  <c r="L90" i="16" s="1"/>
  <c r="K55" i="16"/>
  <c r="K90" i="16" s="1"/>
  <c r="J55" i="16"/>
  <c r="J90" i="16" s="1"/>
  <c r="I55" i="16"/>
  <c r="I90" i="16" s="1"/>
  <c r="H55" i="16"/>
  <c r="H90" i="16" s="1"/>
  <c r="G55" i="16"/>
  <c r="G90" i="16" s="1"/>
  <c r="L54" i="16"/>
  <c r="L89" i="16" s="1"/>
  <c r="K54" i="16"/>
  <c r="K89" i="16" s="1"/>
  <c r="J54" i="16"/>
  <c r="J89" i="16" s="1"/>
  <c r="I54" i="16"/>
  <c r="I89" i="16" s="1"/>
  <c r="H54" i="16"/>
  <c r="H89" i="16" s="1"/>
  <c r="G54" i="16"/>
  <c r="G89" i="16" s="1"/>
  <c r="L53" i="16"/>
  <c r="L88" i="16" s="1"/>
  <c r="K53" i="16"/>
  <c r="K88" i="16" s="1"/>
  <c r="J53" i="16"/>
  <c r="J88" i="16" s="1"/>
  <c r="I53" i="16"/>
  <c r="I88" i="16" s="1"/>
  <c r="H53" i="16"/>
  <c r="H88" i="16" s="1"/>
  <c r="G53" i="16"/>
  <c r="G88" i="16" s="1"/>
  <c r="L52" i="16"/>
  <c r="L87" i="16" s="1"/>
  <c r="K52" i="16"/>
  <c r="K87" i="16" s="1"/>
  <c r="J52" i="16"/>
  <c r="J87" i="16" s="1"/>
  <c r="I52" i="16"/>
  <c r="I87" i="16" s="1"/>
  <c r="H52" i="16"/>
  <c r="H87" i="16" s="1"/>
  <c r="G52" i="16"/>
  <c r="G87" i="16" s="1"/>
  <c r="L51" i="16"/>
  <c r="L86" i="16" s="1"/>
  <c r="K51" i="16"/>
  <c r="K86" i="16" s="1"/>
  <c r="J51" i="16"/>
  <c r="J86" i="16" s="1"/>
  <c r="I51" i="16"/>
  <c r="I86" i="16" s="1"/>
  <c r="H51" i="16"/>
  <c r="H86" i="16" s="1"/>
  <c r="G51" i="16"/>
  <c r="G86" i="16" s="1"/>
  <c r="L50" i="16"/>
  <c r="L82" i="16" s="1"/>
  <c r="K50" i="16"/>
  <c r="K82" i="16" s="1"/>
  <c r="J50" i="16"/>
  <c r="J82" i="16" s="1"/>
  <c r="I50" i="16"/>
  <c r="I82" i="16" s="1"/>
  <c r="H50" i="16"/>
  <c r="H82" i="16" s="1"/>
  <c r="G50" i="16"/>
  <c r="G82" i="16" s="1"/>
  <c r="L49" i="16"/>
  <c r="L81" i="16" s="1"/>
  <c r="L83" i="16" s="1"/>
  <c r="K49" i="16"/>
  <c r="K81" i="16" s="1"/>
  <c r="K83" i="16" s="1"/>
  <c r="J49" i="16"/>
  <c r="J81" i="16" s="1"/>
  <c r="J83" i="16" s="1"/>
  <c r="I49" i="16"/>
  <c r="I81" i="16" s="1"/>
  <c r="I83" i="16" s="1"/>
  <c r="H49" i="16"/>
  <c r="H81" i="16" s="1"/>
  <c r="H83" i="16" s="1"/>
  <c r="G49" i="16"/>
  <c r="G81" i="16" s="1"/>
  <c r="M48" i="16"/>
  <c r="M77" i="16" s="1"/>
  <c r="L48" i="16"/>
  <c r="L77" i="16" s="1"/>
  <c r="J48" i="16"/>
  <c r="J77" i="16" s="1"/>
  <c r="I48" i="16"/>
  <c r="I77" i="16" s="1"/>
  <c r="H48" i="16"/>
  <c r="H77" i="16" s="1"/>
  <c r="G48" i="16"/>
  <c r="G77" i="16" s="1"/>
  <c r="M47" i="16"/>
  <c r="M76" i="16" s="1"/>
  <c r="L47" i="16"/>
  <c r="L76" i="16" s="1"/>
  <c r="K47" i="16"/>
  <c r="K76" i="16" s="1"/>
  <c r="J47" i="16"/>
  <c r="J76" i="16" s="1"/>
  <c r="H47" i="16"/>
  <c r="H76" i="16" s="1"/>
  <c r="G47" i="16"/>
  <c r="G76" i="16" s="1"/>
  <c r="K45" i="16"/>
  <c r="K74" i="16" s="1"/>
  <c r="J45" i="16"/>
  <c r="J74" i="16" s="1"/>
  <c r="I45" i="16"/>
  <c r="I74" i="16" s="1"/>
  <c r="H45" i="16"/>
  <c r="H74" i="16" s="1"/>
  <c r="G45" i="16"/>
  <c r="G74" i="16" s="1"/>
  <c r="I44" i="16"/>
  <c r="I73" i="16" s="1"/>
  <c r="H44" i="16"/>
  <c r="H73" i="16" s="1"/>
  <c r="G44" i="16"/>
  <c r="G73" i="16" s="1"/>
  <c r="G43" i="16"/>
  <c r="G72" i="16" s="1"/>
  <c r="C57" i="16"/>
  <c r="C92" i="16" s="1"/>
  <c r="B57" i="16"/>
  <c r="B92" i="16" s="1"/>
  <c r="C55" i="16"/>
  <c r="C90" i="16" s="1"/>
  <c r="B55" i="16"/>
  <c r="B90" i="16" s="1"/>
  <c r="C54" i="16"/>
  <c r="C89" i="16" s="1"/>
  <c r="B54" i="16"/>
  <c r="B89" i="16" s="1"/>
  <c r="C53" i="16"/>
  <c r="C88" i="16" s="1"/>
  <c r="B53" i="16"/>
  <c r="B88" i="16" s="1"/>
  <c r="C52" i="16"/>
  <c r="C87" i="16" s="1"/>
  <c r="B52" i="16"/>
  <c r="B87" i="16" s="1"/>
  <c r="C51" i="16"/>
  <c r="C86" i="16" s="1"/>
  <c r="B51" i="16"/>
  <c r="B86" i="16" s="1"/>
  <c r="C50" i="16"/>
  <c r="C82" i="16" s="1"/>
  <c r="B50" i="16"/>
  <c r="B82" i="16" s="1"/>
  <c r="C49" i="16"/>
  <c r="C81" i="16" s="1"/>
  <c r="B49" i="16"/>
  <c r="B81" i="16" s="1"/>
  <c r="C48" i="16"/>
  <c r="C77" i="16" s="1"/>
  <c r="B48" i="16"/>
  <c r="B77" i="16" s="1"/>
  <c r="C47" i="16"/>
  <c r="C76" i="16" s="1"/>
  <c r="B47" i="16"/>
  <c r="B76" i="16" s="1"/>
  <c r="C45" i="16"/>
  <c r="C74" i="16" s="1"/>
  <c r="B45" i="16"/>
  <c r="B74" i="16" s="1"/>
  <c r="C44" i="16"/>
  <c r="C73" i="16" s="1"/>
  <c r="B44" i="16"/>
  <c r="B73" i="16" s="1"/>
  <c r="C43" i="16"/>
  <c r="C72" i="16" s="1"/>
  <c r="B43" i="16"/>
  <c r="B72" i="16" s="1"/>
  <c r="C42" i="16"/>
  <c r="C71" i="16" s="1"/>
  <c r="B42" i="16"/>
  <c r="B71" i="16" s="1"/>
  <c r="AF27" i="17" l="1"/>
  <c r="AF26" i="17"/>
  <c r="AF25" i="17"/>
  <c r="D37" i="28"/>
  <c r="AF37" i="17"/>
  <c r="D36" i="28"/>
  <c r="AF36" i="17"/>
  <c r="D43" i="28"/>
  <c r="AD37" i="19"/>
  <c r="G43" i="17"/>
  <c r="E43" i="17"/>
  <c r="H43" i="17"/>
  <c r="F78" i="16"/>
  <c r="N78" i="16"/>
  <c r="AI39" i="17"/>
  <c r="BI39" i="17" s="1"/>
  <c r="CE39" i="17" s="1"/>
  <c r="AE39" i="17"/>
  <c r="BE39" i="17" s="1"/>
  <c r="CA39" i="17" s="1"/>
  <c r="AC39" i="17"/>
  <c r="BC39" i="17" s="1"/>
  <c r="BY39" i="17" s="1"/>
  <c r="AA39" i="17"/>
  <c r="BA39" i="17" s="1"/>
  <c r="BW39" i="17" s="1"/>
  <c r="AI38" i="17"/>
  <c r="AE38" i="17"/>
  <c r="BE38" i="17" s="1"/>
  <c r="CA38" i="17" s="1"/>
  <c r="AC38" i="17"/>
  <c r="AA38" i="17"/>
  <c r="CE37" i="17"/>
  <c r="CA37" i="17"/>
  <c r="BY37" i="17"/>
  <c r="BW37" i="17"/>
  <c r="CE36" i="17"/>
  <c r="CA36" i="17"/>
  <c r="BY36" i="17"/>
  <c r="BW36" i="17"/>
  <c r="AI35" i="17"/>
  <c r="AE35" i="17"/>
  <c r="BE35" i="17" s="1"/>
  <c r="CA35" i="17" s="1"/>
  <c r="AC35" i="17"/>
  <c r="AF39" i="17"/>
  <c r="AD39" i="17"/>
  <c r="BD39" i="17" s="1"/>
  <c r="BZ39" i="17" s="1"/>
  <c r="AB39" i="17"/>
  <c r="BB39" i="17" s="1"/>
  <c r="BX39" i="17" s="1"/>
  <c r="Z39" i="17"/>
  <c r="AZ39" i="17" s="1"/>
  <c r="BV39" i="17" s="1"/>
  <c r="AF38" i="17"/>
  <c r="AD38" i="17"/>
  <c r="BD38" i="17" s="1"/>
  <c r="BZ38" i="17" s="1"/>
  <c r="AB38" i="17"/>
  <c r="BB38" i="17" s="1"/>
  <c r="BX38" i="17" s="1"/>
  <c r="Z38" i="17"/>
  <c r="BZ37" i="17"/>
  <c r="BX37" i="17"/>
  <c r="BV37" i="17"/>
  <c r="BZ36" i="17"/>
  <c r="BX36" i="17"/>
  <c r="BV36" i="17"/>
  <c r="AF35" i="17"/>
  <c r="AD35" i="17"/>
  <c r="BD35" i="17" s="1"/>
  <c r="BZ35" i="17" s="1"/>
  <c r="AB35" i="17"/>
  <c r="BB35" i="17" s="1"/>
  <c r="BX35" i="17" s="1"/>
  <c r="AA35" i="17"/>
  <c r="AI34" i="17"/>
  <c r="AE34" i="17"/>
  <c r="BE34" i="17" s="1"/>
  <c r="CA34" i="17" s="1"/>
  <c r="AC34" i="17"/>
  <c r="AA34" i="17"/>
  <c r="AI33" i="17"/>
  <c r="AE33" i="17"/>
  <c r="BE33" i="17" s="1"/>
  <c r="CA33" i="17" s="1"/>
  <c r="AC33" i="17"/>
  <c r="AA33" i="17"/>
  <c r="AI32" i="17"/>
  <c r="AE32" i="17"/>
  <c r="BE32" i="17" s="1"/>
  <c r="CA32" i="17" s="1"/>
  <c r="AC32" i="17"/>
  <c r="AA32" i="17"/>
  <c r="AI31" i="17"/>
  <c r="AE31" i="17"/>
  <c r="BE31" i="17" s="1"/>
  <c r="CA31" i="17" s="1"/>
  <c r="AC31" i="17"/>
  <c r="AA31" i="17"/>
  <c r="AI30" i="17"/>
  <c r="AE30" i="17"/>
  <c r="BE30" i="17" s="1"/>
  <c r="CA30" i="17" s="1"/>
  <c r="AC30" i="17"/>
  <c r="AA30" i="17"/>
  <c r="AI29" i="17"/>
  <c r="AE29" i="17"/>
  <c r="BE29" i="17" s="1"/>
  <c r="CA29" i="17" s="1"/>
  <c r="AC29" i="17"/>
  <c r="AA29" i="17"/>
  <c r="AI28" i="17"/>
  <c r="AE28" i="17"/>
  <c r="BE28" i="17" s="1"/>
  <c r="CA28" i="17" s="1"/>
  <c r="AC28" i="17"/>
  <c r="AA28" i="17"/>
  <c r="CE27" i="17"/>
  <c r="CA27" i="17"/>
  <c r="BY27" i="17"/>
  <c r="BW27" i="17"/>
  <c r="CE26" i="17"/>
  <c r="CA26" i="17"/>
  <c r="BY26" i="17"/>
  <c r="BW26" i="17"/>
  <c r="CE25" i="17"/>
  <c r="CA25" i="17"/>
  <c r="BY25" i="17"/>
  <c r="BW25" i="17"/>
  <c r="AI24" i="17"/>
  <c r="BI24" i="17" s="1"/>
  <c r="CE24" i="17" s="1"/>
  <c r="AE24" i="17"/>
  <c r="BE24" i="17" s="1"/>
  <c r="CA24" i="17" s="1"/>
  <c r="AC24" i="17"/>
  <c r="BC24" i="17" s="1"/>
  <c r="BY24" i="17" s="1"/>
  <c r="AA24" i="17"/>
  <c r="BA24" i="17" s="1"/>
  <c r="BW24" i="17" s="1"/>
  <c r="AI23" i="17"/>
  <c r="BI23" i="17" s="1"/>
  <c r="CE23" i="17" s="1"/>
  <c r="AE23" i="17"/>
  <c r="BE23" i="17" s="1"/>
  <c r="CA23" i="17" s="1"/>
  <c r="AC23" i="17"/>
  <c r="BC23" i="17" s="1"/>
  <c r="BY23" i="17" s="1"/>
  <c r="AA23" i="17"/>
  <c r="BA23" i="17" s="1"/>
  <c r="BW23" i="17" s="1"/>
  <c r="AI22" i="17"/>
  <c r="BI22" i="17" s="1"/>
  <c r="CE22" i="17" s="1"/>
  <c r="AE22" i="17"/>
  <c r="BE22" i="17" s="1"/>
  <c r="CA22" i="17" s="1"/>
  <c r="AC22" i="17"/>
  <c r="BC22" i="17" s="1"/>
  <c r="BY22" i="17" s="1"/>
  <c r="AA22" i="17"/>
  <c r="BA22" i="17" s="1"/>
  <c r="BW22" i="17" s="1"/>
  <c r="AI21" i="17"/>
  <c r="BI21" i="17" s="1"/>
  <c r="CE21" i="17" s="1"/>
  <c r="AE21" i="17"/>
  <c r="BE21" i="17" s="1"/>
  <c r="CA21" i="17" s="1"/>
  <c r="AC21" i="17"/>
  <c r="BC21" i="17" s="1"/>
  <c r="BY21" i="17" s="1"/>
  <c r="AA21" i="17"/>
  <c r="BA21" i="17" s="1"/>
  <c r="BW21" i="17" s="1"/>
  <c r="AI20" i="17"/>
  <c r="BI20" i="17" s="1"/>
  <c r="CE20" i="17" s="1"/>
  <c r="AE20" i="17"/>
  <c r="BE20" i="17" s="1"/>
  <c r="CA20" i="17" s="1"/>
  <c r="AC20" i="17"/>
  <c r="BC20" i="17" s="1"/>
  <c r="BY20" i="17" s="1"/>
  <c r="AA20" i="17"/>
  <c r="BA20" i="17" s="1"/>
  <c r="BW20" i="17" s="1"/>
  <c r="AI19" i="17"/>
  <c r="BI19" i="17" s="1"/>
  <c r="CE19" i="17" s="1"/>
  <c r="AE19" i="17"/>
  <c r="BE19" i="17" s="1"/>
  <c r="CA19" i="17" s="1"/>
  <c r="AC19" i="17"/>
  <c r="BC19" i="17" s="1"/>
  <c r="BY19" i="17" s="1"/>
  <c r="AA19" i="17"/>
  <c r="BA19" i="17" s="1"/>
  <c r="BW19" i="17" s="1"/>
  <c r="AI18" i="17"/>
  <c r="BI18" i="17" s="1"/>
  <c r="CE18" i="17" s="1"/>
  <c r="AE18" i="17"/>
  <c r="BE18" i="17" s="1"/>
  <c r="CA18" i="17" s="1"/>
  <c r="AC18" i="17"/>
  <c r="BC18" i="17" s="1"/>
  <c r="BY18" i="17" s="1"/>
  <c r="AA18" i="17"/>
  <c r="BA18" i="17" s="1"/>
  <c r="BW18" i="17" s="1"/>
  <c r="AI17" i="17"/>
  <c r="BI17" i="17" s="1"/>
  <c r="CE17" i="17" s="1"/>
  <c r="AE17" i="17"/>
  <c r="BE17" i="17" s="1"/>
  <c r="CA17" i="17" s="1"/>
  <c r="AC17" i="17"/>
  <c r="BC17" i="17" s="1"/>
  <c r="BY17" i="17" s="1"/>
  <c r="AA17" i="17"/>
  <c r="BA17" i="17" s="1"/>
  <c r="BW17" i="17" s="1"/>
  <c r="AI16" i="17"/>
  <c r="BI16" i="17" s="1"/>
  <c r="CE16" i="17" s="1"/>
  <c r="AE16" i="17"/>
  <c r="BE16" i="17" s="1"/>
  <c r="CA16" i="17" s="1"/>
  <c r="AC16" i="17"/>
  <c r="BC16" i="17" s="1"/>
  <c r="BY16" i="17" s="1"/>
  <c r="AA16" i="17"/>
  <c r="BA16" i="17" s="1"/>
  <c r="BW16" i="17" s="1"/>
  <c r="AI15" i="17"/>
  <c r="BI15" i="17" s="1"/>
  <c r="AE15" i="17"/>
  <c r="BE15" i="17" s="1"/>
  <c r="CA15" i="17" s="1"/>
  <c r="AC15" i="17"/>
  <c r="BC15" i="17" s="1"/>
  <c r="AA15" i="17"/>
  <c r="BA15" i="17" s="1"/>
  <c r="BW15" i="17" s="1"/>
  <c r="Z35" i="17"/>
  <c r="AF34" i="17"/>
  <c r="AD34" i="17"/>
  <c r="BD34" i="17" s="1"/>
  <c r="BZ34" i="17" s="1"/>
  <c r="AB34" i="17"/>
  <c r="BB34" i="17" s="1"/>
  <c r="BX34" i="17" s="1"/>
  <c r="Z34" i="17"/>
  <c r="AF33" i="17"/>
  <c r="AD33" i="17"/>
  <c r="BD33" i="17" s="1"/>
  <c r="BZ33" i="17" s="1"/>
  <c r="AB33" i="17"/>
  <c r="BB33" i="17" s="1"/>
  <c r="BX33" i="17" s="1"/>
  <c r="Z33" i="17"/>
  <c r="AF32" i="17"/>
  <c r="AD32" i="17"/>
  <c r="BD32" i="17" s="1"/>
  <c r="BZ32" i="17" s="1"/>
  <c r="AB32" i="17"/>
  <c r="BB32" i="17" s="1"/>
  <c r="BX32" i="17" s="1"/>
  <c r="Z32" i="17"/>
  <c r="AF31" i="17"/>
  <c r="AD31" i="17"/>
  <c r="BD31" i="17" s="1"/>
  <c r="BZ31" i="17" s="1"/>
  <c r="AB31" i="17"/>
  <c r="BB31" i="17" s="1"/>
  <c r="BX31" i="17" s="1"/>
  <c r="Z31" i="17"/>
  <c r="AF30" i="17"/>
  <c r="AD30" i="17"/>
  <c r="BD30" i="17" s="1"/>
  <c r="BZ30" i="17" s="1"/>
  <c r="AB30" i="17"/>
  <c r="BB30" i="17" s="1"/>
  <c r="BX30" i="17" s="1"/>
  <c r="Z30" i="17"/>
  <c r="AF29" i="17"/>
  <c r="AD29" i="17"/>
  <c r="BD29" i="17" s="1"/>
  <c r="BZ29" i="17" s="1"/>
  <c r="AB29" i="17"/>
  <c r="BB29" i="17" s="1"/>
  <c r="BX29" i="17" s="1"/>
  <c r="Z29" i="17"/>
  <c r="AF28" i="17"/>
  <c r="AD28" i="17"/>
  <c r="BD28" i="17" s="1"/>
  <c r="BZ28" i="17" s="1"/>
  <c r="AB28" i="17"/>
  <c r="BB28" i="17" s="1"/>
  <c r="BX28" i="17" s="1"/>
  <c r="Z28" i="17"/>
  <c r="BZ27" i="17"/>
  <c r="BX27" i="17"/>
  <c r="BV27" i="17"/>
  <c r="BZ26" i="17"/>
  <c r="BX26" i="17"/>
  <c r="BV26" i="17"/>
  <c r="BZ25" i="17"/>
  <c r="BX25" i="17"/>
  <c r="BV25" i="17"/>
  <c r="AF24" i="17"/>
  <c r="AD24" i="17"/>
  <c r="BD24" i="17" s="1"/>
  <c r="BZ24" i="17" s="1"/>
  <c r="AB24" i="17"/>
  <c r="BB24" i="17" s="1"/>
  <c r="BX24" i="17" s="1"/>
  <c r="Z24" i="17"/>
  <c r="AZ24" i="17" s="1"/>
  <c r="BV24" i="17" s="1"/>
  <c r="AF23" i="17"/>
  <c r="AD23" i="17"/>
  <c r="BD23" i="17" s="1"/>
  <c r="BZ23" i="17" s="1"/>
  <c r="AB23" i="17"/>
  <c r="BB23" i="17" s="1"/>
  <c r="BX23" i="17" s="1"/>
  <c r="Z23" i="17"/>
  <c r="AZ23" i="17" s="1"/>
  <c r="BV23" i="17" s="1"/>
  <c r="AF22" i="17"/>
  <c r="AD22" i="17"/>
  <c r="BD22" i="17" s="1"/>
  <c r="BZ22" i="17" s="1"/>
  <c r="AB22" i="17"/>
  <c r="BB22" i="17" s="1"/>
  <c r="BX22" i="17" s="1"/>
  <c r="Z22" i="17"/>
  <c r="AZ22" i="17" s="1"/>
  <c r="BV22" i="17" s="1"/>
  <c r="AF21" i="17"/>
  <c r="AD21" i="17"/>
  <c r="BD21" i="17" s="1"/>
  <c r="BZ21" i="17" s="1"/>
  <c r="AB21" i="17"/>
  <c r="BB21" i="17" s="1"/>
  <c r="BX21" i="17" s="1"/>
  <c r="Z21" i="17"/>
  <c r="AZ21" i="17" s="1"/>
  <c r="BV21" i="17" s="1"/>
  <c r="AF20" i="17"/>
  <c r="AD20" i="17"/>
  <c r="BD20" i="17" s="1"/>
  <c r="BZ20" i="17" s="1"/>
  <c r="AB20" i="17"/>
  <c r="BB20" i="17" s="1"/>
  <c r="BX20" i="17" s="1"/>
  <c r="Z20" i="17"/>
  <c r="AZ20" i="17" s="1"/>
  <c r="BV20" i="17" s="1"/>
  <c r="AF19" i="17"/>
  <c r="AD19" i="17"/>
  <c r="BD19" i="17" s="1"/>
  <c r="BZ19" i="17" s="1"/>
  <c r="AB19" i="17"/>
  <c r="BB19" i="17" s="1"/>
  <c r="BX19" i="17" s="1"/>
  <c r="Z19" i="17"/>
  <c r="AZ19" i="17" s="1"/>
  <c r="BV19" i="17" s="1"/>
  <c r="AF18" i="17"/>
  <c r="AD18" i="17"/>
  <c r="BD18" i="17" s="1"/>
  <c r="BZ18" i="17" s="1"/>
  <c r="AB18" i="17"/>
  <c r="BB18" i="17" s="1"/>
  <c r="BX18" i="17" s="1"/>
  <c r="Z18" i="17"/>
  <c r="AZ18" i="17" s="1"/>
  <c r="BV18" i="17" s="1"/>
  <c r="AF17" i="17"/>
  <c r="AD17" i="17"/>
  <c r="BD17" i="17" s="1"/>
  <c r="BZ17" i="17" s="1"/>
  <c r="AB17" i="17"/>
  <c r="BB17" i="17" s="1"/>
  <c r="BX17" i="17" s="1"/>
  <c r="Z17" i="17"/>
  <c r="AZ17" i="17" s="1"/>
  <c r="BV17" i="17" s="1"/>
  <c r="AF16" i="17"/>
  <c r="AD16" i="17"/>
  <c r="BD16" i="17" s="1"/>
  <c r="BZ16" i="17" s="1"/>
  <c r="AB16" i="17"/>
  <c r="BB16" i="17" s="1"/>
  <c r="BX16" i="17" s="1"/>
  <c r="Z16" i="17"/>
  <c r="AZ16" i="17" s="1"/>
  <c r="BV16" i="17" s="1"/>
  <c r="AF15" i="17"/>
  <c r="AD15" i="17"/>
  <c r="BD15" i="17" s="1"/>
  <c r="AB15" i="17"/>
  <c r="BB15" i="17" s="1"/>
  <c r="BX15" i="17" s="1"/>
  <c r="Z15" i="17"/>
  <c r="AZ15" i="17" s="1"/>
  <c r="BV15" i="17" s="1"/>
  <c r="I43" i="17"/>
  <c r="D43" i="17"/>
  <c r="F43" i="17"/>
  <c r="J43" i="17"/>
  <c r="AC94" i="15"/>
  <c r="S94" i="15" s="1"/>
  <c r="S96" i="15"/>
  <c r="S92" i="15"/>
  <c r="S90" i="15"/>
  <c r="S97" i="15"/>
  <c r="S89" i="15"/>
  <c r="W109" i="15"/>
  <c r="X109" i="15" s="1"/>
  <c r="O96" i="16"/>
  <c r="H93" i="16"/>
  <c r="J93" i="16"/>
  <c r="L93" i="16"/>
  <c r="I93" i="16"/>
  <c r="K93" i="16"/>
  <c r="N93" i="16"/>
  <c r="G75" i="16"/>
  <c r="N83" i="16"/>
  <c r="G83" i="16"/>
  <c r="G93" i="16"/>
  <c r="G107" i="16"/>
  <c r="O110" i="16"/>
  <c r="O114" i="16" s="1"/>
  <c r="F114" i="16"/>
  <c r="V105" i="15"/>
  <c r="V104" i="15"/>
  <c r="V103" i="15"/>
  <c r="V102" i="15"/>
  <c r="V101" i="15"/>
  <c r="V100" i="15"/>
  <c r="V99" i="15"/>
  <c r="V98" i="15"/>
  <c r="V97" i="15"/>
  <c r="W97" i="15" s="1"/>
  <c r="V96" i="15"/>
  <c r="W96" i="15" s="1"/>
  <c r="V95" i="15"/>
  <c r="W95" i="15" s="1"/>
  <c r="V94" i="15"/>
  <c r="V93" i="15"/>
  <c r="W93" i="15" s="1"/>
  <c r="V92" i="15"/>
  <c r="V91" i="15"/>
  <c r="W91" i="15" s="1"/>
  <c r="V90" i="15"/>
  <c r="W90" i="15" s="1"/>
  <c r="V89" i="15"/>
  <c r="V88" i="15"/>
  <c r="V87" i="15"/>
  <c r="W87" i="15" s="1"/>
  <c r="X74" i="15"/>
  <c r="S81" i="15"/>
  <c r="S80" i="15"/>
  <c r="S79" i="15"/>
  <c r="S78" i="15"/>
  <c r="S77" i="15"/>
  <c r="S76" i="15"/>
  <c r="S75" i="15"/>
  <c r="S82" i="15" s="1"/>
  <c r="V81" i="15"/>
  <c r="V80" i="15"/>
  <c r="V79" i="15"/>
  <c r="V78" i="15"/>
  <c r="V77" i="15"/>
  <c r="V76" i="15"/>
  <c r="V75" i="15"/>
  <c r="S71" i="15"/>
  <c r="S70" i="15"/>
  <c r="S69" i="15"/>
  <c r="S68" i="15"/>
  <c r="S67" i="15"/>
  <c r="S66" i="15"/>
  <c r="S65" i="15"/>
  <c r="S63" i="15"/>
  <c r="S62" i="15"/>
  <c r="S61" i="15"/>
  <c r="S72" i="15" s="1"/>
  <c r="V71" i="15"/>
  <c r="W71" i="15"/>
  <c r="V70" i="15"/>
  <c r="W70" i="15" s="1"/>
  <c r="V69" i="15"/>
  <c r="W69" i="15"/>
  <c r="V68" i="15"/>
  <c r="W68" i="15" s="1"/>
  <c r="V67" i="15"/>
  <c r="W67" i="15"/>
  <c r="V66" i="15"/>
  <c r="W66" i="15" s="1"/>
  <c r="V65" i="15"/>
  <c r="W65" i="15"/>
  <c r="V64" i="15"/>
  <c r="W64" i="15" s="1"/>
  <c r="V63" i="15"/>
  <c r="V62" i="15"/>
  <c r="V61" i="15"/>
  <c r="W61" i="15"/>
  <c r="S56" i="15"/>
  <c r="S55" i="15"/>
  <c r="S54" i="15"/>
  <c r="S53" i="15"/>
  <c r="S52" i="15"/>
  <c r="S51" i="15"/>
  <c r="S50" i="15"/>
  <c r="V56" i="15"/>
  <c r="V55" i="15"/>
  <c r="W55" i="15" s="1"/>
  <c r="V54" i="15"/>
  <c r="W54" i="15" s="1"/>
  <c r="V53" i="15"/>
  <c r="W53" i="15" s="1"/>
  <c r="V52" i="15"/>
  <c r="V51" i="15"/>
  <c r="W51" i="15" s="1"/>
  <c r="V50" i="15"/>
  <c r="W50" i="15" s="1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V47" i="15"/>
  <c r="W47" i="15" s="1"/>
  <c r="V46" i="15"/>
  <c r="V45" i="15"/>
  <c r="W45" i="15" s="1"/>
  <c r="V44" i="15"/>
  <c r="V43" i="15"/>
  <c r="W43" i="15" s="1"/>
  <c r="V42" i="15"/>
  <c r="W42" i="15" s="1"/>
  <c r="V41" i="15"/>
  <c r="W41" i="15" s="1"/>
  <c r="V40" i="15"/>
  <c r="V39" i="15"/>
  <c r="W39" i="15" s="1"/>
  <c r="V38" i="15"/>
  <c r="V37" i="15"/>
  <c r="W37" i="15" s="1"/>
  <c r="V36" i="15"/>
  <c r="W36" i="15"/>
  <c r="V35" i="15"/>
  <c r="W35" i="15" s="1"/>
  <c r="V34" i="15"/>
  <c r="W34" i="15"/>
  <c r="S20" i="15"/>
  <c r="S31" i="15"/>
  <c r="S30" i="15"/>
  <c r="S29" i="15"/>
  <c r="S28" i="15"/>
  <c r="S27" i="15"/>
  <c r="S26" i="15"/>
  <c r="S25" i="15"/>
  <c r="S24" i="15"/>
  <c r="S23" i="15"/>
  <c r="S22" i="15"/>
  <c r="S21" i="15"/>
  <c r="S19" i="15"/>
  <c r="S18" i="15"/>
  <c r="S17" i="15"/>
  <c r="S16" i="15"/>
  <c r="S15" i="15"/>
  <c r="V31" i="15"/>
  <c r="W31" i="15" s="1"/>
  <c r="V30" i="15"/>
  <c r="W30" i="15" s="1"/>
  <c r="V29" i="15"/>
  <c r="W29" i="15" s="1"/>
  <c r="V28" i="15"/>
  <c r="W28" i="15" s="1"/>
  <c r="V27" i="15"/>
  <c r="W27" i="15" s="1"/>
  <c r="V26" i="15"/>
  <c r="W26" i="15" s="1"/>
  <c r="V25" i="15"/>
  <c r="W25" i="15" s="1"/>
  <c r="V24" i="15"/>
  <c r="W24" i="15" s="1"/>
  <c r="V23" i="15"/>
  <c r="W23" i="15" s="1"/>
  <c r="V22" i="15"/>
  <c r="W22" i="15" s="1"/>
  <c r="V21" i="15"/>
  <c r="W21" i="15" s="1"/>
  <c r="V20" i="15"/>
  <c r="V19" i="15"/>
  <c r="W19" i="15"/>
  <c r="V18" i="15"/>
  <c r="W18" i="15"/>
  <c r="V17" i="15"/>
  <c r="W17" i="15"/>
  <c r="V16" i="15"/>
  <c r="W16" i="15"/>
  <c r="V15" i="15"/>
  <c r="W5" i="15"/>
  <c r="W7" i="15"/>
  <c r="W9" i="15"/>
  <c r="W11" i="15"/>
  <c r="S11" i="15"/>
  <c r="S10" i="15"/>
  <c r="S9" i="15"/>
  <c r="S8" i="15"/>
  <c r="S7" i="15"/>
  <c r="S6" i="15"/>
  <c r="S5" i="15"/>
  <c r="S4" i="15"/>
  <c r="S12" i="15" s="1"/>
  <c r="S3" i="15"/>
  <c r="V4" i="15"/>
  <c r="W4" i="15" s="1"/>
  <c r="V5" i="15"/>
  <c r="V6" i="15"/>
  <c r="W6" i="15" s="1"/>
  <c r="V7" i="15"/>
  <c r="V8" i="15"/>
  <c r="W8" i="15" s="1"/>
  <c r="V9" i="15"/>
  <c r="V10" i="15"/>
  <c r="W10" i="15" s="1"/>
  <c r="V11" i="15"/>
  <c r="V3" i="15"/>
  <c r="W3" i="15" s="1"/>
  <c r="D64" i="15"/>
  <c r="C65" i="15"/>
  <c r="D120" i="15"/>
  <c r="C120" i="15"/>
  <c r="D119" i="15"/>
  <c r="C119" i="15"/>
  <c r="J119" i="15"/>
  <c r="K119" i="15" s="1"/>
  <c r="D118" i="15"/>
  <c r="C118" i="15"/>
  <c r="K118" i="15"/>
  <c r="D117" i="15"/>
  <c r="C117" i="15"/>
  <c r="K117" i="15" s="1"/>
  <c r="D116" i="15"/>
  <c r="C116" i="15"/>
  <c r="K116" i="15"/>
  <c r="D115" i="15"/>
  <c r="C115" i="15"/>
  <c r="D114" i="15"/>
  <c r="C114" i="15"/>
  <c r="J114" i="15" s="1"/>
  <c r="K114" i="15" s="1"/>
  <c r="D113" i="15"/>
  <c r="C113" i="15"/>
  <c r="D112" i="15"/>
  <c r="C112" i="15"/>
  <c r="K112" i="15"/>
  <c r="D111" i="15"/>
  <c r="C111" i="15"/>
  <c r="K111" i="15"/>
  <c r="D110" i="15"/>
  <c r="C110" i="15"/>
  <c r="K110" i="15"/>
  <c r="J109" i="15"/>
  <c r="K109" i="15" s="1"/>
  <c r="D109" i="15"/>
  <c r="C109" i="15"/>
  <c r="L109" i="15" s="1"/>
  <c r="D105" i="15"/>
  <c r="C105" i="15"/>
  <c r="E105" i="15" s="1"/>
  <c r="D104" i="15"/>
  <c r="E104" i="15"/>
  <c r="C104" i="15"/>
  <c r="J104" i="15" s="1"/>
  <c r="K104" i="15" s="1"/>
  <c r="D103" i="15"/>
  <c r="C103" i="15"/>
  <c r="E103" i="15" s="1"/>
  <c r="D102" i="15"/>
  <c r="C102" i="15"/>
  <c r="E102" i="15" s="1"/>
  <c r="D101" i="15"/>
  <c r="C101" i="15"/>
  <c r="D100" i="15"/>
  <c r="C100" i="15"/>
  <c r="K100" i="15" s="1"/>
  <c r="D99" i="15"/>
  <c r="C99" i="15"/>
  <c r="E99" i="15" s="1"/>
  <c r="D98" i="15"/>
  <c r="C98" i="15"/>
  <c r="D97" i="15"/>
  <c r="C97" i="15"/>
  <c r="D96" i="15"/>
  <c r="C96" i="15"/>
  <c r="K96" i="15" s="1"/>
  <c r="D95" i="15"/>
  <c r="C95" i="15"/>
  <c r="D94" i="15"/>
  <c r="C94" i="15"/>
  <c r="J94" i="15" s="1"/>
  <c r="K94" i="15" s="1"/>
  <c r="D93" i="15"/>
  <c r="C93" i="15"/>
  <c r="J92" i="15"/>
  <c r="K92" i="15" s="1"/>
  <c r="D92" i="15"/>
  <c r="C92" i="15"/>
  <c r="D91" i="15"/>
  <c r="C91" i="15"/>
  <c r="D90" i="15"/>
  <c r="C90" i="15"/>
  <c r="D89" i="15"/>
  <c r="D88" i="15"/>
  <c r="D87" i="15"/>
  <c r="C87" i="15"/>
  <c r="J87" i="15"/>
  <c r="K87" i="15" s="1"/>
  <c r="D81" i="15"/>
  <c r="C81" i="15"/>
  <c r="C71" i="15"/>
  <c r="D80" i="15"/>
  <c r="C80" i="15"/>
  <c r="D79" i="15"/>
  <c r="C79" i="15"/>
  <c r="D78" i="15"/>
  <c r="E78" i="15"/>
  <c r="C78" i="15"/>
  <c r="J78" i="15" s="1"/>
  <c r="K78" i="15" s="1"/>
  <c r="K77" i="15"/>
  <c r="D77" i="15"/>
  <c r="E77" i="15"/>
  <c r="C77" i="15"/>
  <c r="K76" i="15"/>
  <c r="D76" i="15"/>
  <c r="E76" i="15"/>
  <c r="C76" i="15"/>
  <c r="K75" i="15"/>
  <c r="D75" i="15"/>
  <c r="E75" i="15"/>
  <c r="C75" i="15"/>
  <c r="D71" i="15"/>
  <c r="D70" i="15"/>
  <c r="C70" i="15"/>
  <c r="D69" i="15"/>
  <c r="D68" i="15"/>
  <c r="D67" i="15"/>
  <c r="D66" i="15"/>
  <c r="J65" i="15"/>
  <c r="K65" i="15" s="1"/>
  <c r="D65" i="15"/>
  <c r="D63" i="15"/>
  <c r="D62" i="15"/>
  <c r="D61" i="15"/>
  <c r="C61" i="15"/>
  <c r="D56" i="15"/>
  <c r="C56" i="15"/>
  <c r="C69" i="15" s="1"/>
  <c r="D55" i="15"/>
  <c r="C55" i="15"/>
  <c r="D54" i="15"/>
  <c r="C54" i="15"/>
  <c r="K54" i="15" s="1"/>
  <c r="D53" i="15"/>
  <c r="C53" i="15"/>
  <c r="E53" i="15" s="1"/>
  <c r="D52" i="15"/>
  <c r="C52" i="15"/>
  <c r="C64" i="15" s="1"/>
  <c r="D51" i="15"/>
  <c r="C51" i="15"/>
  <c r="C63" i="15" s="1"/>
  <c r="D50" i="15"/>
  <c r="C50" i="15"/>
  <c r="D47" i="15"/>
  <c r="C47" i="15"/>
  <c r="J47" i="15"/>
  <c r="K47" i="15" s="1"/>
  <c r="D46" i="15"/>
  <c r="C46" i="15"/>
  <c r="K46" i="15"/>
  <c r="D45" i="15"/>
  <c r="C45" i="15"/>
  <c r="J45" i="15" s="1"/>
  <c r="K45" i="15" s="1"/>
  <c r="D44" i="15"/>
  <c r="E44" i="15"/>
  <c r="C44" i="15"/>
  <c r="J44" i="15" s="1"/>
  <c r="K44" i="15" s="1"/>
  <c r="J43" i="15"/>
  <c r="K43" i="15" s="1"/>
  <c r="D43" i="15"/>
  <c r="C43" i="15"/>
  <c r="D42" i="15"/>
  <c r="C42" i="15"/>
  <c r="D41" i="15"/>
  <c r="C41" i="15"/>
  <c r="D40" i="15"/>
  <c r="C40" i="15"/>
  <c r="D39" i="15"/>
  <c r="C39" i="15"/>
  <c r="J39" i="15" s="1"/>
  <c r="K39" i="15" s="1"/>
  <c r="D38" i="15"/>
  <c r="C38" i="15"/>
  <c r="K38" i="15"/>
  <c r="D37" i="15"/>
  <c r="E37" i="15"/>
  <c r="C37" i="15"/>
  <c r="J37" i="15"/>
  <c r="K37" i="15" s="1"/>
  <c r="D36" i="15"/>
  <c r="C36" i="15"/>
  <c r="J36" i="15"/>
  <c r="K36" i="15" s="1"/>
  <c r="D35" i="15"/>
  <c r="C35" i="15"/>
  <c r="K35" i="15"/>
  <c r="D34" i="15"/>
  <c r="C34" i="15"/>
  <c r="K34" i="15"/>
  <c r="D31" i="15"/>
  <c r="C31" i="15"/>
  <c r="D30" i="15"/>
  <c r="C30" i="15"/>
  <c r="J30" i="15" s="1"/>
  <c r="K30" i="15"/>
  <c r="D29" i="15"/>
  <c r="C29" i="15"/>
  <c r="K29" i="15" s="1"/>
  <c r="D28" i="15"/>
  <c r="C28" i="15"/>
  <c r="K28" i="15"/>
  <c r="D27" i="15"/>
  <c r="C27" i="15"/>
  <c r="J27" i="15" s="1"/>
  <c r="K27" i="15" s="1"/>
  <c r="D26" i="15"/>
  <c r="C26" i="15"/>
  <c r="J26" i="15" s="1"/>
  <c r="K26" i="15" s="1"/>
  <c r="D25" i="15"/>
  <c r="C25" i="15"/>
  <c r="K25" i="15" s="1"/>
  <c r="D24" i="15"/>
  <c r="C24" i="15"/>
  <c r="K24" i="15"/>
  <c r="D23" i="15"/>
  <c r="C23" i="15"/>
  <c r="J23" i="15" s="1"/>
  <c r="K23" i="15" s="1"/>
  <c r="D22" i="15"/>
  <c r="E22" i="15"/>
  <c r="C22" i="15"/>
  <c r="J22" i="15" s="1"/>
  <c r="K22" i="15" s="1"/>
  <c r="K21" i="15"/>
  <c r="D21" i="15"/>
  <c r="E21" i="15"/>
  <c r="C21" i="15"/>
  <c r="D20" i="15"/>
  <c r="C20" i="15"/>
  <c r="K20" i="15"/>
  <c r="D19" i="15"/>
  <c r="C19" i="15"/>
  <c r="K19" i="15"/>
  <c r="D18" i="15"/>
  <c r="C18" i="15"/>
  <c r="D17" i="15"/>
  <c r="C17" i="15"/>
  <c r="K17" i="15" s="1"/>
  <c r="D16" i="15"/>
  <c r="C16" i="15"/>
  <c r="K16" i="15" s="1"/>
  <c r="D15" i="15"/>
  <c r="C15" i="15"/>
  <c r="J15" i="15" s="1"/>
  <c r="K15" i="15" s="1"/>
  <c r="D11" i="15"/>
  <c r="C11" i="15"/>
  <c r="J11" i="15" s="1"/>
  <c r="D10" i="15"/>
  <c r="C10" i="15"/>
  <c r="K10" i="15"/>
  <c r="D9" i="15"/>
  <c r="C9" i="15"/>
  <c r="J9" i="15" s="1"/>
  <c r="K9" i="15" s="1"/>
  <c r="D8" i="15"/>
  <c r="C8" i="15"/>
  <c r="K8" i="15" s="1"/>
  <c r="D7" i="15"/>
  <c r="C7" i="15"/>
  <c r="D6" i="15"/>
  <c r="C6" i="15"/>
  <c r="K6" i="15" s="1"/>
  <c r="D5" i="15"/>
  <c r="E5" i="15" s="1"/>
  <c r="C5" i="15"/>
  <c r="D4" i="15"/>
  <c r="C4" i="15"/>
  <c r="D3" i="15"/>
  <c r="C3" i="15"/>
  <c r="D2" i="15"/>
  <c r="D22" i="8"/>
  <c r="D12" i="8"/>
  <c r="F16" i="5"/>
  <c r="C23" i="8" s="1"/>
  <c r="D23" i="8" s="1"/>
  <c r="B115" i="13"/>
  <c r="B114" i="13"/>
  <c r="B113" i="13"/>
  <c r="B112" i="13"/>
  <c r="B111" i="13"/>
  <c r="B110" i="13"/>
  <c r="B109" i="13"/>
  <c r="B108" i="13"/>
  <c r="F119" i="13"/>
  <c r="E119" i="13"/>
  <c r="B119" i="13"/>
  <c r="F118" i="13"/>
  <c r="E118" i="13"/>
  <c r="B118" i="13"/>
  <c r="E117" i="13"/>
  <c r="B117" i="13"/>
  <c r="E116" i="13"/>
  <c r="B116" i="13"/>
  <c r="B87" i="13"/>
  <c r="N87" i="13"/>
  <c r="O87" i="13"/>
  <c r="C86" i="9"/>
  <c r="O88" i="13"/>
  <c r="C87" i="9"/>
  <c r="C88" i="9"/>
  <c r="C89" i="9"/>
  <c r="C90" i="9"/>
  <c r="C91" i="9"/>
  <c r="C92" i="9"/>
  <c r="C93" i="9"/>
  <c r="C94" i="9"/>
  <c r="C95" i="9"/>
  <c r="B88" i="13"/>
  <c r="N88" i="13"/>
  <c r="B89" i="13"/>
  <c r="L89" i="13"/>
  <c r="B90" i="13"/>
  <c r="N90" i="13"/>
  <c r="B91" i="13"/>
  <c r="N91" i="13"/>
  <c r="B92" i="13"/>
  <c r="N92" i="13"/>
  <c r="B93" i="13"/>
  <c r="N93" i="13"/>
  <c r="B94" i="13"/>
  <c r="N94" i="13"/>
  <c r="B95" i="13"/>
  <c r="N95" i="13"/>
  <c r="B96" i="13"/>
  <c r="N96" i="13"/>
  <c r="B97" i="13"/>
  <c r="N97" i="13"/>
  <c r="R97" i="13"/>
  <c r="B98" i="13"/>
  <c r="N98" i="13" s="1"/>
  <c r="R98" i="13"/>
  <c r="B99" i="13"/>
  <c r="N99" i="13"/>
  <c r="R99" i="13"/>
  <c r="B100" i="13"/>
  <c r="N100" i="13" s="1"/>
  <c r="R100" i="13"/>
  <c r="B101" i="13"/>
  <c r="N101" i="13"/>
  <c r="R101" i="13"/>
  <c r="B102" i="13"/>
  <c r="N102" i="13" s="1"/>
  <c r="R102" i="13"/>
  <c r="B103" i="13"/>
  <c r="N103" i="13"/>
  <c r="R103" i="13"/>
  <c r="B104" i="13"/>
  <c r="L104" i="13" s="1"/>
  <c r="N104" i="13"/>
  <c r="O105" i="13"/>
  <c r="I105" i="13"/>
  <c r="C118" i="9"/>
  <c r="C103" i="9"/>
  <c r="J103" i="9"/>
  <c r="K103" i="9" s="1"/>
  <c r="C47" i="9"/>
  <c r="C31" i="9"/>
  <c r="C11" i="9"/>
  <c r="D11" i="14"/>
  <c r="E11" i="14"/>
  <c r="F11" i="14"/>
  <c r="C11" i="14"/>
  <c r="F9" i="5"/>
  <c r="J87" i="13"/>
  <c r="J105" i="13" s="1"/>
  <c r="J88" i="13"/>
  <c r="J90" i="13"/>
  <c r="J92" i="13"/>
  <c r="J94" i="13"/>
  <c r="J95" i="13"/>
  <c r="J96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J97" i="13"/>
  <c r="L103" i="13"/>
  <c r="J103" i="13"/>
  <c r="L102" i="13"/>
  <c r="J102" i="13"/>
  <c r="L101" i="13"/>
  <c r="J101" i="13"/>
  <c r="L100" i="13"/>
  <c r="J100" i="13"/>
  <c r="L99" i="13"/>
  <c r="J99" i="13"/>
  <c r="L98" i="13"/>
  <c r="J98" i="13"/>
  <c r="L97" i="13"/>
  <c r="P4" i="9"/>
  <c r="K86" i="9"/>
  <c r="J88" i="9"/>
  <c r="K88" i="9"/>
  <c r="K89" i="9"/>
  <c r="J90" i="9"/>
  <c r="K90" i="9" s="1"/>
  <c r="K104" i="9" s="1"/>
  <c r="J92" i="9"/>
  <c r="K92" i="9" s="1"/>
  <c r="K94" i="9"/>
  <c r="K95" i="9"/>
  <c r="K91" i="9"/>
  <c r="K93" i="9"/>
  <c r="K11" i="9"/>
  <c r="J31" i="9"/>
  <c r="K31" i="9"/>
  <c r="J47" i="9"/>
  <c r="K47" i="9"/>
  <c r="J118" i="9"/>
  <c r="K118" i="9"/>
  <c r="E15" i="5"/>
  <c r="F15" i="5" s="1"/>
  <c r="C20" i="8" s="1"/>
  <c r="D20" i="8" s="1"/>
  <c r="D14" i="8"/>
  <c r="P67" i="15" s="1"/>
  <c r="P66" i="9"/>
  <c r="C15" i="8"/>
  <c r="D15" i="8"/>
  <c r="F43" i="5"/>
  <c r="C21" i="8" s="1"/>
  <c r="D21" i="8" s="1"/>
  <c r="D13" i="8"/>
  <c r="P38" i="15" s="1"/>
  <c r="F44" i="5"/>
  <c r="P91" i="9" s="1"/>
  <c r="D8" i="8"/>
  <c r="D9" i="8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07" i="13"/>
  <c r="C108" i="9"/>
  <c r="D108" i="9"/>
  <c r="E108" i="9" s="1"/>
  <c r="C107" i="9"/>
  <c r="C109" i="9"/>
  <c r="C110" i="9"/>
  <c r="C111" i="9"/>
  <c r="C112" i="9"/>
  <c r="C113" i="9"/>
  <c r="C114" i="9"/>
  <c r="C115" i="9"/>
  <c r="C116" i="9"/>
  <c r="C117" i="9"/>
  <c r="L107" i="9"/>
  <c r="D107" i="9"/>
  <c r="E107" i="9"/>
  <c r="D109" i="9"/>
  <c r="E109" i="9"/>
  <c r="D110" i="9"/>
  <c r="E110" i="9" s="1"/>
  <c r="D111" i="9"/>
  <c r="E111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C85" i="9"/>
  <c r="C96" i="9"/>
  <c r="C97" i="9"/>
  <c r="E97" i="9" s="1"/>
  <c r="C98" i="9"/>
  <c r="C99" i="9"/>
  <c r="C100" i="9"/>
  <c r="C101" i="9"/>
  <c r="E101" i="9" s="1"/>
  <c r="C102" i="9"/>
  <c r="D85" i="9"/>
  <c r="E85" i="9"/>
  <c r="D86" i="9"/>
  <c r="E86" i="9"/>
  <c r="D87" i="9"/>
  <c r="D88" i="9"/>
  <c r="E88" i="9" s="1"/>
  <c r="D89" i="9"/>
  <c r="D90" i="9"/>
  <c r="E90" i="9"/>
  <c r="D91" i="9"/>
  <c r="E91" i="9"/>
  <c r="D92" i="9"/>
  <c r="E92" i="9"/>
  <c r="D93" i="9"/>
  <c r="D94" i="9"/>
  <c r="E94" i="9" s="1"/>
  <c r="D95" i="9"/>
  <c r="E95" i="9" s="1"/>
  <c r="D96" i="9"/>
  <c r="E96" i="9" s="1"/>
  <c r="D97" i="9"/>
  <c r="D98" i="9"/>
  <c r="E98" i="9"/>
  <c r="D99" i="9"/>
  <c r="E99" i="9" s="1"/>
  <c r="D100" i="9"/>
  <c r="E100" i="9" s="1"/>
  <c r="D101" i="9"/>
  <c r="D102" i="9"/>
  <c r="E102" i="9"/>
  <c r="D103" i="9"/>
  <c r="E103" i="9"/>
  <c r="C3" i="9"/>
  <c r="C4" i="9"/>
  <c r="C5" i="9"/>
  <c r="C6" i="9"/>
  <c r="C7" i="9"/>
  <c r="C8" i="9"/>
  <c r="C9" i="9"/>
  <c r="C10" i="9"/>
  <c r="D3" i="9"/>
  <c r="E3" i="9"/>
  <c r="D4" i="9"/>
  <c r="E4" i="9"/>
  <c r="D5" i="9"/>
  <c r="E5" i="9"/>
  <c r="D6" i="9"/>
  <c r="E6" i="9"/>
  <c r="D7" i="9"/>
  <c r="E7" i="9"/>
  <c r="D8" i="9"/>
  <c r="E8" i="9"/>
  <c r="D9" i="9"/>
  <c r="E9" i="9" s="1"/>
  <c r="D10" i="9"/>
  <c r="E10" i="9" s="1"/>
  <c r="D11" i="9"/>
  <c r="C15" i="9"/>
  <c r="C16" i="9"/>
  <c r="E16" i="9" s="1"/>
  <c r="C17" i="9"/>
  <c r="C18" i="9"/>
  <c r="C19" i="9"/>
  <c r="C20" i="9"/>
  <c r="C21" i="9"/>
  <c r="C22" i="9"/>
  <c r="C23" i="9"/>
  <c r="C24" i="9"/>
  <c r="E24" i="9" s="1"/>
  <c r="C25" i="9"/>
  <c r="C26" i="9"/>
  <c r="C27" i="9"/>
  <c r="C28" i="9"/>
  <c r="C29" i="9"/>
  <c r="C30" i="9"/>
  <c r="D15" i="9"/>
  <c r="E15" i="9"/>
  <c r="D16" i="9"/>
  <c r="D17" i="9"/>
  <c r="E17" i="9" s="1"/>
  <c r="D18" i="9"/>
  <c r="E18" i="9" s="1"/>
  <c r="D19" i="9"/>
  <c r="E19" i="9" s="1"/>
  <c r="D20" i="9"/>
  <c r="E20" i="9" s="1"/>
  <c r="D21" i="9"/>
  <c r="E21" i="9"/>
  <c r="D22" i="9"/>
  <c r="E22" i="9"/>
  <c r="D23" i="9"/>
  <c r="E23" i="9" s="1"/>
  <c r="D24" i="9"/>
  <c r="D25" i="9"/>
  <c r="E25" i="9"/>
  <c r="D26" i="9"/>
  <c r="E26" i="9" s="1"/>
  <c r="D27" i="9"/>
  <c r="E27" i="9" s="1"/>
  <c r="D28" i="9"/>
  <c r="E28" i="9" s="1"/>
  <c r="D29" i="9"/>
  <c r="E29" i="9"/>
  <c r="D30" i="9"/>
  <c r="E30" i="9"/>
  <c r="D31" i="9"/>
  <c r="E31" i="9"/>
  <c r="C34" i="9"/>
  <c r="C35" i="9"/>
  <c r="C36" i="9"/>
  <c r="C37" i="9"/>
  <c r="E37" i="9" s="1"/>
  <c r="C38" i="9"/>
  <c r="C39" i="9"/>
  <c r="C40" i="9"/>
  <c r="C41" i="9"/>
  <c r="E41" i="9" s="1"/>
  <c r="C42" i="9"/>
  <c r="E42" i="9" s="1"/>
  <c r="C43" i="9"/>
  <c r="C44" i="9"/>
  <c r="C45" i="9"/>
  <c r="E45" i="9" s="1"/>
  <c r="C46" i="9"/>
  <c r="D34" i="9"/>
  <c r="E34" i="9" s="1"/>
  <c r="D35" i="9"/>
  <c r="E35" i="9" s="1"/>
  <c r="D36" i="9"/>
  <c r="E36" i="9" s="1"/>
  <c r="D37" i="9"/>
  <c r="D38" i="9"/>
  <c r="E38" i="9" s="1"/>
  <c r="D39" i="9"/>
  <c r="E39" i="9" s="1"/>
  <c r="D40" i="9"/>
  <c r="E40" i="9" s="1"/>
  <c r="D41" i="9"/>
  <c r="D42" i="9"/>
  <c r="D43" i="9"/>
  <c r="E43" i="9" s="1"/>
  <c r="D44" i="9"/>
  <c r="E44" i="9"/>
  <c r="D45" i="9"/>
  <c r="D46" i="9"/>
  <c r="E46" i="9" s="1"/>
  <c r="D47" i="9"/>
  <c r="E47" i="9"/>
  <c r="C50" i="9"/>
  <c r="C51" i="9"/>
  <c r="L50" i="9" s="1"/>
  <c r="C52" i="9"/>
  <c r="C53" i="9"/>
  <c r="C54" i="9"/>
  <c r="C55" i="9"/>
  <c r="C56" i="9"/>
  <c r="D50" i="9"/>
  <c r="E50" i="9" s="1"/>
  <c r="D51" i="9"/>
  <c r="D52" i="9"/>
  <c r="E52" i="9"/>
  <c r="D53" i="9"/>
  <c r="E53" i="9"/>
  <c r="D54" i="9"/>
  <c r="E54" i="9" s="1"/>
  <c r="D55" i="9"/>
  <c r="E55" i="9" s="1"/>
  <c r="D56" i="9"/>
  <c r="E56" i="9" s="1"/>
  <c r="C61" i="9"/>
  <c r="C62" i="9"/>
  <c r="L61" i="9" s="1"/>
  <c r="C63" i="9"/>
  <c r="C64" i="9"/>
  <c r="C65" i="9"/>
  <c r="C66" i="9"/>
  <c r="C67" i="9"/>
  <c r="C68" i="9"/>
  <c r="E68" i="9" s="1"/>
  <c r="C69" i="9"/>
  <c r="C70" i="9"/>
  <c r="D61" i="9"/>
  <c r="E61" i="9" s="1"/>
  <c r="D62" i="9"/>
  <c r="E62" i="9" s="1"/>
  <c r="D63" i="9"/>
  <c r="E63" i="9"/>
  <c r="D64" i="9"/>
  <c r="E64" i="9" s="1"/>
  <c r="D65" i="9"/>
  <c r="E65" i="9" s="1"/>
  <c r="D66" i="9"/>
  <c r="E66" i="9" s="1"/>
  <c r="D67" i="9"/>
  <c r="E67" i="9"/>
  <c r="D68" i="9"/>
  <c r="D69" i="9"/>
  <c r="E69" i="9" s="1"/>
  <c r="D70" i="9"/>
  <c r="E70" i="9" s="1"/>
  <c r="C73" i="9"/>
  <c r="C74" i="9"/>
  <c r="C75" i="9"/>
  <c r="L73" i="9" s="1"/>
  <c r="C76" i="9"/>
  <c r="C77" i="9"/>
  <c r="C78" i="9"/>
  <c r="C79" i="9"/>
  <c r="E79" i="9" s="1"/>
  <c r="D73" i="9"/>
  <c r="D74" i="9"/>
  <c r="E74" i="9"/>
  <c r="D75" i="9"/>
  <c r="D76" i="9"/>
  <c r="E76" i="9" s="1"/>
  <c r="D77" i="9"/>
  <c r="E77" i="9" s="1"/>
  <c r="D78" i="9"/>
  <c r="E78" i="9"/>
  <c r="D79" i="9"/>
  <c r="D10" i="8"/>
  <c r="D11" i="8"/>
  <c r="B86" i="13"/>
  <c r="B76" i="13"/>
  <c r="B77" i="13"/>
  <c r="B78" i="13"/>
  <c r="B79" i="13"/>
  <c r="B80" i="13"/>
  <c r="B81" i="13"/>
  <c r="B75" i="13"/>
  <c r="B63" i="13"/>
  <c r="B64" i="13"/>
  <c r="B65" i="13"/>
  <c r="B66" i="13"/>
  <c r="B67" i="13"/>
  <c r="B68" i="13"/>
  <c r="B69" i="13"/>
  <c r="B70" i="13"/>
  <c r="B71" i="13"/>
  <c r="B62" i="13"/>
  <c r="B53" i="13"/>
  <c r="B54" i="13"/>
  <c r="B55" i="13"/>
  <c r="B56" i="13"/>
  <c r="B57" i="13"/>
  <c r="B58" i="13"/>
  <c r="B52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3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16" i="13"/>
  <c r="B8" i="13"/>
  <c r="B9" i="13"/>
  <c r="B10" i="13"/>
  <c r="B11" i="13"/>
  <c r="B12" i="13"/>
  <c r="B13" i="13"/>
  <c r="B14" i="13"/>
  <c r="B15" i="13"/>
  <c r="B7" i="13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K116" i="9"/>
  <c r="K115" i="9"/>
  <c r="K114" i="9"/>
  <c r="K110" i="9"/>
  <c r="K109" i="9"/>
  <c r="K108" i="9"/>
  <c r="K101" i="9"/>
  <c r="K99" i="9"/>
  <c r="K98" i="9"/>
  <c r="K79" i="9"/>
  <c r="K78" i="9"/>
  <c r="K77" i="9"/>
  <c r="K75" i="9"/>
  <c r="K74" i="9"/>
  <c r="K73" i="9"/>
  <c r="K70" i="9"/>
  <c r="K69" i="9"/>
  <c r="K68" i="9"/>
  <c r="K66" i="9"/>
  <c r="K63" i="9"/>
  <c r="K62" i="9"/>
  <c r="K61" i="9"/>
  <c r="K56" i="9"/>
  <c r="K54" i="9"/>
  <c r="K52" i="9"/>
  <c r="K51" i="9"/>
  <c r="K50" i="9"/>
  <c r="K46" i="9"/>
  <c r="K42" i="9"/>
  <c r="K41" i="9"/>
  <c r="K40" i="9"/>
  <c r="K38" i="9"/>
  <c r="K35" i="9"/>
  <c r="K34" i="9"/>
  <c r="K29" i="9"/>
  <c r="K28" i="9"/>
  <c r="K25" i="9"/>
  <c r="K24" i="9"/>
  <c r="K20" i="9"/>
  <c r="K21" i="9"/>
  <c r="K19" i="9"/>
  <c r="K17" i="9"/>
  <c r="K16" i="9"/>
  <c r="K10" i="9"/>
  <c r="K7" i="9"/>
  <c r="K8" i="9"/>
  <c r="K6" i="9"/>
  <c r="K4" i="9"/>
  <c r="B36" i="12"/>
  <c r="B37" i="12" s="1"/>
  <c r="B38" i="12" s="1"/>
  <c r="B39" i="12" s="1"/>
  <c r="B40" i="12" s="1"/>
  <c r="B41" i="12" s="1"/>
  <c r="B42" i="12" s="1"/>
  <c r="B43" i="12" s="1"/>
  <c r="B44" i="12" s="1"/>
  <c r="C119" i="9"/>
  <c r="J45" i="9"/>
  <c r="K45" i="9" s="1"/>
  <c r="J44" i="9"/>
  <c r="K44" i="9" s="1"/>
  <c r="J43" i="9"/>
  <c r="K43" i="9" s="1"/>
  <c r="J39" i="9"/>
  <c r="K39" i="9" s="1"/>
  <c r="J37" i="9"/>
  <c r="K37" i="9" s="1"/>
  <c r="J36" i="9"/>
  <c r="K36" i="9" s="1"/>
  <c r="J3" i="9"/>
  <c r="K3" i="9" s="1"/>
  <c r="J5" i="9"/>
  <c r="K5" i="9" s="1"/>
  <c r="J9" i="9"/>
  <c r="K9" i="9" s="1"/>
  <c r="J11" i="9"/>
  <c r="D2" i="9"/>
  <c r="F12" i="7"/>
  <c r="F11" i="7"/>
  <c r="F28" i="5"/>
  <c r="F19" i="4"/>
  <c r="F10" i="4"/>
  <c r="F18" i="4"/>
  <c r="F17" i="4"/>
  <c r="F16" i="4"/>
  <c r="F15" i="4"/>
  <c r="H15" i="4" s="1"/>
  <c r="H60" i="4" s="1"/>
  <c r="F11" i="4"/>
  <c r="F12" i="4"/>
  <c r="F9" i="4"/>
  <c r="F51" i="5"/>
  <c r="F50" i="5"/>
  <c r="F49" i="5"/>
  <c r="F48" i="5"/>
  <c r="F46" i="5"/>
  <c r="F45" i="5"/>
  <c r="F32" i="5"/>
  <c r="F31" i="5"/>
  <c r="J15" i="9"/>
  <c r="K15" i="9" s="1"/>
  <c r="J18" i="9"/>
  <c r="K18" i="9" s="1"/>
  <c r="J22" i="9"/>
  <c r="K22" i="9" s="1"/>
  <c r="J23" i="9"/>
  <c r="K23" i="9" s="1"/>
  <c r="J26" i="9"/>
  <c r="K26" i="9" s="1"/>
  <c r="J27" i="9"/>
  <c r="K27" i="9" s="1"/>
  <c r="J30" i="9"/>
  <c r="K30" i="9" s="1"/>
  <c r="J53" i="9"/>
  <c r="K53" i="9" s="1"/>
  <c r="K57" i="9" s="1"/>
  <c r="J55" i="9"/>
  <c r="K55" i="9"/>
  <c r="J64" i="9"/>
  <c r="K64" i="9"/>
  <c r="K71" i="9" s="1"/>
  <c r="J65" i="9"/>
  <c r="K65" i="9"/>
  <c r="J67" i="9"/>
  <c r="K67" i="9" s="1"/>
  <c r="J76" i="9"/>
  <c r="K76" i="9" s="1"/>
  <c r="K80" i="9" s="1"/>
  <c r="J85" i="9"/>
  <c r="K85" i="9"/>
  <c r="J96" i="9"/>
  <c r="K96" i="9"/>
  <c r="J97" i="9"/>
  <c r="K97" i="9"/>
  <c r="J100" i="9"/>
  <c r="K100" i="9"/>
  <c r="J102" i="9"/>
  <c r="K102" i="9"/>
  <c r="J107" i="9"/>
  <c r="K107" i="9"/>
  <c r="J111" i="9"/>
  <c r="K111" i="9"/>
  <c r="J112" i="9"/>
  <c r="K112" i="9"/>
  <c r="J113" i="9"/>
  <c r="K113" i="9"/>
  <c r="J117" i="9"/>
  <c r="K117" i="9"/>
  <c r="H3" i="11"/>
  <c r="D10" i="11"/>
  <c r="D3" i="11"/>
  <c r="D21" i="11"/>
  <c r="D20" i="11"/>
  <c r="D19" i="11"/>
  <c r="D18" i="11"/>
  <c r="D17" i="11"/>
  <c r="D16" i="11"/>
  <c r="D15" i="11"/>
  <c r="D14" i="11"/>
  <c r="D13" i="11"/>
  <c r="D12" i="11"/>
  <c r="D11" i="11"/>
  <c r="D9" i="11"/>
  <c r="D8" i="11"/>
  <c r="D7" i="11"/>
  <c r="D6" i="11"/>
  <c r="D5" i="11"/>
  <c r="D4" i="11"/>
  <c r="D22" i="11" s="1"/>
  <c r="J6" i="11"/>
  <c r="C22" i="11"/>
  <c r="E18" i="6"/>
  <c r="P19" i="9" s="1"/>
  <c r="E19" i="6"/>
  <c r="P39" i="15" s="1"/>
  <c r="E20" i="6"/>
  <c r="E21" i="6"/>
  <c r="P55" i="9"/>
  <c r="E22" i="6"/>
  <c r="P67" i="9"/>
  <c r="E23" i="6"/>
  <c r="E24" i="6"/>
  <c r="P94" i="15" s="1"/>
  <c r="E25" i="6"/>
  <c r="E26" i="6"/>
  <c r="E28" i="6"/>
  <c r="C24" i="8" s="1"/>
  <c r="D24" i="8" s="1"/>
  <c r="E27" i="6"/>
  <c r="P112" i="15" s="1"/>
  <c r="P110" i="9"/>
  <c r="E17" i="6"/>
  <c r="P6" i="15" s="1"/>
  <c r="P6" i="9"/>
  <c r="C28" i="6"/>
  <c r="F10" i="7"/>
  <c r="P111" i="15" s="1"/>
  <c r="F22" i="4"/>
  <c r="F44" i="4"/>
  <c r="F45" i="4"/>
  <c r="F46" i="4"/>
  <c r="F47" i="4"/>
  <c r="F48" i="4"/>
  <c r="F49" i="4"/>
  <c r="F50" i="4"/>
  <c r="F36" i="4"/>
  <c r="F37" i="4"/>
  <c r="F38" i="4"/>
  <c r="F39" i="4"/>
  <c r="F40" i="4"/>
  <c r="F41" i="4"/>
  <c r="F29" i="4"/>
  <c r="J29" i="4" s="1"/>
  <c r="F30" i="4"/>
  <c r="F31" i="4"/>
  <c r="F32" i="4"/>
  <c r="F33" i="4"/>
  <c r="F23" i="4"/>
  <c r="F24" i="4"/>
  <c r="F25" i="4"/>
  <c r="F27" i="4"/>
  <c r="F26" i="4"/>
  <c r="F53" i="4"/>
  <c r="F54" i="4"/>
  <c r="F55" i="4"/>
  <c r="F56" i="4"/>
  <c r="F57" i="4"/>
  <c r="F58" i="4"/>
  <c r="E7" i="6"/>
  <c r="E8" i="6"/>
  <c r="F8" i="6"/>
  <c r="G8" i="6" s="1"/>
  <c r="E9" i="6"/>
  <c r="H9" i="6" s="1"/>
  <c r="E10" i="6"/>
  <c r="F10" i="6"/>
  <c r="G10" i="6" s="1"/>
  <c r="H10" i="6"/>
  <c r="C11" i="6"/>
  <c r="B58" i="5"/>
  <c r="F10" i="5"/>
  <c r="C11" i="5"/>
  <c r="F11" i="5" s="1"/>
  <c r="C18" i="5"/>
  <c r="F18" i="5" s="1"/>
  <c r="I18" i="5" s="1"/>
  <c r="I52" i="5" s="1"/>
  <c r="C19" i="5"/>
  <c r="F19" i="5" s="1"/>
  <c r="F20" i="5"/>
  <c r="C23" i="5"/>
  <c r="F23" i="5"/>
  <c r="J23" i="5" s="1"/>
  <c r="J52" i="5" s="1"/>
  <c r="C24" i="5"/>
  <c r="F24" i="5"/>
  <c r="C25" i="5"/>
  <c r="F25" i="5"/>
  <c r="C29" i="5"/>
  <c r="F29" i="5"/>
  <c r="K28" i="5" s="1"/>
  <c r="K52" i="5" s="1"/>
  <c r="C30" i="5"/>
  <c r="F30" i="5"/>
  <c r="C35" i="5"/>
  <c r="F35" i="5"/>
  <c r="L35" i="5" s="1"/>
  <c r="L52" i="5" s="1"/>
  <c r="C36" i="5"/>
  <c r="F36" i="5"/>
  <c r="C37" i="5"/>
  <c r="F37" i="5"/>
  <c r="F38" i="5"/>
  <c r="F39" i="5"/>
  <c r="F40" i="5"/>
  <c r="C47" i="5"/>
  <c r="F47" i="5" s="1"/>
  <c r="M43" i="5" s="1"/>
  <c r="M52" i="5" s="1"/>
  <c r="C19" i="8"/>
  <c r="F9" i="6"/>
  <c r="G9" i="6" s="1"/>
  <c r="K36" i="4"/>
  <c r="K60" i="4" s="1"/>
  <c r="I22" i="4"/>
  <c r="I60" i="4" s="1"/>
  <c r="C17" i="8"/>
  <c r="D17" i="8" s="1"/>
  <c r="H8" i="6"/>
  <c r="M53" i="4"/>
  <c r="M60" i="4"/>
  <c r="G10" i="7"/>
  <c r="G14" i="7"/>
  <c r="P110" i="15" s="1"/>
  <c r="P79" i="9"/>
  <c r="K119" i="9"/>
  <c r="H7" i="6"/>
  <c r="F7" i="6"/>
  <c r="G7" i="6"/>
  <c r="L44" i="4"/>
  <c r="L60" i="4"/>
  <c r="E73" i="9"/>
  <c r="L3" i="9"/>
  <c r="M3" i="9" s="1"/>
  <c r="C16" i="8"/>
  <c r="D16" i="8"/>
  <c r="E93" i="9"/>
  <c r="E89" i="9"/>
  <c r="L34" i="9"/>
  <c r="E87" i="9"/>
  <c r="K87" i="9"/>
  <c r="E51" i="9"/>
  <c r="L15" i="9"/>
  <c r="M15" i="9" s="1"/>
  <c r="L85" i="9"/>
  <c r="E11" i="9"/>
  <c r="R93" i="13"/>
  <c r="R91" i="13"/>
  <c r="R89" i="13"/>
  <c r="L93" i="13"/>
  <c r="L91" i="13"/>
  <c r="L105" i="13" s="1"/>
  <c r="N89" i="13"/>
  <c r="P108" i="9"/>
  <c r="G63" i="4"/>
  <c r="M85" i="9"/>
  <c r="M34" i="9"/>
  <c r="F36" i="9" s="1"/>
  <c r="F44" i="9"/>
  <c r="N34" i="9"/>
  <c r="F92" i="9"/>
  <c r="F88" i="9"/>
  <c r="F21" i="9"/>
  <c r="F99" i="9"/>
  <c r="F91" i="9"/>
  <c r="F40" i="9"/>
  <c r="F89" i="9"/>
  <c r="F47" i="9"/>
  <c r="F11" i="9"/>
  <c r="F93" i="9"/>
  <c r="F103" i="9"/>
  <c r="E95" i="15"/>
  <c r="E97" i="15"/>
  <c r="E101" i="15"/>
  <c r="E18" i="15"/>
  <c r="E31" i="15"/>
  <c r="E115" i="15"/>
  <c r="E55" i="15"/>
  <c r="K63" i="15"/>
  <c r="E63" i="15"/>
  <c r="E3" i="15"/>
  <c r="E4" i="15"/>
  <c r="E7" i="15"/>
  <c r="E8" i="15"/>
  <c r="E9" i="15"/>
  <c r="E26" i="15"/>
  <c r="J31" i="15"/>
  <c r="K31" i="15" s="1"/>
  <c r="E51" i="15"/>
  <c r="K52" i="15"/>
  <c r="J55" i="15"/>
  <c r="K55" i="15" s="1"/>
  <c r="K56" i="15"/>
  <c r="L75" i="15"/>
  <c r="E87" i="15"/>
  <c r="E92" i="15"/>
  <c r="K95" i="15"/>
  <c r="K101" i="15"/>
  <c r="J102" i="15"/>
  <c r="K102" i="15"/>
  <c r="E109" i="15"/>
  <c r="E113" i="15"/>
  <c r="E114" i="15"/>
  <c r="E120" i="15"/>
  <c r="E65" i="15"/>
  <c r="J18" i="15"/>
  <c r="K18" i="15" s="1"/>
  <c r="E23" i="15"/>
  <c r="E27" i="15"/>
  <c r="E43" i="15"/>
  <c r="L50" i="15"/>
  <c r="K51" i="15"/>
  <c r="E91" i="15"/>
  <c r="E98" i="15"/>
  <c r="C66" i="15"/>
  <c r="J66" i="15"/>
  <c r="K66" i="15" s="1"/>
  <c r="C62" i="15"/>
  <c r="C67" i="15"/>
  <c r="K67" i="15"/>
  <c r="E10" i="15"/>
  <c r="E19" i="15"/>
  <c r="E20" i="15"/>
  <c r="L34" i="15"/>
  <c r="E52" i="15"/>
  <c r="E56" i="15"/>
  <c r="K91" i="15"/>
  <c r="Q110" i="15"/>
  <c r="E119" i="15"/>
  <c r="C68" i="15"/>
  <c r="J68" i="15"/>
  <c r="E96" i="15"/>
  <c r="K97" i="15"/>
  <c r="E64" i="15"/>
  <c r="L3" i="15"/>
  <c r="E6" i="15"/>
  <c r="K7" i="15"/>
  <c r="E30" i="15"/>
  <c r="E35" i="15"/>
  <c r="E36" i="15"/>
  <c r="E38" i="15"/>
  <c r="E39" i="15"/>
  <c r="E45" i="15"/>
  <c r="E47" i="15"/>
  <c r="E50" i="15"/>
  <c r="K50" i="15"/>
  <c r="K61" i="15"/>
  <c r="J90" i="15"/>
  <c r="K90" i="15" s="1"/>
  <c r="E90" i="15"/>
  <c r="E17" i="15"/>
  <c r="E25" i="15"/>
  <c r="E29" i="15"/>
  <c r="E34" i="15"/>
  <c r="E46" i="15"/>
  <c r="E54" i="15"/>
  <c r="M50" i="15" s="1"/>
  <c r="E61" i="15"/>
  <c r="K79" i="15"/>
  <c r="K82" i="15" s="1"/>
  <c r="E79" i="15"/>
  <c r="K80" i="15"/>
  <c r="E80" i="15"/>
  <c r="K81" i="15"/>
  <c r="E81" i="15"/>
  <c r="E24" i="15"/>
  <c r="E28" i="15"/>
  <c r="K69" i="15"/>
  <c r="E69" i="15"/>
  <c r="K70" i="15"/>
  <c r="E70" i="15"/>
  <c r="K71" i="15"/>
  <c r="E71" i="15"/>
  <c r="K93" i="15"/>
  <c r="E93" i="15"/>
  <c r="J98" i="15"/>
  <c r="K98" i="15"/>
  <c r="J113" i="15"/>
  <c r="K113" i="15"/>
  <c r="P114" i="15"/>
  <c r="J115" i="15"/>
  <c r="K115" i="15" s="1"/>
  <c r="K121" i="15" s="1"/>
  <c r="E116" i="15"/>
  <c r="E117" i="15"/>
  <c r="J120" i="15"/>
  <c r="K120" i="15" s="1"/>
  <c r="E94" i="15"/>
  <c r="E100" i="15"/>
  <c r="E110" i="15"/>
  <c r="P113" i="15"/>
  <c r="E111" i="15"/>
  <c r="E112" i="15"/>
  <c r="E118" i="15"/>
  <c r="M109" i="15"/>
  <c r="F117" i="15" s="1"/>
  <c r="G117" i="15" s="1"/>
  <c r="H117" i="15" s="1"/>
  <c r="E68" i="15"/>
  <c r="K68" i="15"/>
  <c r="K62" i="15"/>
  <c r="E62" i="15"/>
  <c r="E67" i="15"/>
  <c r="P116" i="15"/>
  <c r="F118" i="15"/>
  <c r="L61" i="15"/>
  <c r="F110" i="15"/>
  <c r="N109" i="15"/>
  <c r="F115" i="15"/>
  <c r="F119" i="15"/>
  <c r="F113" i="15"/>
  <c r="F111" i="15"/>
  <c r="F109" i="15"/>
  <c r="F116" i="15"/>
  <c r="F114" i="15"/>
  <c r="F121" i="15" s="1"/>
  <c r="M75" i="15"/>
  <c r="F75" i="15" s="1"/>
  <c r="O109" i="15"/>
  <c r="F112" i="15"/>
  <c r="F120" i="15"/>
  <c r="G120" i="15" s="1"/>
  <c r="H120" i="15" s="1"/>
  <c r="I120" i="15" s="1"/>
  <c r="F76" i="15"/>
  <c r="E66" i="15"/>
  <c r="F80" i="15"/>
  <c r="N75" i="15"/>
  <c r="G114" i="15"/>
  <c r="H114" i="15" s="1"/>
  <c r="I114" i="15" s="1"/>
  <c r="G113" i="15"/>
  <c r="H113" i="15"/>
  <c r="I113" i="15" s="1"/>
  <c r="G110" i="15"/>
  <c r="H110" i="15" s="1"/>
  <c r="G116" i="15"/>
  <c r="H116" i="15" s="1"/>
  <c r="G109" i="15"/>
  <c r="G121" i="15" s="1"/>
  <c r="G111" i="15"/>
  <c r="H111" i="15"/>
  <c r="G112" i="15"/>
  <c r="H112" i="15" s="1"/>
  <c r="G119" i="15"/>
  <c r="H119" i="15" s="1"/>
  <c r="I119" i="15" s="1"/>
  <c r="G118" i="15"/>
  <c r="H118" i="15"/>
  <c r="G115" i="15"/>
  <c r="H115" i="15"/>
  <c r="I115" i="15" s="1"/>
  <c r="M61" i="15"/>
  <c r="F66" i="15"/>
  <c r="F71" i="15"/>
  <c r="F65" i="15"/>
  <c r="F70" i="15"/>
  <c r="N61" i="15"/>
  <c r="F63" i="15"/>
  <c r="F67" i="15"/>
  <c r="F68" i="15"/>
  <c r="F64" i="15"/>
  <c r="F62" i="15"/>
  <c r="F61" i="15"/>
  <c r="F72" i="15" s="1"/>
  <c r="F69" i="15"/>
  <c r="H109" i="15"/>
  <c r="I109" i="15" s="1"/>
  <c r="S57" i="15"/>
  <c r="W52" i="15"/>
  <c r="X52" i="15"/>
  <c r="W56" i="15"/>
  <c r="X56" i="15"/>
  <c r="W46" i="15"/>
  <c r="X46" i="15"/>
  <c r="W44" i="15"/>
  <c r="X44" i="15"/>
  <c r="W40" i="15"/>
  <c r="X40" i="15"/>
  <c r="W38" i="15"/>
  <c r="X38" i="15"/>
  <c r="S48" i="15"/>
  <c r="W20" i="15"/>
  <c r="X20" i="15" s="1"/>
  <c r="S32" i="15"/>
  <c r="W15" i="15"/>
  <c r="X15" i="15" s="1"/>
  <c r="W32" i="15"/>
  <c r="W57" i="15"/>
  <c r="W81" i="15"/>
  <c r="X81" i="15" s="1"/>
  <c r="W80" i="15"/>
  <c r="X80" i="15" s="1"/>
  <c r="W79" i="15"/>
  <c r="X79" i="15" s="1"/>
  <c r="W78" i="15"/>
  <c r="X78" i="15" s="1"/>
  <c r="W77" i="15"/>
  <c r="X77" i="15" s="1"/>
  <c r="W76" i="15"/>
  <c r="X76" i="15" s="1"/>
  <c r="W75" i="15"/>
  <c r="W63" i="15"/>
  <c r="Z63" i="15" s="1"/>
  <c r="X63" i="15"/>
  <c r="W62" i="15"/>
  <c r="X62" i="15"/>
  <c r="D19" i="8" l="1"/>
  <c r="F88" i="16" s="1"/>
  <c r="F93" i="16" s="1"/>
  <c r="D88" i="16"/>
  <c r="D93" i="16" s="1"/>
  <c r="D100" i="16" s="1"/>
  <c r="D119" i="16" s="1"/>
  <c r="BF39" i="17"/>
  <c r="CB39" i="17" s="1"/>
  <c r="AV16" i="21"/>
  <c r="AV21" i="21"/>
  <c r="BF26" i="17"/>
  <c r="CB26" i="17" s="1"/>
  <c r="BF15" i="17"/>
  <c r="CB15" i="17" s="1"/>
  <c r="AV30" i="21"/>
  <c r="BF16" i="17"/>
  <c r="CB16" i="17" s="1"/>
  <c r="AV24" i="21"/>
  <c r="BF17" i="17"/>
  <c r="CB17" i="17" s="1"/>
  <c r="AV25" i="21"/>
  <c r="BF18" i="17"/>
  <c r="CB18" i="17" s="1"/>
  <c r="AV26" i="21"/>
  <c r="BF19" i="17"/>
  <c r="CB19" i="17" s="1"/>
  <c r="AV19" i="21"/>
  <c r="BF20" i="17"/>
  <c r="CB20" i="17" s="1"/>
  <c r="AV28" i="21"/>
  <c r="BF21" i="17"/>
  <c r="CB21" i="17" s="1"/>
  <c r="AV17" i="21"/>
  <c r="BF22" i="17"/>
  <c r="CB22" i="17" s="1"/>
  <c r="AV29" i="21"/>
  <c r="BF23" i="17"/>
  <c r="CB23" i="17" s="1"/>
  <c r="AV18" i="21"/>
  <c r="BF24" i="17"/>
  <c r="CB24" i="17" s="1"/>
  <c r="AV27" i="21"/>
  <c r="AV35" i="21"/>
  <c r="BF36" i="17"/>
  <c r="CB36" i="17" s="1"/>
  <c r="AV36" i="21"/>
  <c r="BF37" i="17"/>
  <c r="CB37" i="17" s="1"/>
  <c r="AV20" i="21"/>
  <c r="BF25" i="17"/>
  <c r="CB25" i="17" s="1"/>
  <c r="AV22" i="21"/>
  <c r="BF27" i="17"/>
  <c r="CB27" i="17" s="1"/>
  <c r="BC29" i="17"/>
  <c r="BY29" i="17" s="1"/>
  <c r="AU37" i="21"/>
  <c r="BK37" i="21" s="1"/>
  <c r="BI29" i="17"/>
  <c r="CE29" i="17" s="1"/>
  <c r="AW37" i="21"/>
  <c r="BM37" i="21" s="1"/>
  <c r="BC30" i="17"/>
  <c r="BY30" i="17" s="1"/>
  <c r="AU38" i="21"/>
  <c r="BK38" i="21" s="1"/>
  <c r="BI30" i="17"/>
  <c r="CE30" i="17" s="1"/>
  <c r="AW38" i="21"/>
  <c r="BM38" i="21" s="1"/>
  <c r="BC31" i="17"/>
  <c r="BY31" i="17" s="1"/>
  <c r="AU39" i="21"/>
  <c r="BK39" i="21" s="1"/>
  <c r="BI31" i="17"/>
  <c r="CE31" i="17" s="1"/>
  <c r="AW39" i="21"/>
  <c r="BM39" i="21" s="1"/>
  <c r="BC32" i="17"/>
  <c r="BY32" i="17" s="1"/>
  <c r="AU40" i="21"/>
  <c r="BK40" i="21" s="1"/>
  <c r="BI32" i="17"/>
  <c r="CE32" i="17" s="1"/>
  <c r="AW40" i="21"/>
  <c r="BM40" i="21" s="1"/>
  <c r="BC33" i="17"/>
  <c r="BY33" i="17" s="1"/>
  <c r="AU33" i="21"/>
  <c r="BK33" i="21" s="1"/>
  <c r="BI33" i="17"/>
  <c r="CE33" i="17" s="1"/>
  <c r="AW33" i="21"/>
  <c r="BM33" i="21" s="1"/>
  <c r="BC34" i="17"/>
  <c r="BY34" i="17" s="1"/>
  <c r="AU41" i="21"/>
  <c r="BK41" i="21" s="1"/>
  <c r="BI34" i="17"/>
  <c r="CE34" i="17" s="1"/>
  <c r="AW41" i="21"/>
  <c r="BM41" i="21" s="1"/>
  <c r="BF35" i="17"/>
  <c r="CB35" i="17" s="1"/>
  <c r="AV34" i="21"/>
  <c r="BL34" i="21" s="1"/>
  <c r="BF38" i="17"/>
  <c r="CB38" i="17" s="1"/>
  <c r="AV32" i="21"/>
  <c r="BL32" i="21" s="1"/>
  <c r="BF29" i="17"/>
  <c r="CB29" i="17" s="1"/>
  <c r="AV37" i="21"/>
  <c r="BL37" i="21" s="1"/>
  <c r="BF30" i="17"/>
  <c r="CB30" i="17" s="1"/>
  <c r="AV38" i="21"/>
  <c r="BL38" i="21" s="1"/>
  <c r="BF31" i="17"/>
  <c r="CB31" i="17" s="1"/>
  <c r="AV39" i="21"/>
  <c r="BL39" i="21" s="1"/>
  <c r="BF32" i="17"/>
  <c r="CB32" i="17" s="1"/>
  <c r="AV40" i="21"/>
  <c r="BL40" i="21" s="1"/>
  <c r="BF33" i="17"/>
  <c r="CB33" i="17" s="1"/>
  <c r="AV33" i="21"/>
  <c r="BL33" i="21" s="1"/>
  <c r="BF34" i="17"/>
  <c r="CB34" i="17" s="1"/>
  <c r="AV41" i="21"/>
  <c r="BL41" i="21" s="1"/>
  <c r="BC35" i="17"/>
  <c r="BY35" i="17" s="1"/>
  <c r="AU34" i="21"/>
  <c r="BK34" i="21" s="1"/>
  <c r="BI35" i="17"/>
  <c r="CE35" i="17" s="1"/>
  <c r="AW34" i="21"/>
  <c r="BM34" i="21" s="1"/>
  <c r="BC38" i="17"/>
  <c r="BY38" i="17" s="1"/>
  <c r="AU32" i="21"/>
  <c r="BK32" i="21" s="1"/>
  <c r="BI38" i="17"/>
  <c r="CE38" i="17" s="1"/>
  <c r="AW32" i="21"/>
  <c r="BM32" i="21" s="1"/>
  <c r="BA38" i="17"/>
  <c r="BW38" i="17" s="1"/>
  <c r="AT32" i="21"/>
  <c r="BI32" i="21" s="1"/>
  <c r="BA29" i="17"/>
  <c r="BW29" i="17" s="1"/>
  <c r="AT37" i="21"/>
  <c r="BI37" i="21" s="1"/>
  <c r="BA30" i="17"/>
  <c r="BW30" i="17" s="1"/>
  <c r="AT38" i="21"/>
  <c r="BI38" i="21" s="1"/>
  <c r="BA31" i="17"/>
  <c r="BW31" i="17" s="1"/>
  <c r="AT39" i="21"/>
  <c r="BI39" i="21" s="1"/>
  <c r="BA32" i="17"/>
  <c r="BW32" i="17" s="1"/>
  <c r="AT40" i="21"/>
  <c r="BI40" i="21" s="1"/>
  <c r="BA33" i="17"/>
  <c r="BW33" i="17" s="1"/>
  <c r="AT33" i="21"/>
  <c r="BI33" i="21" s="1"/>
  <c r="BA34" i="17"/>
  <c r="BW34" i="17" s="1"/>
  <c r="AT41" i="21"/>
  <c r="BI41" i="21" s="1"/>
  <c r="BA35" i="17"/>
  <c r="BW35" i="17" s="1"/>
  <c r="AT34" i="21"/>
  <c r="BI34" i="21" s="1"/>
  <c r="AZ38" i="17"/>
  <c r="BV38" i="17" s="1"/>
  <c r="AS32" i="21"/>
  <c r="BC28" i="17"/>
  <c r="BY28" i="17" s="1"/>
  <c r="BY43" i="17" s="1"/>
  <c r="AU31" i="21"/>
  <c r="BI28" i="17"/>
  <c r="CE28" i="17" s="1"/>
  <c r="CE43" i="17" s="1"/>
  <c r="AW31" i="21"/>
  <c r="BF28" i="17"/>
  <c r="CB28" i="17" s="1"/>
  <c r="AV31" i="21"/>
  <c r="BA28" i="17"/>
  <c r="BW28" i="17" s="1"/>
  <c r="BW43" i="17" s="1"/>
  <c r="AT31" i="21"/>
  <c r="AZ29" i="17"/>
  <c r="BV29" i="17" s="1"/>
  <c r="AS37" i="21"/>
  <c r="AZ30" i="17"/>
  <c r="BV30" i="17" s="1"/>
  <c r="AS38" i="21"/>
  <c r="AZ31" i="17"/>
  <c r="BV31" i="17" s="1"/>
  <c r="AS39" i="21"/>
  <c r="AZ32" i="17"/>
  <c r="BV32" i="17" s="1"/>
  <c r="AS40" i="21"/>
  <c r="AZ33" i="17"/>
  <c r="BV33" i="17" s="1"/>
  <c r="AS33" i="21"/>
  <c r="AZ34" i="17"/>
  <c r="BV34" i="17" s="1"/>
  <c r="AS41" i="21"/>
  <c r="AZ35" i="17"/>
  <c r="BV35" i="17" s="1"/>
  <c r="AS34" i="21"/>
  <c r="AZ28" i="17"/>
  <c r="BV28" i="17" s="1"/>
  <c r="AS31" i="21"/>
  <c r="BZ15" i="17"/>
  <c r="BZ43" i="17" s="1"/>
  <c r="BY15" i="17"/>
  <c r="CE15" i="17"/>
  <c r="BX43" i="17"/>
  <c r="CB43" i="17"/>
  <c r="CA43" i="17"/>
  <c r="AN21" i="17"/>
  <c r="AR21" i="17"/>
  <c r="AM21" i="17"/>
  <c r="AQ21" i="17"/>
  <c r="AL15" i="17"/>
  <c r="AP15" i="17"/>
  <c r="AL21" i="17"/>
  <c r="AP21" i="17"/>
  <c r="AO15" i="17"/>
  <c r="AU15" i="17"/>
  <c r="AO21" i="17"/>
  <c r="AU21" i="17"/>
  <c r="AN15" i="17"/>
  <c r="AR15" i="17"/>
  <c r="AN16" i="17"/>
  <c r="AR16" i="17"/>
  <c r="AN17" i="17"/>
  <c r="AR17" i="17"/>
  <c r="AN18" i="17"/>
  <c r="AR18" i="17"/>
  <c r="AN19" i="17"/>
  <c r="AR19" i="17"/>
  <c r="AN20" i="17"/>
  <c r="AR20" i="17"/>
  <c r="AN22" i="17"/>
  <c r="AR22" i="17"/>
  <c r="AN23" i="17"/>
  <c r="AR23" i="17"/>
  <c r="AN24" i="17"/>
  <c r="AR24" i="17"/>
  <c r="AN25" i="17"/>
  <c r="AR25" i="17"/>
  <c r="AN26" i="17"/>
  <c r="AR26" i="17"/>
  <c r="AN27" i="17"/>
  <c r="AR27" i="17"/>
  <c r="AN28" i="17"/>
  <c r="AR28" i="17"/>
  <c r="AN29" i="17"/>
  <c r="AR29" i="17"/>
  <c r="AN30" i="17"/>
  <c r="AR30" i="17"/>
  <c r="AN31" i="17"/>
  <c r="AR31" i="17"/>
  <c r="AN32" i="17"/>
  <c r="AR32" i="17"/>
  <c r="AN33" i="17"/>
  <c r="AR33" i="17"/>
  <c r="AN34" i="17"/>
  <c r="AR34" i="17"/>
  <c r="AM15" i="17"/>
  <c r="AQ15" i="17"/>
  <c r="AM16" i="17"/>
  <c r="AQ16" i="17"/>
  <c r="AM17" i="17"/>
  <c r="AQ17" i="17"/>
  <c r="AM18" i="17"/>
  <c r="AQ18" i="17"/>
  <c r="AM19" i="17"/>
  <c r="AQ19" i="17"/>
  <c r="AM20" i="17"/>
  <c r="AQ20" i="17"/>
  <c r="AM22" i="17"/>
  <c r="AQ22" i="17"/>
  <c r="AM23" i="17"/>
  <c r="AQ23" i="17"/>
  <c r="AM24" i="17"/>
  <c r="AQ24" i="17"/>
  <c r="AM25" i="17"/>
  <c r="AQ25" i="17"/>
  <c r="AM26" i="17"/>
  <c r="AQ26" i="17"/>
  <c r="AM27" i="17"/>
  <c r="AQ27" i="17"/>
  <c r="AM28" i="17"/>
  <c r="AQ28" i="17"/>
  <c r="AM29" i="17"/>
  <c r="AQ29" i="17"/>
  <c r="AM30" i="17"/>
  <c r="AQ30" i="17"/>
  <c r="AM31" i="17"/>
  <c r="AQ31" i="17"/>
  <c r="AM32" i="17"/>
  <c r="AQ32" i="17"/>
  <c r="AM33" i="17"/>
  <c r="AQ33" i="17"/>
  <c r="AM34" i="17"/>
  <c r="AQ34" i="17"/>
  <c r="AM35" i="17"/>
  <c r="AP35" i="17"/>
  <c r="AL36" i="17"/>
  <c r="AP36" i="17"/>
  <c r="AL37" i="17"/>
  <c r="AP37" i="17"/>
  <c r="AL38" i="17"/>
  <c r="AP38" i="17"/>
  <c r="AL39" i="17"/>
  <c r="AP39" i="17"/>
  <c r="AO35" i="17"/>
  <c r="AU35" i="17"/>
  <c r="AO36" i="17"/>
  <c r="AU36" i="17"/>
  <c r="AO37" i="17"/>
  <c r="AU37" i="17"/>
  <c r="AO38" i="17"/>
  <c r="AU38" i="17"/>
  <c r="AO39" i="17"/>
  <c r="AU39" i="17"/>
  <c r="AL16" i="17"/>
  <c r="AP16" i="17"/>
  <c r="AL17" i="17"/>
  <c r="AP17" i="17"/>
  <c r="AL18" i="17"/>
  <c r="AP18" i="17"/>
  <c r="AL19" i="17"/>
  <c r="AP19" i="17"/>
  <c r="AL20" i="17"/>
  <c r="AP20" i="17"/>
  <c r="AL22" i="17"/>
  <c r="AP22" i="17"/>
  <c r="AL23" i="17"/>
  <c r="AP23" i="17"/>
  <c r="AL24" i="17"/>
  <c r="AP24" i="17"/>
  <c r="AL25" i="17"/>
  <c r="AP25" i="17"/>
  <c r="AL26" i="17"/>
  <c r="AP26" i="17"/>
  <c r="AL27" i="17"/>
  <c r="AP27" i="17"/>
  <c r="AL28" i="17"/>
  <c r="AP28" i="17"/>
  <c r="AL29" i="17"/>
  <c r="AP29" i="17"/>
  <c r="AL30" i="17"/>
  <c r="AP30" i="17"/>
  <c r="AL31" i="17"/>
  <c r="AP31" i="17"/>
  <c r="AL32" i="17"/>
  <c r="AP32" i="17"/>
  <c r="AL33" i="17"/>
  <c r="AP33" i="17"/>
  <c r="AL34" i="17"/>
  <c r="AP34" i="17"/>
  <c r="AL35" i="17"/>
  <c r="AO16" i="17"/>
  <c r="AU16" i="17"/>
  <c r="AO17" i="17"/>
  <c r="AU17" i="17"/>
  <c r="AO18" i="17"/>
  <c r="AU18" i="17"/>
  <c r="AO19" i="17"/>
  <c r="AU19" i="17"/>
  <c r="AO20" i="17"/>
  <c r="AU20" i="17"/>
  <c r="AO22" i="17"/>
  <c r="AU22" i="17"/>
  <c r="AO23" i="17"/>
  <c r="AU23" i="17"/>
  <c r="AO24" i="17"/>
  <c r="AU24" i="17"/>
  <c r="AO25" i="17"/>
  <c r="AU25" i="17"/>
  <c r="AO26" i="17"/>
  <c r="AU26" i="17"/>
  <c r="AO27" i="17"/>
  <c r="AU27" i="17"/>
  <c r="AO28" i="17"/>
  <c r="AU28" i="17"/>
  <c r="AO29" i="17"/>
  <c r="AU29" i="17"/>
  <c r="AO30" i="17"/>
  <c r="AU30" i="17"/>
  <c r="AO31" i="17"/>
  <c r="AU31" i="17"/>
  <c r="AO32" i="17"/>
  <c r="AU32" i="17"/>
  <c r="AO33" i="17"/>
  <c r="AU33" i="17"/>
  <c r="AO34" i="17"/>
  <c r="AU34" i="17"/>
  <c r="AN35" i="17"/>
  <c r="AR35" i="17"/>
  <c r="AN36" i="17"/>
  <c r="AR36" i="17"/>
  <c r="AN37" i="17"/>
  <c r="AR37" i="17"/>
  <c r="AN38" i="17"/>
  <c r="AR38" i="17"/>
  <c r="AN39" i="17"/>
  <c r="AR39" i="17"/>
  <c r="AQ35" i="17"/>
  <c r="AM36" i="17"/>
  <c r="AQ36" i="17"/>
  <c r="AM37" i="17"/>
  <c r="AQ37" i="17"/>
  <c r="AM38" i="17"/>
  <c r="AQ38" i="17"/>
  <c r="AM39" i="17"/>
  <c r="AQ39" i="17"/>
  <c r="N100" i="16"/>
  <c r="Z43" i="17"/>
  <c r="AS46" i="21" s="1"/>
  <c r="AD43" i="17"/>
  <c r="AC43" i="17"/>
  <c r="AI43" i="17"/>
  <c r="AW46" i="21" s="1"/>
  <c r="AB43" i="17"/>
  <c r="AF43" i="17"/>
  <c r="AV46" i="21" s="1"/>
  <c r="AA43" i="17"/>
  <c r="AT46" i="21" s="1"/>
  <c r="AE43" i="17"/>
  <c r="W94" i="15"/>
  <c r="W92" i="15"/>
  <c r="X92" i="15" s="1"/>
  <c r="W104" i="15"/>
  <c r="W103" i="15"/>
  <c r="X103" i="15" s="1"/>
  <c r="W102" i="15"/>
  <c r="W101" i="15"/>
  <c r="W100" i="15"/>
  <c r="W99" i="15"/>
  <c r="W98" i="15"/>
  <c r="W105" i="15"/>
  <c r="X105" i="15" s="1"/>
  <c r="F96" i="16"/>
  <c r="F100" i="16" s="1"/>
  <c r="F119" i="16" s="1"/>
  <c r="F52" i="15"/>
  <c r="F56" i="15"/>
  <c r="F54" i="15"/>
  <c r="F55" i="15"/>
  <c r="N50" i="15"/>
  <c r="F51" i="15"/>
  <c r="F53" i="15"/>
  <c r="F50" i="15"/>
  <c r="F57" i="15" s="1"/>
  <c r="K32" i="15"/>
  <c r="X75" i="15"/>
  <c r="W82" i="15"/>
  <c r="Z62" i="15"/>
  <c r="F79" i="15"/>
  <c r="F81" i="15"/>
  <c r="F77" i="15"/>
  <c r="F82" i="15" s="1"/>
  <c r="F78" i="15"/>
  <c r="AA62" i="15"/>
  <c r="F25" i="9"/>
  <c r="F30" i="9"/>
  <c r="N15" i="9"/>
  <c r="K12" i="9"/>
  <c r="F45" i="9"/>
  <c r="F41" i="9"/>
  <c r="F37" i="9"/>
  <c r="F28" i="9"/>
  <c r="F26" i="9"/>
  <c r="F23" i="9"/>
  <c r="F19" i="9"/>
  <c r="F17" i="9"/>
  <c r="F24" i="9"/>
  <c r="F16" i="9"/>
  <c r="F9" i="9"/>
  <c r="F100" i="9"/>
  <c r="F95" i="9"/>
  <c r="M107" i="9"/>
  <c r="F108" i="9"/>
  <c r="F39" i="9"/>
  <c r="F34" i="9"/>
  <c r="F29" i="9"/>
  <c r="F38" i="9"/>
  <c r="F85" i="9"/>
  <c r="F86" i="9"/>
  <c r="F102" i="9"/>
  <c r="F90" i="9"/>
  <c r="F98" i="9"/>
  <c r="F87" i="9"/>
  <c r="N85" i="9"/>
  <c r="N3" i="9"/>
  <c r="F7" i="9"/>
  <c r="F3" i="9"/>
  <c r="F6" i="9"/>
  <c r="F8" i="9"/>
  <c r="F5" i="9"/>
  <c r="F4" i="9"/>
  <c r="G11" i="6"/>
  <c r="D58" i="5" s="1"/>
  <c r="F58" i="5" s="1"/>
  <c r="D60" i="5" s="1"/>
  <c r="H11" i="6"/>
  <c r="G58" i="5" s="1"/>
  <c r="C18" i="8"/>
  <c r="D18" i="8" s="1"/>
  <c r="C25" i="8" s="1"/>
  <c r="G9" i="5"/>
  <c r="G52" i="5" s="1"/>
  <c r="J60" i="4"/>
  <c r="J69" i="4"/>
  <c r="K32" i="9"/>
  <c r="K48" i="9"/>
  <c r="F63" i="9"/>
  <c r="F67" i="9"/>
  <c r="M61" i="9"/>
  <c r="F69" i="9" s="1"/>
  <c r="F50" i="9"/>
  <c r="M50" i="9"/>
  <c r="N50" i="9" s="1"/>
  <c r="F51" i="9"/>
  <c r="F53" i="9"/>
  <c r="F52" i="9"/>
  <c r="F46" i="9"/>
  <c r="F43" i="9"/>
  <c r="F35" i="9"/>
  <c r="F42" i="9"/>
  <c r="F27" i="9"/>
  <c r="F20" i="9"/>
  <c r="F18" i="9"/>
  <c r="F10" i="9"/>
  <c r="F96" i="9"/>
  <c r="F94" i="9"/>
  <c r="F101" i="9"/>
  <c r="F97" i="9"/>
  <c r="F117" i="9"/>
  <c r="F115" i="9"/>
  <c r="F113" i="9"/>
  <c r="F111" i="9"/>
  <c r="E75" i="9"/>
  <c r="P93" i="15"/>
  <c r="R104" i="13"/>
  <c r="C89" i="15"/>
  <c r="C88" i="15"/>
  <c r="H14" i="5"/>
  <c r="H52" i="5" s="1"/>
  <c r="P38" i="9"/>
  <c r="K11" i="15"/>
  <c r="K12" i="15" s="1"/>
  <c r="E11" i="15"/>
  <c r="E15" i="15"/>
  <c r="L15" i="15"/>
  <c r="E16" i="15"/>
  <c r="P19" i="15"/>
  <c r="E40" i="15"/>
  <c r="K40" i="15"/>
  <c r="K48" i="15" s="1"/>
  <c r="E41" i="15"/>
  <c r="K41" i="15"/>
  <c r="E42" i="15"/>
  <c r="K42" i="15"/>
  <c r="AA63" i="15"/>
  <c r="K64" i="15"/>
  <c r="K72" i="15" s="1"/>
  <c r="F15" i="9"/>
  <c r="F22" i="9"/>
  <c r="F31" i="9"/>
  <c r="F59" i="4"/>
  <c r="P109" i="9"/>
  <c r="P92" i="9"/>
  <c r="P81" i="15"/>
  <c r="P68" i="15"/>
  <c r="P55" i="15"/>
  <c r="P39" i="9"/>
  <c r="G9" i="4"/>
  <c r="G60" i="4" s="1"/>
  <c r="G61" i="4" s="1"/>
  <c r="P16" i="9"/>
  <c r="J99" i="15"/>
  <c r="K99" i="15" s="1"/>
  <c r="J105" i="15"/>
  <c r="K105" i="15" s="1"/>
  <c r="X9" i="15"/>
  <c r="X5" i="15"/>
  <c r="X16" i="15"/>
  <c r="X17" i="15"/>
  <c r="X18" i="15"/>
  <c r="X19" i="15"/>
  <c r="X22" i="15"/>
  <c r="X24" i="15"/>
  <c r="X26" i="15"/>
  <c r="X28" i="15"/>
  <c r="X30" i="15"/>
  <c r="X36" i="15"/>
  <c r="X37" i="15"/>
  <c r="X39" i="15"/>
  <c r="X41" i="15"/>
  <c r="X43" i="15"/>
  <c r="X45" i="15"/>
  <c r="X47" i="15"/>
  <c r="X51" i="15"/>
  <c r="X53" i="15"/>
  <c r="X55" i="15"/>
  <c r="X65" i="15"/>
  <c r="Z66" i="15"/>
  <c r="AA66" i="15" s="1"/>
  <c r="X66" i="15"/>
  <c r="Z69" i="15"/>
  <c r="AA69" i="15" s="1"/>
  <c r="Z70" i="15"/>
  <c r="AA70" i="15" s="1"/>
  <c r="X70" i="15"/>
  <c r="W88" i="15"/>
  <c r="X88" i="15" s="1"/>
  <c r="X90" i="15"/>
  <c r="X94" i="15"/>
  <c r="X96" i="15"/>
  <c r="X98" i="15"/>
  <c r="X100" i="15"/>
  <c r="X102" i="15"/>
  <c r="X104" i="15"/>
  <c r="J53" i="15"/>
  <c r="K53" i="15" s="1"/>
  <c r="K57" i="15" s="1"/>
  <c r="K103" i="15"/>
  <c r="X3" i="15"/>
  <c r="W12" i="15"/>
  <c r="X10" i="15"/>
  <c r="X8" i="15"/>
  <c r="X6" i="15"/>
  <c r="X4" i="15"/>
  <c r="X11" i="15"/>
  <c r="X7" i="15"/>
  <c r="X21" i="15"/>
  <c r="X23" i="15"/>
  <c r="X25" i="15"/>
  <c r="X27" i="15"/>
  <c r="X29" i="15"/>
  <c r="X31" i="15"/>
  <c r="W48" i="15"/>
  <c r="X35" i="15"/>
  <c r="X42" i="15"/>
  <c r="X50" i="15"/>
  <c r="X57" i="15" s="1"/>
  <c r="X54" i="15"/>
  <c r="X61" i="15"/>
  <c r="Z64" i="15"/>
  <c r="AA64" i="15" s="1"/>
  <c r="X64" i="15"/>
  <c r="Z67" i="15"/>
  <c r="AA67" i="15" s="1"/>
  <c r="Z68" i="15"/>
  <c r="AA68" i="15" s="1"/>
  <c r="X68" i="15"/>
  <c r="Z71" i="15"/>
  <c r="AA71" i="15" s="1"/>
  <c r="X87" i="15"/>
  <c r="W89" i="15"/>
  <c r="X89" i="15" s="1"/>
  <c r="X91" i="15"/>
  <c r="X93" i="15"/>
  <c r="X95" i="15"/>
  <c r="X97" i="15"/>
  <c r="X99" i="15"/>
  <c r="X101" i="15"/>
  <c r="X34" i="15"/>
  <c r="W72" i="15"/>
  <c r="Z61" i="15"/>
  <c r="Z65" i="15"/>
  <c r="AA65" i="15" s="1"/>
  <c r="X67" i="15"/>
  <c r="X69" i="15"/>
  <c r="X71" i="15"/>
  <c r="AX27" i="21" l="1"/>
  <c r="BL27" i="21"/>
  <c r="BN27" i="21" s="1"/>
  <c r="AX18" i="21"/>
  <c r="BL18" i="21"/>
  <c r="BN18" i="21" s="1"/>
  <c r="AX29" i="21"/>
  <c r="BL29" i="21"/>
  <c r="BN29" i="21" s="1"/>
  <c r="AX17" i="21"/>
  <c r="BL17" i="21"/>
  <c r="BN17" i="21" s="1"/>
  <c r="AX28" i="21"/>
  <c r="BL28" i="21"/>
  <c r="BN28" i="21" s="1"/>
  <c r="AX19" i="21"/>
  <c r="BL19" i="21"/>
  <c r="BN19" i="21" s="1"/>
  <c r="AX26" i="21"/>
  <c r="BL26" i="21"/>
  <c r="BN26" i="21" s="1"/>
  <c r="AX25" i="21"/>
  <c r="BL25" i="21"/>
  <c r="BN25" i="21" s="1"/>
  <c r="AX24" i="21"/>
  <c r="BL24" i="21"/>
  <c r="BN24" i="21" s="1"/>
  <c r="AX30" i="21"/>
  <c r="BL30" i="21"/>
  <c r="BN30" i="21" s="1"/>
  <c r="AX16" i="21"/>
  <c r="BL16" i="21"/>
  <c r="BN16" i="21" s="1"/>
  <c r="AX22" i="21"/>
  <c r="BL22" i="21"/>
  <c r="BN22" i="21" s="1"/>
  <c r="AX20" i="21"/>
  <c r="BL20" i="21"/>
  <c r="BN20" i="21" s="1"/>
  <c r="BL36" i="21"/>
  <c r="BN36" i="21" s="1"/>
  <c r="AX36" i="21"/>
  <c r="BL35" i="21"/>
  <c r="BN35" i="21" s="1"/>
  <c r="AX35" i="21"/>
  <c r="BL21" i="21"/>
  <c r="BN21" i="21" s="1"/>
  <c r="AX21" i="21"/>
  <c r="C43" i="20"/>
  <c r="AX32" i="21"/>
  <c r="BH32" i="21"/>
  <c r="BN32" i="21" s="1"/>
  <c r="BI31" i="21"/>
  <c r="BI44" i="21" s="1"/>
  <c r="AT44" i="21"/>
  <c r="AT48" i="21" s="1"/>
  <c r="BL31" i="21"/>
  <c r="AV44" i="21"/>
  <c r="AV48" i="21" s="1"/>
  <c r="AW44" i="21"/>
  <c r="AW48" i="21" s="1"/>
  <c r="BM31" i="21"/>
  <c r="BM44" i="21" s="1"/>
  <c r="BM48" i="21" s="1"/>
  <c r="AU44" i="21"/>
  <c r="BK31" i="21"/>
  <c r="BK44" i="21" s="1"/>
  <c r="AU46" i="21"/>
  <c r="AX34" i="21"/>
  <c r="BH34" i="21"/>
  <c r="BN34" i="21" s="1"/>
  <c r="AX41" i="21"/>
  <c r="BH41" i="21"/>
  <c r="BN41" i="21" s="1"/>
  <c r="AX33" i="21"/>
  <c r="BH33" i="21"/>
  <c r="BN33" i="21" s="1"/>
  <c r="AX40" i="21"/>
  <c r="BH40" i="21"/>
  <c r="BN40" i="21" s="1"/>
  <c r="AX39" i="21"/>
  <c r="BH39" i="21"/>
  <c r="BN39" i="21" s="1"/>
  <c r="AX38" i="21"/>
  <c r="BH38" i="21"/>
  <c r="BN38" i="21" s="1"/>
  <c r="AX37" i="21"/>
  <c r="BH37" i="21"/>
  <c r="BN37" i="21" s="1"/>
  <c r="AX31" i="21"/>
  <c r="AS44" i="21"/>
  <c r="AS48" i="21" s="1"/>
  <c r="BH31" i="21"/>
  <c r="Z46" i="17"/>
  <c r="I11" i="16"/>
  <c r="I19" i="16" s="1"/>
  <c r="M11" i="16"/>
  <c r="M28" i="16" s="1"/>
  <c r="AO43" i="17"/>
  <c r="AU43" i="17"/>
  <c r="AL43" i="17"/>
  <c r="AP43" i="17"/>
  <c r="L11" i="16"/>
  <c r="AQ43" i="17"/>
  <c r="AM43" i="17"/>
  <c r="AR43" i="17"/>
  <c r="F47" i="20" s="1"/>
  <c r="AN43" i="17"/>
  <c r="G43" i="20"/>
  <c r="N11" i="16"/>
  <c r="N32" i="16" s="1"/>
  <c r="O32" i="16" s="1"/>
  <c r="N60" i="16" s="1"/>
  <c r="H11" i="16"/>
  <c r="BV43" i="17"/>
  <c r="BX44" i="17" s="1"/>
  <c r="J11" i="16"/>
  <c r="Z72" i="15"/>
  <c r="X48" i="15"/>
  <c r="AA61" i="15"/>
  <c r="AA72" i="15" s="1"/>
  <c r="Q108" i="9"/>
  <c r="F32" i="9"/>
  <c r="F41" i="15"/>
  <c r="M34" i="15"/>
  <c r="F40" i="15"/>
  <c r="M15" i="15"/>
  <c r="F31" i="15" s="1"/>
  <c r="F30" i="15"/>
  <c r="F29" i="15"/>
  <c r="F22" i="15"/>
  <c r="F23" i="15"/>
  <c r="F27" i="15"/>
  <c r="F28" i="15"/>
  <c r="F19" i="15"/>
  <c r="F18" i="15"/>
  <c r="F26" i="15"/>
  <c r="F21" i="15"/>
  <c r="F24" i="15"/>
  <c r="F25" i="15"/>
  <c r="N15" i="15"/>
  <c r="F20" i="15"/>
  <c r="F17" i="15"/>
  <c r="K88" i="15"/>
  <c r="L87" i="15"/>
  <c r="C121" i="15"/>
  <c r="E88" i="15"/>
  <c r="K89" i="15"/>
  <c r="E89" i="15"/>
  <c r="F75" i="9"/>
  <c r="F54" i="9"/>
  <c r="N61" i="9"/>
  <c r="F68" i="9"/>
  <c r="F65" i="9"/>
  <c r="F104" i="9"/>
  <c r="F109" i="9"/>
  <c r="N107" i="9"/>
  <c r="F107" i="9"/>
  <c r="F112" i="9"/>
  <c r="F116" i="9"/>
  <c r="F61" i="9"/>
  <c r="F66" i="9"/>
  <c r="M73" i="9"/>
  <c r="P16" i="15"/>
  <c r="M3" i="15"/>
  <c r="F16" i="15"/>
  <c r="F15" i="15"/>
  <c r="F56" i="9"/>
  <c r="F62" i="9"/>
  <c r="F70" i="9"/>
  <c r="G53" i="5"/>
  <c r="P86" i="9" s="1"/>
  <c r="H60" i="5"/>
  <c r="D61" i="5" s="1"/>
  <c r="H58" i="5"/>
  <c r="F12" i="9"/>
  <c r="F48" i="9"/>
  <c r="F110" i="9"/>
  <c r="F114" i="9"/>
  <c r="F118" i="9"/>
  <c r="F55" i="9"/>
  <c r="F57" i="9" s="1"/>
  <c r="F64" i="9"/>
  <c r="K120" i="9"/>
  <c r="BL44" i="21" l="1"/>
  <c r="BL48" i="21" s="1"/>
  <c r="AX44" i="21"/>
  <c r="C47" i="20"/>
  <c r="E47" i="20"/>
  <c r="BI46" i="21"/>
  <c r="BK46" i="21"/>
  <c r="BK48" i="21" s="1"/>
  <c r="G47" i="20"/>
  <c r="AU48" i="21"/>
  <c r="BI48" i="21"/>
  <c r="BH46" i="21"/>
  <c r="B47" i="20"/>
  <c r="BH44" i="21"/>
  <c r="BH48" i="21" s="1"/>
  <c r="BN31" i="21"/>
  <c r="BN44" i="21" s="1"/>
  <c r="AL46" i="17"/>
  <c r="I15" i="16"/>
  <c r="CC44" i="17"/>
  <c r="BW44" i="17"/>
  <c r="CD44" i="17"/>
  <c r="BZ44" i="17"/>
  <c r="BY44" i="17"/>
  <c r="CE44" i="17"/>
  <c r="CA44" i="17"/>
  <c r="BV44" i="17"/>
  <c r="CB44" i="17"/>
  <c r="I14" i="16"/>
  <c r="AR44" i="17"/>
  <c r="CB45" i="17" s="1"/>
  <c r="AN44" i="17"/>
  <c r="BX45" i="17" s="1"/>
  <c r="BX46" i="17" s="1"/>
  <c r="AM44" i="17"/>
  <c r="BW45" i="17" s="1"/>
  <c r="AL44" i="17"/>
  <c r="BV45" i="17" s="1"/>
  <c r="AS44" i="17"/>
  <c r="CC45" i="17" s="1"/>
  <c r="AT44" i="17"/>
  <c r="CD45" i="17" s="1"/>
  <c r="AO44" i="17"/>
  <c r="BY45" i="17" s="1"/>
  <c r="AQ44" i="17"/>
  <c r="CA45" i="17" s="1"/>
  <c r="AP44" i="17"/>
  <c r="BZ45" i="17" s="1"/>
  <c r="AU44" i="17"/>
  <c r="CE45" i="17" s="1"/>
  <c r="F43" i="20"/>
  <c r="M26" i="16"/>
  <c r="O26" i="16" s="1"/>
  <c r="M54" i="16" s="1"/>
  <c r="O54" i="16" s="1"/>
  <c r="M17" i="16"/>
  <c r="M23" i="16"/>
  <c r="O23" i="16" s="1"/>
  <c r="M51" i="16" s="1"/>
  <c r="M86" i="16" s="1"/>
  <c r="O86" i="16" s="1"/>
  <c r="M15" i="16"/>
  <c r="M22" i="16"/>
  <c r="O22" i="16" s="1"/>
  <c r="M50" i="16" s="1"/>
  <c r="M14" i="16"/>
  <c r="M27" i="16"/>
  <c r="O27" i="16" s="1"/>
  <c r="M55" i="16" s="1"/>
  <c r="M24" i="16"/>
  <c r="O24" i="16" s="1"/>
  <c r="M52" i="16" s="1"/>
  <c r="M87" i="16" s="1"/>
  <c r="O87" i="16" s="1"/>
  <c r="M29" i="16"/>
  <c r="O29" i="16" s="1"/>
  <c r="M57" i="16" s="1"/>
  <c r="M92" i="16" s="1"/>
  <c r="O92" i="16" s="1"/>
  <c r="M21" i="16"/>
  <c r="O21" i="16" s="1"/>
  <c r="M49" i="16" s="1"/>
  <c r="M81" i="16" s="1"/>
  <c r="O81" i="16" s="1"/>
  <c r="M25" i="16"/>
  <c r="O25" i="16" s="1"/>
  <c r="M53" i="16" s="1"/>
  <c r="M16" i="16"/>
  <c r="J16" i="16"/>
  <c r="J14" i="16"/>
  <c r="J15" i="16"/>
  <c r="L17" i="16"/>
  <c r="L16" i="16"/>
  <c r="L14" i="16"/>
  <c r="L15" i="16"/>
  <c r="O28" i="16"/>
  <c r="M56" i="16" s="1"/>
  <c r="N104" i="16"/>
  <c r="O60" i="16"/>
  <c r="K11" i="16"/>
  <c r="G11" i="16"/>
  <c r="H18" i="16"/>
  <c r="H15" i="16"/>
  <c r="H14" i="16"/>
  <c r="O19" i="16"/>
  <c r="I47" i="16" s="1"/>
  <c r="B43" i="20"/>
  <c r="E43" i="20"/>
  <c r="F64" i="5"/>
  <c r="G64" i="4" s="1"/>
  <c r="J4" i="11"/>
  <c r="F119" i="9"/>
  <c r="K106" i="15"/>
  <c r="K122" i="15" s="1"/>
  <c r="F35" i="15"/>
  <c r="F36" i="15"/>
  <c r="F37" i="15"/>
  <c r="F44" i="15"/>
  <c r="F38" i="15"/>
  <c r="F34" i="15"/>
  <c r="F47" i="15"/>
  <c r="F39" i="15"/>
  <c r="N34" i="15"/>
  <c r="F45" i="15"/>
  <c r="F43" i="15"/>
  <c r="F46" i="15"/>
  <c r="F42" i="15"/>
  <c r="P88" i="15"/>
  <c r="G62" i="4"/>
  <c r="G65" i="4" s="1"/>
  <c r="F32" i="15"/>
  <c r="N3" i="15"/>
  <c r="P5" i="15" s="1"/>
  <c r="F6" i="15"/>
  <c r="F4" i="15"/>
  <c r="F5" i="15"/>
  <c r="F7" i="15"/>
  <c r="F8" i="15"/>
  <c r="F10" i="15"/>
  <c r="F3" i="15"/>
  <c r="F9" i="15"/>
  <c r="F79" i="9"/>
  <c r="N73" i="9"/>
  <c r="F73" i="9"/>
  <c r="F77" i="9"/>
  <c r="F74" i="9"/>
  <c r="F78" i="9"/>
  <c r="F76" i="9"/>
  <c r="F71" i="9"/>
  <c r="P65" i="9"/>
  <c r="P63" i="9"/>
  <c r="P64" i="9"/>
  <c r="P52" i="9"/>
  <c r="P53" i="9"/>
  <c r="M87" i="15"/>
  <c r="F88" i="15" s="1"/>
  <c r="F96" i="15"/>
  <c r="F87" i="15"/>
  <c r="F91" i="15"/>
  <c r="F11" i="15"/>
  <c r="P111" i="9"/>
  <c r="P114" i="9" s="1"/>
  <c r="P112" i="9"/>
  <c r="I47" i="20" l="1"/>
  <c r="BZ46" i="17"/>
  <c r="BW46" i="17"/>
  <c r="CB46" i="17"/>
  <c r="CA46" i="17"/>
  <c r="BY46" i="17"/>
  <c r="CD46" i="17"/>
  <c r="CC46" i="17"/>
  <c r="BV46" i="17"/>
  <c r="CE46" i="17"/>
  <c r="O17" i="16"/>
  <c r="M45" i="16" s="1"/>
  <c r="M74" i="16" s="1"/>
  <c r="C139" i="15"/>
  <c r="G130" i="9" s="1"/>
  <c r="H130" i="9" s="1"/>
  <c r="O49" i="16"/>
  <c r="C147" i="15"/>
  <c r="O52" i="16"/>
  <c r="O57" i="16"/>
  <c r="O51" i="16"/>
  <c r="M89" i="16"/>
  <c r="O89" i="16" s="1"/>
  <c r="M90" i="16"/>
  <c r="O90" i="16" s="1"/>
  <c r="O55" i="16"/>
  <c r="M82" i="16"/>
  <c r="O82" i="16" s="1"/>
  <c r="O83" i="16" s="1"/>
  <c r="O50" i="16"/>
  <c r="M88" i="16"/>
  <c r="O88" i="16" s="1"/>
  <c r="O53" i="16"/>
  <c r="I76" i="16"/>
  <c r="O76" i="16" s="1"/>
  <c r="O47" i="16"/>
  <c r="O18" i="16"/>
  <c r="H46" i="16" s="1"/>
  <c r="O11" i="16"/>
  <c r="G14" i="16"/>
  <c r="K20" i="16"/>
  <c r="K14" i="16"/>
  <c r="K15" i="16"/>
  <c r="O15" i="16" s="1"/>
  <c r="H43" i="16" s="1"/>
  <c r="K16" i="16"/>
  <c r="O56" i="16"/>
  <c r="M91" i="16"/>
  <c r="N107" i="16"/>
  <c r="N119" i="16" s="1"/>
  <c r="G15" i="20" s="1"/>
  <c r="G16" i="20" s="1"/>
  <c r="G18" i="20" s="1"/>
  <c r="O104" i="16"/>
  <c r="O107" i="16" s="1"/>
  <c r="I43" i="20"/>
  <c r="F102" i="15"/>
  <c r="F100" i="15"/>
  <c r="F94" i="15"/>
  <c r="F93" i="15"/>
  <c r="N87" i="15"/>
  <c r="F105" i="15"/>
  <c r="F104" i="15"/>
  <c r="F98" i="15"/>
  <c r="F95" i="15"/>
  <c r="F99" i="15"/>
  <c r="F89" i="15"/>
  <c r="F106" i="15" s="1"/>
  <c r="Q62" i="9"/>
  <c r="P78" i="9"/>
  <c r="P76" i="9"/>
  <c r="P77" i="9"/>
  <c r="P75" i="9"/>
  <c r="P90" i="9"/>
  <c r="P89" i="9"/>
  <c r="P36" i="9"/>
  <c r="P17" i="9"/>
  <c r="P37" i="9"/>
  <c r="P18" i="9"/>
  <c r="P54" i="9"/>
  <c r="F125" i="9" s="1"/>
  <c r="G125" i="9" s="1"/>
  <c r="P88" i="9"/>
  <c r="P87" i="9"/>
  <c r="P5" i="9"/>
  <c r="P77" i="15"/>
  <c r="P63" i="15"/>
  <c r="P52" i="15"/>
  <c r="Q86" i="9"/>
  <c r="R90" i="9" s="1"/>
  <c r="F48" i="15"/>
  <c r="P18" i="15"/>
  <c r="J8" i="11"/>
  <c r="J5" i="11"/>
  <c r="I3" i="11" s="1"/>
  <c r="O107" i="9"/>
  <c r="F92" i="15"/>
  <c r="F101" i="15"/>
  <c r="F97" i="15"/>
  <c r="F103" i="15"/>
  <c r="F90" i="15"/>
  <c r="F80" i="9"/>
  <c r="F12" i="15"/>
  <c r="P37" i="15"/>
  <c r="P36" i="15"/>
  <c r="P53" i="15"/>
  <c r="P64" i="15"/>
  <c r="P17" i="15"/>
  <c r="L45" i="16" l="1"/>
  <c r="O45" i="16" s="1"/>
  <c r="M83" i="16"/>
  <c r="B136" i="9"/>
  <c r="L43" i="16"/>
  <c r="L72" i="16" s="1"/>
  <c r="H75" i="16"/>
  <c r="O75" i="16" s="1"/>
  <c r="O46" i="16"/>
  <c r="H72" i="16"/>
  <c r="G23" i="20"/>
  <c r="K43" i="16"/>
  <c r="K72" i="16" s="1"/>
  <c r="O20" i="16"/>
  <c r="K48" i="16" s="1"/>
  <c r="L74" i="16"/>
  <c r="O74" i="16" s="1"/>
  <c r="O91" i="16"/>
  <c r="O93" i="16" s="1"/>
  <c r="M93" i="16"/>
  <c r="O16" i="16"/>
  <c r="K44" i="16" s="1"/>
  <c r="K73" i="16" s="1"/>
  <c r="O14" i="16"/>
  <c r="J43" i="16"/>
  <c r="J72" i="16" s="1"/>
  <c r="I43" i="16"/>
  <c r="I72" i="16" s="1"/>
  <c r="M43" i="16"/>
  <c r="M72" i="16" s="1"/>
  <c r="E7" i="11"/>
  <c r="F7" i="11" s="1"/>
  <c r="E124" i="13" s="1"/>
  <c r="E17" i="11"/>
  <c r="F17" i="11" s="1"/>
  <c r="E134" i="13" s="1"/>
  <c r="E21" i="11"/>
  <c r="F21" i="11" s="1"/>
  <c r="E4" i="11"/>
  <c r="F4" i="11" s="1"/>
  <c r="E121" i="13" s="1"/>
  <c r="E10" i="11"/>
  <c r="F10" i="11" s="1"/>
  <c r="E127" i="13" s="1"/>
  <c r="E3" i="11"/>
  <c r="E12" i="11"/>
  <c r="F12" i="11" s="1"/>
  <c r="E129" i="13" s="1"/>
  <c r="E16" i="11"/>
  <c r="F16" i="11" s="1"/>
  <c r="E133" i="13" s="1"/>
  <c r="E9" i="11"/>
  <c r="F9" i="11" s="1"/>
  <c r="E11" i="11"/>
  <c r="F11" i="11" s="1"/>
  <c r="E13" i="11"/>
  <c r="F13" i="11" s="1"/>
  <c r="E130" i="13" s="1"/>
  <c r="E19" i="11"/>
  <c r="F19" i="11" s="1"/>
  <c r="E136" i="13" s="1"/>
  <c r="E6" i="11"/>
  <c r="F6" i="11" s="1"/>
  <c r="E123" i="13" s="1"/>
  <c r="E18" i="11"/>
  <c r="F18" i="11" s="1"/>
  <c r="E8" i="11"/>
  <c r="F8" i="11" s="1"/>
  <c r="E15" i="11"/>
  <c r="F15" i="11" s="1"/>
  <c r="E132" i="13" s="1"/>
  <c r="E5" i="11"/>
  <c r="F5" i="11" s="1"/>
  <c r="E122" i="13" s="1"/>
  <c r="E20" i="11"/>
  <c r="F20" i="11" s="1"/>
  <c r="E14" i="11"/>
  <c r="F14" i="11" s="1"/>
  <c r="E131" i="13" s="1"/>
  <c r="Q35" i="15"/>
  <c r="B141" i="15" s="1"/>
  <c r="C132" i="9" s="1"/>
  <c r="E132" i="9" s="1"/>
  <c r="P94" i="9"/>
  <c r="P93" i="9"/>
  <c r="P96" i="9" s="1"/>
  <c r="Q4" i="15"/>
  <c r="B139" i="15" s="1"/>
  <c r="Q35" i="9"/>
  <c r="F126" i="9"/>
  <c r="G126" i="9" s="1"/>
  <c r="Q51" i="9"/>
  <c r="Q16" i="15"/>
  <c r="B140" i="15" s="1"/>
  <c r="C131" i="9" s="1"/>
  <c r="E131" i="9" s="1"/>
  <c r="G108" i="9"/>
  <c r="H108" i="9" s="1"/>
  <c r="E109" i="13" s="1"/>
  <c r="G111" i="9"/>
  <c r="H111" i="9" s="1"/>
  <c r="G112" i="9"/>
  <c r="H112" i="9" s="1"/>
  <c r="G113" i="9"/>
  <c r="H113" i="9" s="1"/>
  <c r="G107" i="9"/>
  <c r="G115" i="9"/>
  <c r="H115" i="9" s="1"/>
  <c r="G117" i="9"/>
  <c r="H117" i="9" s="1"/>
  <c r="I117" i="9" s="1"/>
  <c r="G116" i="9"/>
  <c r="H116" i="9" s="1"/>
  <c r="G114" i="9"/>
  <c r="H114" i="9" s="1"/>
  <c r="E115" i="13" s="1"/>
  <c r="G110" i="9"/>
  <c r="H110" i="9" s="1"/>
  <c r="E111" i="13" s="1"/>
  <c r="G109" i="9"/>
  <c r="H109" i="9" s="1"/>
  <c r="E110" i="13" s="1"/>
  <c r="G118" i="9"/>
  <c r="H118" i="9" s="1"/>
  <c r="I118" i="9" s="1"/>
  <c r="Q4" i="9"/>
  <c r="F123" i="9"/>
  <c r="G123" i="9" s="1"/>
  <c r="F124" i="9"/>
  <c r="G124" i="9" s="1"/>
  <c r="Q16" i="9"/>
  <c r="Q74" i="9"/>
  <c r="Q68" i="9"/>
  <c r="P68" i="9"/>
  <c r="P69" i="9"/>
  <c r="P71" i="9"/>
  <c r="P90" i="15"/>
  <c r="P91" i="15"/>
  <c r="P92" i="15"/>
  <c r="P89" i="15"/>
  <c r="P66" i="15"/>
  <c r="P80" i="15"/>
  <c r="P54" i="15"/>
  <c r="F127" i="15" s="1"/>
  <c r="G127" i="15" s="1"/>
  <c r="P65" i="15"/>
  <c r="F126" i="15" s="1"/>
  <c r="G126" i="15" s="1"/>
  <c r="P79" i="15"/>
  <c r="P78" i="15"/>
  <c r="Q76" i="15" s="1"/>
  <c r="G33" i="20" l="1"/>
  <c r="C130" i="9"/>
  <c r="B138" i="9"/>
  <c r="B140" i="9" s="1"/>
  <c r="G27" i="20"/>
  <c r="G42" i="16"/>
  <c r="M42" i="16"/>
  <c r="M71" i="16" s="1"/>
  <c r="I42" i="16"/>
  <c r="I71" i="16" s="1"/>
  <c r="I78" i="16" s="1"/>
  <c r="I100" i="16" s="1"/>
  <c r="I119" i="16" s="1"/>
  <c r="D16" i="20" s="1"/>
  <c r="H42" i="16"/>
  <c r="H71" i="16" s="1"/>
  <c r="H78" i="16" s="1"/>
  <c r="H100" i="16" s="1"/>
  <c r="H119" i="16" s="1"/>
  <c r="J42" i="16"/>
  <c r="J71" i="16" s="1"/>
  <c r="L42" i="16"/>
  <c r="L71" i="16" s="1"/>
  <c r="K77" i="16"/>
  <c r="O77" i="16" s="1"/>
  <c r="O48" i="16"/>
  <c r="O72" i="16"/>
  <c r="K42" i="16"/>
  <c r="K71" i="16" s="1"/>
  <c r="M44" i="16"/>
  <c r="M73" i="16" s="1"/>
  <c r="J44" i="16"/>
  <c r="L44" i="16"/>
  <c r="L73" i="16" s="1"/>
  <c r="O43" i="16"/>
  <c r="P82" i="15"/>
  <c r="P85" i="15" s="1"/>
  <c r="O75" i="15" s="1"/>
  <c r="P83" i="15"/>
  <c r="F128" i="15"/>
  <c r="G128" i="15" s="1"/>
  <c r="Q88" i="15"/>
  <c r="B145" i="15" s="1"/>
  <c r="C136" i="9" s="1"/>
  <c r="E136" i="9" s="1"/>
  <c r="Q80" i="9"/>
  <c r="P81" i="9"/>
  <c r="P80" i="9"/>
  <c r="P21" i="9"/>
  <c r="P23" i="9"/>
  <c r="P20" i="9"/>
  <c r="P7" i="9"/>
  <c r="P8" i="9"/>
  <c r="P10" i="9"/>
  <c r="Q62" i="15"/>
  <c r="B142" i="15" s="1"/>
  <c r="C133" i="9" s="1"/>
  <c r="E133" i="9" s="1"/>
  <c r="Q51" i="15"/>
  <c r="I113" i="9"/>
  <c r="F114" i="13" s="1"/>
  <c r="E114" i="13"/>
  <c r="I111" i="9"/>
  <c r="F112" i="13" s="1"/>
  <c r="E112" i="13"/>
  <c r="Q56" i="9"/>
  <c r="P57" i="9"/>
  <c r="P56" i="9"/>
  <c r="F125" i="15"/>
  <c r="G125" i="15" s="1"/>
  <c r="O85" i="9"/>
  <c r="P41" i="15"/>
  <c r="P40" i="15"/>
  <c r="P43" i="15" s="1"/>
  <c r="G20" i="11"/>
  <c r="F137" i="13" s="1"/>
  <c r="E137" i="13"/>
  <c r="G18" i="11"/>
  <c r="F135" i="13" s="1"/>
  <c r="E135" i="13"/>
  <c r="G11" i="11"/>
  <c r="F128" i="13" s="1"/>
  <c r="E128" i="13"/>
  <c r="F3" i="11"/>
  <c r="E22" i="11"/>
  <c r="E23" i="11" s="1"/>
  <c r="O61" i="9"/>
  <c r="G119" i="9"/>
  <c r="H107" i="9"/>
  <c r="I112" i="9"/>
  <c r="F113" i="13" s="1"/>
  <c r="E113" i="13"/>
  <c r="P21" i="15"/>
  <c r="P20" i="15"/>
  <c r="P23" i="15" s="1"/>
  <c r="P41" i="9"/>
  <c r="P40" i="9"/>
  <c r="P43" i="9"/>
  <c r="P7" i="15"/>
  <c r="P10" i="15" s="1"/>
  <c r="P8" i="15"/>
  <c r="Q119" i="9"/>
  <c r="E125" i="13"/>
  <c r="G8" i="11"/>
  <c r="F125" i="13" s="1"/>
  <c r="G9" i="11"/>
  <c r="F126" i="13" s="1"/>
  <c r="E126" i="13"/>
  <c r="G21" i="11"/>
  <c r="F138" i="13" s="1"/>
  <c r="E138" i="13"/>
  <c r="C15" i="20" l="1"/>
  <c r="C16" i="20" s="1"/>
  <c r="D23" i="20"/>
  <c r="D33" i="20" s="1"/>
  <c r="D18" i="20"/>
  <c r="G28" i="20"/>
  <c r="G29" i="20" s="1"/>
  <c r="B147" i="15"/>
  <c r="C138" i="9"/>
  <c r="E130" i="9"/>
  <c r="G71" i="16"/>
  <c r="O42" i="16"/>
  <c r="J73" i="16"/>
  <c r="O73" i="16" s="1"/>
  <c r="O44" i="16"/>
  <c r="K78" i="16"/>
  <c r="K100" i="16" s="1"/>
  <c r="K119" i="16" s="1"/>
  <c r="L78" i="16"/>
  <c r="L100" i="16" s="1"/>
  <c r="L119" i="16" s="1"/>
  <c r="M78" i="16"/>
  <c r="M100" i="16" s="1"/>
  <c r="G75" i="15"/>
  <c r="G76" i="15"/>
  <c r="H76" i="15" s="1"/>
  <c r="G80" i="15"/>
  <c r="H80" i="15" s="1"/>
  <c r="G79" i="15"/>
  <c r="H79" i="15" s="1"/>
  <c r="G81" i="15"/>
  <c r="H81" i="15" s="1"/>
  <c r="G77" i="15"/>
  <c r="H77" i="15" s="1"/>
  <c r="G78" i="15"/>
  <c r="H78" i="15" s="1"/>
  <c r="I78" i="15" s="1"/>
  <c r="O3" i="15"/>
  <c r="O34" i="9"/>
  <c r="O15" i="15"/>
  <c r="O34" i="15"/>
  <c r="O50" i="9"/>
  <c r="P59" i="9"/>
  <c r="P56" i="15"/>
  <c r="P59" i="15" s="1"/>
  <c r="P57" i="15"/>
  <c r="O3" i="9"/>
  <c r="I107" i="9"/>
  <c r="F108" i="13" s="1"/>
  <c r="E108" i="13"/>
  <c r="G67" i="9"/>
  <c r="H67" i="9" s="1"/>
  <c r="G61" i="9"/>
  <c r="G65" i="9"/>
  <c r="H65" i="9" s="1"/>
  <c r="G70" i="9"/>
  <c r="H70" i="9" s="1"/>
  <c r="E71" i="13" s="1"/>
  <c r="G62" i="9"/>
  <c r="H62" i="9" s="1"/>
  <c r="E63" i="13" s="1"/>
  <c r="G63" i="9"/>
  <c r="H63" i="9" s="1"/>
  <c r="E64" i="13" s="1"/>
  <c r="G69" i="9"/>
  <c r="H69" i="9" s="1"/>
  <c r="E70" i="13" s="1"/>
  <c r="G64" i="9"/>
  <c r="H64" i="9" s="1"/>
  <c r="G68" i="9"/>
  <c r="H68" i="9" s="1"/>
  <c r="E69" i="13" s="1"/>
  <c r="G66" i="9"/>
  <c r="H66" i="9" s="1"/>
  <c r="E67" i="13" s="1"/>
  <c r="G3" i="11"/>
  <c r="F107" i="13" s="1"/>
  <c r="E107" i="13"/>
  <c r="G97" i="9"/>
  <c r="H97" i="9" s="1"/>
  <c r="G90" i="9"/>
  <c r="H90" i="9" s="1"/>
  <c r="G87" i="9"/>
  <c r="H87" i="9" s="1"/>
  <c r="E88" i="13" s="1"/>
  <c r="P88" i="13" s="1"/>
  <c r="G89" i="9"/>
  <c r="H89" i="9" s="1"/>
  <c r="E90" i="13" s="1"/>
  <c r="P90" i="13" s="1"/>
  <c r="G91" i="9"/>
  <c r="H91" i="9" s="1"/>
  <c r="E92" i="13" s="1"/>
  <c r="P92" i="13" s="1"/>
  <c r="G93" i="9"/>
  <c r="H93" i="9" s="1"/>
  <c r="E94" i="13" s="1"/>
  <c r="P94" i="13" s="1"/>
  <c r="G86" i="9"/>
  <c r="H86" i="9" s="1"/>
  <c r="E87" i="13" s="1"/>
  <c r="P87" i="13" s="1"/>
  <c r="G96" i="9"/>
  <c r="H96" i="9" s="1"/>
  <c r="G95" i="9"/>
  <c r="H95" i="9" s="1"/>
  <c r="E96" i="13" s="1"/>
  <c r="P96" i="13" s="1"/>
  <c r="G88" i="9"/>
  <c r="H88" i="9" s="1"/>
  <c r="G85" i="9"/>
  <c r="G101" i="9"/>
  <c r="H101" i="9" s="1"/>
  <c r="E102" i="13" s="1"/>
  <c r="P102" i="13" s="1"/>
  <c r="G102" i="9"/>
  <c r="H102" i="9" s="1"/>
  <c r="G94" i="9"/>
  <c r="H94" i="9" s="1"/>
  <c r="E95" i="13" s="1"/>
  <c r="P95" i="13" s="1"/>
  <c r="G103" i="9"/>
  <c r="H103" i="9" s="1"/>
  <c r="G98" i="9"/>
  <c r="H98" i="9" s="1"/>
  <c r="E99" i="13" s="1"/>
  <c r="P99" i="13" s="1"/>
  <c r="G99" i="9"/>
  <c r="H99" i="9" s="1"/>
  <c r="E100" i="13" s="1"/>
  <c r="P100" i="13" s="1"/>
  <c r="G100" i="9"/>
  <c r="H100" i="9" s="1"/>
  <c r="G92" i="9"/>
  <c r="H92" i="9" s="1"/>
  <c r="P70" i="15"/>
  <c r="P69" i="15"/>
  <c r="O15" i="9"/>
  <c r="P83" i="9"/>
  <c r="O73" i="9" s="1"/>
  <c r="P95" i="15"/>
  <c r="P96" i="15"/>
  <c r="P98" i="15"/>
  <c r="Q121" i="15"/>
  <c r="C18" i="20" l="1"/>
  <c r="C23" i="20" s="1"/>
  <c r="D27" i="20"/>
  <c r="D28" i="20" s="1"/>
  <c r="D29" i="20" s="1"/>
  <c r="M119" i="16"/>
  <c r="F15" i="20" s="1"/>
  <c r="F16" i="20" s="1"/>
  <c r="J78" i="16"/>
  <c r="J100" i="16" s="1"/>
  <c r="J119" i="16" s="1"/>
  <c r="E15" i="20" s="1"/>
  <c r="E16" i="20" s="1"/>
  <c r="G78" i="16"/>
  <c r="G100" i="16" s="1"/>
  <c r="G119" i="16" s="1"/>
  <c r="B15" i="20" s="1"/>
  <c r="O71" i="16"/>
  <c r="O78" i="16" s="1"/>
  <c r="O100" i="16" s="1"/>
  <c r="O119" i="16" s="1"/>
  <c r="G76" i="9"/>
  <c r="H76" i="9" s="1"/>
  <c r="G77" i="9"/>
  <c r="H77" i="9" s="1"/>
  <c r="E79" i="13" s="1"/>
  <c r="G73" i="9"/>
  <c r="G75" i="9"/>
  <c r="H75" i="9" s="1"/>
  <c r="E77" i="13" s="1"/>
  <c r="G79" i="9"/>
  <c r="H79" i="9" s="1"/>
  <c r="E81" i="13" s="1"/>
  <c r="G78" i="9"/>
  <c r="H78" i="9" s="1"/>
  <c r="E80" i="13" s="1"/>
  <c r="G74" i="9"/>
  <c r="H74" i="9" s="1"/>
  <c r="E76" i="13" s="1"/>
  <c r="O87" i="15"/>
  <c r="E101" i="13"/>
  <c r="P101" i="13" s="1"/>
  <c r="I100" i="9"/>
  <c r="F101" i="13" s="1"/>
  <c r="E89" i="13"/>
  <c r="I88" i="9"/>
  <c r="F89" i="13" s="1"/>
  <c r="I96" i="9"/>
  <c r="F97" i="13" s="1"/>
  <c r="E97" i="13"/>
  <c r="P97" i="13" s="1"/>
  <c r="I90" i="9"/>
  <c r="F91" i="13" s="1"/>
  <c r="E91" i="13"/>
  <c r="E65" i="13"/>
  <c r="I64" i="9"/>
  <c r="F65" i="13" s="1"/>
  <c r="G71" i="9"/>
  <c r="H61" i="9"/>
  <c r="E62" i="13" s="1"/>
  <c r="G56" i="9"/>
  <c r="H56" i="9" s="1"/>
  <c r="E58" i="13" s="1"/>
  <c r="G53" i="9"/>
  <c r="H53" i="9" s="1"/>
  <c r="G50" i="9"/>
  <c r="G55" i="9"/>
  <c r="H55" i="9" s="1"/>
  <c r="G54" i="9"/>
  <c r="H54" i="9" s="1"/>
  <c r="E56" i="13" s="1"/>
  <c r="G51" i="9"/>
  <c r="H51" i="9" s="1"/>
  <c r="E53" i="13" s="1"/>
  <c r="G52" i="9"/>
  <c r="H52" i="9" s="1"/>
  <c r="E54" i="13" s="1"/>
  <c r="G31" i="15"/>
  <c r="H31" i="15" s="1"/>
  <c r="I31" i="15" s="1"/>
  <c r="G15" i="15"/>
  <c r="G16" i="15"/>
  <c r="H16" i="15" s="1"/>
  <c r="G22" i="15"/>
  <c r="H22" i="15" s="1"/>
  <c r="I22" i="15" s="1"/>
  <c r="G18" i="15"/>
  <c r="H18" i="15" s="1"/>
  <c r="I18" i="15" s="1"/>
  <c r="G24" i="15"/>
  <c r="H24" i="15" s="1"/>
  <c r="G25" i="15"/>
  <c r="H25" i="15" s="1"/>
  <c r="G17" i="15"/>
  <c r="H17" i="15" s="1"/>
  <c r="G30" i="15"/>
  <c r="H30" i="15" s="1"/>
  <c r="I30" i="15" s="1"/>
  <c r="G23" i="15"/>
  <c r="H23" i="15" s="1"/>
  <c r="I23" i="15" s="1"/>
  <c r="G21" i="15"/>
  <c r="H21" i="15" s="1"/>
  <c r="G26" i="15"/>
  <c r="H26" i="15" s="1"/>
  <c r="I26" i="15" s="1"/>
  <c r="G27" i="15"/>
  <c r="H27" i="15" s="1"/>
  <c r="I27" i="15" s="1"/>
  <c r="G19" i="15"/>
  <c r="H19" i="15" s="1"/>
  <c r="G29" i="15"/>
  <c r="H29" i="15" s="1"/>
  <c r="G20" i="15"/>
  <c r="H20" i="15" s="1"/>
  <c r="G28" i="15"/>
  <c r="H28" i="15" s="1"/>
  <c r="G5" i="15"/>
  <c r="H5" i="15" s="1"/>
  <c r="I5" i="15" s="1"/>
  <c r="G6" i="15"/>
  <c r="H6" i="15" s="1"/>
  <c r="G4" i="15"/>
  <c r="H4" i="15" s="1"/>
  <c r="G7" i="15"/>
  <c r="H7" i="15" s="1"/>
  <c r="G8" i="15"/>
  <c r="H8" i="15" s="1"/>
  <c r="G10" i="15"/>
  <c r="H10" i="15" s="1"/>
  <c r="G11" i="15"/>
  <c r="H11" i="15" s="1"/>
  <c r="I11" i="15" s="1"/>
  <c r="G3" i="15"/>
  <c r="G9" i="15"/>
  <c r="H9" i="15" s="1"/>
  <c r="I9" i="15" s="1"/>
  <c r="G15" i="9"/>
  <c r="G28" i="9"/>
  <c r="H28" i="9" s="1"/>
  <c r="E29" i="13" s="1"/>
  <c r="G31" i="9"/>
  <c r="H31" i="9" s="1"/>
  <c r="G18" i="9"/>
  <c r="H18" i="9" s="1"/>
  <c r="G26" i="9"/>
  <c r="H26" i="9" s="1"/>
  <c r="G19" i="9"/>
  <c r="H19" i="9" s="1"/>
  <c r="E20" i="13" s="1"/>
  <c r="G24" i="9"/>
  <c r="H24" i="9" s="1"/>
  <c r="E25" i="13" s="1"/>
  <c r="G23" i="9"/>
  <c r="H23" i="9" s="1"/>
  <c r="G16" i="9"/>
  <c r="H16" i="9" s="1"/>
  <c r="E17" i="13" s="1"/>
  <c r="G20" i="9"/>
  <c r="H20" i="9" s="1"/>
  <c r="E21" i="13" s="1"/>
  <c r="G22" i="9"/>
  <c r="H22" i="9" s="1"/>
  <c r="G17" i="9"/>
  <c r="H17" i="9" s="1"/>
  <c r="E18" i="13" s="1"/>
  <c r="G30" i="9"/>
  <c r="H30" i="9" s="1"/>
  <c r="G21" i="9"/>
  <c r="H21" i="9" s="1"/>
  <c r="E22" i="13" s="1"/>
  <c r="G25" i="9"/>
  <c r="H25" i="9" s="1"/>
  <c r="E26" i="13" s="1"/>
  <c r="G27" i="9"/>
  <c r="H27" i="9" s="1"/>
  <c r="G29" i="9"/>
  <c r="H29" i="9" s="1"/>
  <c r="E30" i="13" s="1"/>
  <c r="P72" i="15"/>
  <c r="O61" i="15" s="1"/>
  <c r="E93" i="13"/>
  <c r="I92" i="9"/>
  <c r="F93" i="13" s="1"/>
  <c r="E104" i="13"/>
  <c r="I103" i="9"/>
  <c r="F104" i="13" s="1"/>
  <c r="E103" i="13"/>
  <c r="P103" i="13" s="1"/>
  <c r="I102" i="9"/>
  <c r="F103" i="13" s="1"/>
  <c r="H85" i="9"/>
  <c r="G104" i="9"/>
  <c r="P105" i="13"/>
  <c r="I97" i="9"/>
  <c r="F98" i="13" s="1"/>
  <c r="E98" i="13"/>
  <c r="P98" i="13" s="1"/>
  <c r="I65" i="9"/>
  <c r="F66" i="13" s="1"/>
  <c r="E66" i="13"/>
  <c r="I67" i="9"/>
  <c r="F68" i="13" s="1"/>
  <c r="E68" i="13"/>
  <c r="G8" i="9"/>
  <c r="H8" i="9" s="1"/>
  <c r="E12" i="13" s="1"/>
  <c r="G11" i="9"/>
  <c r="H11" i="9" s="1"/>
  <c r="G5" i="9"/>
  <c r="H5" i="9" s="1"/>
  <c r="G3" i="9"/>
  <c r="G9" i="9"/>
  <c r="H9" i="9" s="1"/>
  <c r="G7" i="9"/>
  <c r="H7" i="9" s="1"/>
  <c r="E11" i="13" s="1"/>
  <c r="G6" i="9"/>
  <c r="H6" i="9" s="1"/>
  <c r="E10" i="13" s="1"/>
  <c r="G10" i="9"/>
  <c r="H10" i="9" s="1"/>
  <c r="E14" i="13" s="1"/>
  <c r="G4" i="9"/>
  <c r="H4" i="9" s="1"/>
  <c r="E8" i="13" s="1"/>
  <c r="O50" i="15"/>
  <c r="G46" i="15"/>
  <c r="H46" i="15" s="1"/>
  <c r="G45" i="15"/>
  <c r="H45" i="15" s="1"/>
  <c r="I45" i="15" s="1"/>
  <c r="G47" i="15"/>
  <c r="H47" i="15" s="1"/>
  <c r="I47" i="15" s="1"/>
  <c r="G36" i="15"/>
  <c r="H36" i="15" s="1"/>
  <c r="I36" i="15" s="1"/>
  <c r="G43" i="15"/>
  <c r="H43" i="15" s="1"/>
  <c r="I43" i="15" s="1"/>
  <c r="G42" i="15"/>
  <c r="H42" i="15" s="1"/>
  <c r="G38" i="15"/>
  <c r="H38" i="15" s="1"/>
  <c r="G37" i="15"/>
  <c r="H37" i="15" s="1"/>
  <c r="I37" i="15" s="1"/>
  <c r="G40" i="15"/>
  <c r="H40" i="15" s="1"/>
  <c r="G41" i="15"/>
  <c r="H41" i="15" s="1"/>
  <c r="G39" i="15"/>
  <c r="H39" i="15" s="1"/>
  <c r="I39" i="15" s="1"/>
  <c r="G35" i="15"/>
  <c r="H35" i="15" s="1"/>
  <c r="G44" i="15"/>
  <c r="H44" i="15" s="1"/>
  <c r="I44" i="15" s="1"/>
  <c r="G34" i="15"/>
  <c r="G38" i="9"/>
  <c r="H38" i="9" s="1"/>
  <c r="E40" i="13" s="1"/>
  <c r="G39" i="9"/>
  <c r="H39" i="9" s="1"/>
  <c r="G36" i="9"/>
  <c r="H36" i="9" s="1"/>
  <c r="G41" i="9"/>
  <c r="H41" i="9" s="1"/>
  <c r="E43" i="13" s="1"/>
  <c r="G35" i="9"/>
  <c r="H35" i="9" s="1"/>
  <c r="E37" i="13" s="1"/>
  <c r="G47" i="9"/>
  <c r="H47" i="9" s="1"/>
  <c r="G44" i="9"/>
  <c r="H44" i="9" s="1"/>
  <c r="G42" i="9"/>
  <c r="H42" i="9" s="1"/>
  <c r="E44" i="13" s="1"/>
  <c r="G43" i="9"/>
  <c r="H43" i="9" s="1"/>
  <c r="G40" i="9"/>
  <c r="H40" i="9" s="1"/>
  <c r="E42" i="13" s="1"/>
  <c r="G45" i="9"/>
  <c r="H45" i="9" s="1"/>
  <c r="G34" i="9"/>
  <c r="G37" i="9"/>
  <c r="H37" i="9" s="1"/>
  <c r="G46" i="9"/>
  <c r="H46" i="9" s="1"/>
  <c r="E48" i="13" s="1"/>
  <c r="G82" i="15"/>
  <c r="H75" i="15"/>
  <c r="C33" i="20" l="1"/>
  <c r="C27" i="20"/>
  <c r="C28" i="20" s="1"/>
  <c r="C29" i="20" s="1"/>
  <c r="F18" i="20"/>
  <c r="F23" i="20" s="1"/>
  <c r="E18" i="20"/>
  <c r="E23" i="20" s="1"/>
  <c r="B16" i="20"/>
  <c r="B18" i="20" s="1"/>
  <c r="I15" i="20"/>
  <c r="G48" i="9"/>
  <c r="H34" i="9"/>
  <c r="E36" i="13" s="1"/>
  <c r="I47" i="9"/>
  <c r="F49" i="13" s="1"/>
  <c r="E49" i="13"/>
  <c r="I39" i="9"/>
  <c r="F41" i="13" s="1"/>
  <c r="E41" i="13"/>
  <c r="H34" i="15"/>
  <c r="G48" i="15"/>
  <c r="G54" i="15"/>
  <c r="H54" i="15" s="1"/>
  <c r="G53" i="15"/>
  <c r="H53" i="15" s="1"/>
  <c r="I53" i="15" s="1"/>
  <c r="G52" i="15"/>
  <c r="H52" i="15" s="1"/>
  <c r="G50" i="15"/>
  <c r="G55" i="15"/>
  <c r="H55" i="15" s="1"/>
  <c r="I55" i="15" s="1"/>
  <c r="G51" i="15"/>
  <c r="H51" i="15" s="1"/>
  <c r="G56" i="15"/>
  <c r="H56" i="15" s="1"/>
  <c r="G12" i="9"/>
  <c r="H3" i="9"/>
  <c r="E15" i="13"/>
  <c r="I11" i="9"/>
  <c r="F15" i="13" s="1"/>
  <c r="I85" i="9"/>
  <c r="F86" i="13" s="1"/>
  <c r="E86" i="13"/>
  <c r="I30" i="9"/>
  <c r="F31" i="13" s="1"/>
  <c r="E31" i="13"/>
  <c r="E23" i="13"/>
  <c r="I22" i="9"/>
  <c r="F23" i="13" s="1"/>
  <c r="I26" i="9"/>
  <c r="F27" i="13" s="1"/>
  <c r="E27" i="13"/>
  <c r="E32" i="13"/>
  <c r="I31" i="9"/>
  <c r="F32" i="13" s="1"/>
  <c r="G32" i="9"/>
  <c r="H15" i="9"/>
  <c r="H3" i="15"/>
  <c r="I3" i="15" s="1"/>
  <c r="G12" i="15"/>
  <c r="I55" i="9"/>
  <c r="F57" i="13" s="1"/>
  <c r="E57" i="13"/>
  <c r="I53" i="9"/>
  <c r="F55" i="13" s="1"/>
  <c r="E55" i="13"/>
  <c r="Q89" i="13"/>
  <c r="K89" i="13"/>
  <c r="G65" i="15"/>
  <c r="H65" i="15" s="1"/>
  <c r="I65" i="15" s="1"/>
  <c r="G68" i="15"/>
  <c r="H68" i="15" s="1"/>
  <c r="I68" i="15" s="1"/>
  <c r="G64" i="15"/>
  <c r="H64" i="15" s="1"/>
  <c r="G61" i="15"/>
  <c r="G67" i="15"/>
  <c r="H67" i="15" s="1"/>
  <c r="G70" i="15"/>
  <c r="H70" i="15" s="1"/>
  <c r="G62" i="15"/>
  <c r="H62" i="15" s="1"/>
  <c r="G63" i="15"/>
  <c r="H63" i="15" s="1"/>
  <c r="G66" i="15"/>
  <c r="H66" i="15" s="1"/>
  <c r="I66" i="15" s="1"/>
  <c r="G71" i="15"/>
  <c r="H71" i="15" s="1"/>
  <c r="G69" i="15"/>
  <c r="H69" i="15" s="1"/>
  <c r="H73" i="9"/>
  <c r="E75" i="13" s="1"/>
  <c r="G80" i="9"/>
  <c r="I76" i="9"/>
  <c r="F78" i="13" s="1"/>
  <c r="E78" i="13"/>
  <c r="E39" i="13"/>
  <c r="I37" i="9"/>
  <c r="F39" i="13" s="1"/>
  <c r="E47" i="13"/>
  <c r="I45" i="9"/>
  <c r="F47" i="13" s="1"/>
  <c r="I43" i="9"/>
  <c r="F45" i="13" s="1"/>
  <c r="E45" i="13"/>
  <c r="I44" i="9"/>
  <c r="F46" i="13" s="1"/>
  <c r="E46" i="13"/>
  <c r="I36" i="9"/>
  <c r="F38" i="13" s="1"/>
  <c r="E38" i="13"/>
  <c r="I9" i="9"/>
  <c r="F13" i="13" s="1"/>
  <c r="E13" i="13"/>
  <c r="E9" i="13"/>
  <c r="I5" i="9"/>
  <c r="F9" i="13" s="1"/>
  <c r="Q104" i="13"/>
  <c r="K104" i="13"/>
  <c r="K93" i="13"/>
  <c r="Q93" i="13"/>
  <c r="E28" i="13"/>
  <c r="I27" i="9"/>
  <c r="F28" i="13" s="1"/>
  <c r="E24" i="13"/>
  <c r="I23" i="9"/>
  <c r="F24" i="13" s="1"/>
  <c r="I18" i="9"/>
  <c r="F19" i="13" s="1"/>
  <c r="E19" i="13"/>
  <c r="H15" i="15"/>
  <c r="I15" i="15" s="1"/>
  <c r="G32" i="15"/>
  <c r="G57" i="9"/>
  <c r="H50" i="9"/>
  <c r="E52" i="13" s="1"/>
  <c r="Q91" i="13"/>
  <c r="K91" i="13"/>
  <c r="G96" i="15"/>
  <c r="H96" i="15" s="1"/>
  <c r="G88" i="15"/>
  <c r="H88" i="15" s="1"/>
  <c r="G95" i="15"/>
  <c r="H95" i="15" s="1"/>
  <c r="G105" i="15"/>
  <c r="H105" i="15" s="1"/>
  <c r="I105" i="15" s="1"/>
  <c r="G99" i="15"/>
  <c r="H99" i="15" s="1"/>
  <c r="I99" i="15" s="1"/>
  <c r="G87" i="15"/>
  <c r="G91" i="15"/>
  <c r="H91" i="15" s="1"/>
  <c r="G100" i="15"/>
  <c r="H100" i="15" s="1"/>
  <c r="G102" i="15"/>
  <c r="H102" i="15" s="1"/>
  <c r="I102" i="15" s="1"/>
  <c r="G101" i="15"/>
  <c r="H101" i="15" s="1"/>
  <c r="G97" i="15"/>
  <c r="H97" i="15" s="1"/>
  <c r="G98" i="15"/>
  <c r="H98" i="15" s="1"/>
  <c r="I98" i="15" s="1"/>
  <c r="G92" i="15"/>
  <c r="H92" i="15" s="1"/>
  <c r="I92" i="15" s="1"/>
  <c r="G89" i="15"/>
  <c r="H89" i="15" s="1"/>
  <c r="G94" i="15"/>
  <c r="H94" i="15" s="1"/>
  <c r="I94" i="15" s="1"/>
  <c r="G103" i="15"/>
  <c r="H103" i="15" s="1"/>
  <c r="G93" i="15"/>
  <c r="H93" i="15" s="1"/>
  <c r="G104" i="15"/>
  <c r="H104" i="15" s="1"/>
  <c r="I104" i="15" s="1"/>
  <c r="G90" i="15"/>
  <c r="H90" i="15" s="1"/>
  <c r="I90" i="15" s="1"/>
  <c r="E33" i="20" l="1"/>
  <c r="F33" i="20"/>
  <c r="F27" i="20"/>
  <c r="E27" i="20"/>
  <c r="F28" i="20"/>
  <c r="F29" i="20" s="1"/>
  <c r="E28" i="20"/>
  <c r="E29" i="20" s="1"/>
  <c r="I16" i="20"/>
  <c r="G106" i="15"/>
  <c r="H87" i="15"/>
  <c r="I87" i="15" s="1"/>
  <c r="Q105" i="13"/>
  <c r="P106" i="13" s="1"/>
  <c r="E7" i="13"/>
  <c r="I3" i="9"/>
  <c r="F7" i="13" s="1"/>
  <c r="G72" i="15"/>
  <c r="H61" i="15"/>
  <c r="K105" i="13"/>
  <c r="J106" i="13" s="1"/>
  <c r="I15" i="9"/>
  <c r="F16" i="13" s="1"/>
  <c r="E16" i="13"/>
  <c r="H50" i="15"/>
  <c r="G57" i="15"/>
  <c r="B23" i="20" l="1"/>
  <c r="B33" i="20" s="1"/>
  <c r="I18" i="20"/>
  <c r="B27" i="20" l="1"/>
  <c r="I33" i="20"/>
  <c r="I34" i="20" s="1"/>
  <c r="B20" i="22"/>
  <c r="B22" i="22" s="1"/>
  <c r="I23" i="20"/>
  <c r="B24" i="20" l="1"/>
  <c r="B32" i="20" s="1"/>
  <c r="I27" i="20"/>
  <c r="B28" i="20"/>
  <c r="B76" i="22"/>
  <c r="B34" i="22"/>
  <c r="C22" i="22" s="1"/>
  <c r="G24" i="20"/>
  <c r="G32" i="20" s="1"/>
  <c r="H24" i="20"/>
  <c r="H32" i="20" s="1"/>
  <c r="I24" i="20"/>
  <c r="D24" i="20"/>
  <c r="D32" i="20" s="1"/>
  <c r="C24" i="20"/>
  <c r="C32" i="20" s="1"/>
  <c r="F24" i="20"/>
  <c r="F32" i="20" s="1"/>
  <c r="E24" i="20"/>
  <c r="E32" i="20" s="1"/>
  <c r="I28" i="20" l="1"/>
  <c r="I41" i="20" s="1"/>
  <c r="B29" i="20"/>
  <c r="B78" i="22"/>
  <c r="B27" i="22"/>
  <c r="B38" i="22"/>
  <c r="B28" i="22"/>
  <c r="B15" i="22"/>
  <c r="B29" i="22"/>
  <c r="B26" i="22"/>
  <c r="C26" i="22" s="1"/>
  <c r="B30" i="22"/>
  <c r="B25" i="22"/>
  <c r="B34" i="20"/>
  <c r="B41" i="20" s="1"/>
  <c r="B49" i="20" s="1"/>
  <c r="Z13" i="21" s="1"/>
  <c r="Z40" i="21" l="1"/>
  <c r="AI40" i="21" s="1"/>
  <c r="Z38" i="21"/>
  <c r="AI38" i="21" s="1"/>
  <c r="Z36" i="21"/>
  <c r="Z34" i="21"/>
  <c r="AI34" i="21" s="1"/>
  <c r="Z32" i="21"/>
  <c r="AI32" i="21" s="1"/>
  <c r="Z30" i="21"/>
  <c r="AI30" i="21" s="1"/>
  <c r="Z28" i="21"/>
  <c r="AI28" i="21" s="1"/>
  <c r="Z26" i="21"/>
  <c r="AI26" i="21" s="1"/>
  <c r="Z24" i="21"/>
  <c r="AI24" i="21" s="1"/>
  <c r="Z22" i="21"/>
  <c r="Z20" i="21"/>
  <c r="Z18" i="21"/>
  <c r="AI18" i="21" s="1"/>
  <c r="Z16" i="21"/>
  <c r="AI16" i="21" s="1"/>
  <c r="Z41" i="21"/>
  <c r="AI41" i="21" s="1"/>
  <c r="Z39" i="21"/>
  <c r="AI39" i="21" s="1"/>
  <c r="Z37" i="21"/>
  <c r="AI37" i="21" s="1"/>
  <c r="Z35" i="21"/>
  <c r="Z33" i="21"/>
  <c r="AI33" i="21" s="1"/>
  <c r="Z31" i="21"/>
  <c r="AI31" i="21" s="1"/>
  <c r="Z29" i="21"/>
  <c r="AI29" i="21" s="1"/>
  <c r="Z27" i="21"/>
  <c r="AI27" i="21" s="1"/>
  <c r="Z25" i="21"/>
  <c r="AI25" i="21" s="1"/>
  <c r="Z23" i="21"/>
  <c r="AI23" i="21" s="1"/>
  <c r="Z21" i="21"/>
  <c r="Z19" i="21"/>
  <c r="AI19" i="21" s="1"/>
  <c r="Z17" i="21"/>
  <c r="AI17" i="21" s="1"/>
  <c r="B45" i="20"/>
  <c r="G13" i="21" s="1"/>
  <c r="D174" i="27"/>
  <c r="D174" i="26"/>
  <c r="B32" i="22"/>
  <c r="B36" i="22" s="1"/>
  <c r="I29" i="20"/>
  <c r="B79" i="22"/>
  <c r="C78" i="22" s="1"/>
  <c r="G34" i="20"/>
  <c r="G41" i="20" s="1"/>
  <c r="G49" i="20" s="1"/>
  <c r="AE13" i="21" s="1"/>
  <c r="D34" i="20"/>
  <c r="D41" i="20" s="1"/>
  <c r="D49" i="20" s="1"/>
  <c r="AB13" i="21" s="1"/>
  <c r="F34" i="20"/>
  <c r="F41" i="20" s="1"/>
  <c r="F49" i="20" s="1"/>
  <c r="AD13" i="21" s="1"/>
  <c r="H34" i="20"/>
  <c r="C34" i="20"/>
  <c r="C41" i="20" s="1"/>
  <c r="C49" i="20" s="1"/>
  <c r="AA13" i="21" s="1"/>
  <c r="E34" i="20"/>
  <c r="E41" i="20" s="1"/>
  <c r="E49" i="20" s="1"/>
  <c r="AC13" i="21" s="1"/>
  <c r="AZ19" i="21" l="1"/>
  <c r="AZ23" i="21"/>
  <c r="AZ27" i="21"/>
  <c r="AZ31" i="21"/>
  <c r="AZ35" i="21"/>
  <c r="AZ39" i="21"/>
  <c r="AZ16" i="21"/>
  <c r="AZ20" i="21"/>
  <c r="AZ24" i="21"/>
  <c r="AZ28" i="21"/>
  <c r="AZ32" i="21"/>
  <c r="AZ36" i="21"/>
  <c r="AZ40" i="21"/>
  <c r="AZ17" i="21"/>
  <c r="AZ21" i="21"/>
  <c r="AZ25" i="21"/>
  <c r="AZ29" i="21"/>
  <c r="AZ33" i="21"/>
  <c r="AZ37" i="21"/>
  <c r="AZ41" i="21"/>
  <c r="AZ18" i="21"/>
  <c r="AZ22" i="21"/>
  <c r="AZ26" i="21"/>
  <c r="AZ30" i="21"/>
  <c r="AZ34" i="21"/>
  <c r="AZ38" i="21"/>
  <c r="AA16" i="21"/>
  <c r="AJ16" i="21" s="1"/>
  <c r="AA20" i="21"/>
  <c r="AA24" i="21"/>
  <c r="AJ24" i="21" s="1"/>
  <c r="AA28" i="21"/>
  <c r="AJ28" i="21" s="1"/>
  <c r="AA32" i="21"/>
  <c r="AJ32" i="21" s="1"/>
  <c r="AA36" i="21"/>
  <c r="AA40" i="21"/>
  <c r="AJ40" i="21" s="1"/>
  <c r="AA19" i="21"/>
  <c r="AJ19" i="21" s="1"/>
  <c r="AA23" i="21"/>
  <c r="AJ23" i="21" s="1"/>
  <c r="AA27" i="21"/>
  <c r="AJ27" i="21" s="1"/>
  <c r="AA31" i="21"/>
  <c r="AJ31" i="21" s="1"/>
  <c r="AA35" i="21"/>
  <c r="AA39" i="21"/>
  <c r="AJ39" i="21" s="1"/>
  <c r="AA18" i="21"/>
  <c r="AJ18" i="21" s="1"/>
  <c r="AA22" i="21"/>
  <c r="AA26" i="21"/>
  <c r="AJ26" i="21" s="1"/>
  <c r="AA30" i="21"/>
  <c r="AJ30" i="21" s="1"/>
  <c r="AA34" i="21"/>
  <c r="AJ34" i="21" s="1"/>
  <c r="AA38" i="21"/>
  <c r="AJ38" i="21" s="1"/>
  <c r="AA17" i="21"/>
  <c r="AJ17" i="21" s="1"/>
  <c r="AA21" i="21"/>
  <c r="AA25" i="21"/>
  <c r="AJ25" i="21" s="1"/>
  <c r="AA29" i="21"/>
  <c r="AJ29" i="21" s="1"/>
  <c r="AA33" i="21"/>
  <c r="AJ33" i="21" s="1"/>
  <c r="AA37" i="21"/>
  <c r="AJ37" i="21" s="1"/>
  <c r="AA41" i="21"/>
  <c r="AJ41" i="21" s="1"/>
  <c r="AE16" i="21"/>
  <c r="AN16" i="21" s="1"/>
  <c r="AE20" i="21"/>
  <c r="AE24" i="21"/>
  <c r="AN24" i="21" s="1"/>
  <c r="AE28" i="21"/>
  <c r="AN28" i="21" s="1"/>
  <c r="AE32" i="21"/>
  <c r="AN32" i="21" s="1"/>
  <c r="AE36" i="21"/>
  <c r="AE40" i="21"/>
  <c r="AN40" i="21" s="1"/>
  <c r="AE19" i="21"/>
  <c r="AN19" i="21" s="1"/>
  <c r="AE23" i="21"/>
  <c r="AN23" i="21" s="1"/>
  <c r="AE27" i="21"/>
  <c r="AN27" i="21" s="1"/>
  <c r="AE31" i="21"/>
  <c r="AN31" i="21" s="1"/>
  <c r="AE35" i="21"/>
  <c r="AE39" i="21"/>
  <c r="AN39" i="21" s="1"/>
  <c r="AE18" i="21"/>
  <c r="AN18" i="21" s="1"/>
  <c r="AE22" i="21"/>
  <c r="AE26" i="21"/>
  <c r="AN26" i="21" s="1"/>
  <c r="AE30" i="21"/>
  <c r="AN30" i="21" s="1"/>
  <c r="AE34" i="21"/>
  <c r="AN34" i="21" s="1"/>
  <c r="AE38" i="21"/>
  <c r="AN38" i="21" s="1"/>
  <c r="AE17" i="21"/>
  <c r="AN17" i="21" s="1"/>
  <c r="AE21" i="21"/>
  <c r="AE25" i="21"/>
  <c r="AN25" i="21" s="1"/>
  <c r="AE29" i="21"/>
  <c r="AN29" i="21" s="1"/>
  <c r="AE33" i="21"/>
  <c r="AN33" i="21" s="1"/>
  <c r="AE37" i="21"/>
  <c r="AN37" i="21" s="1"/>
  <c r="AE41" i="21"/>
  <c r="AN41" i="21" s="1"/>
  <c r="AC16" i="21"/>
  <c r="AL16" i="21" s="1"/>
  <c r="AC20" i="21"/>
  <c r="AC24" i="21"/>
  <c r="AL24" i="21" s="1"/>
  <c r="AC28" i="21"/>
  <c r="AL28" i="21" s="1"/>
  <c r="AC32" i="21"/>
  <c r="AL32" i="21" s="1"/>
  <c r="AC36" i="21"/>
  <c r="AC40" i="21"/>
  <c r="AL40" i="21" s="1"/>
  <c r="AC19" i="21"/>
  <c r="AL19" i="21" s="1"/>
  <c r="AC23" i="21"/>
  <c r="AL23" i="21" s="1"/>
  <c r="AC27" i="21"/>
  <c r="AL27" i="21" s="1"/>
  <c r="AC31" i="21"/>
  <c r="AL31" i="21" s="1"/>
  <c r="AC35" i="21"/>
  <c r="AC39" i="21"/>
  <c r="AL39" i="21" s="1"/>
  <c r="AC18" i="21"/>
  <c r="AL18" i="21" s="1"/>
  <c r="AC22" i="21"/>
  <c r="AC26" i="21"/>
  <c r="AL26" i="21" s="1"/>
  <c r="AC30" i="21"/>
  <c r="AL30" i="21" s="1"/>
  <c r="AC34" i="21"/>
  <c r="AL34" i="21" s="1"/>
  <c r="AC38" i="21"/>
  <c r="AL38" i="21" s="1"/>
  <c r="AC17" i="21"/>
  <c r="AL17" i="21" s="1"/>
  <c r="AC21" i="21"/>
  <c r="AC25" i="21"/>
  <c r="AL25" i="21" s="1"/>
  <c r="AC29" i="21"/>
  <c r="AL29" i="21" s="1"/>
  <c r="AC33" i="21"/>
  <c r="AL33" i="21" s="1"/>
  <c r="AC37" i="21"/>
  <c r="AL37" i="21" s="1"/>
  <c r="AC41" i="21"/>
  <c r="AL41" i="21" s="1"/>
  <c r="H41" i="20"/>
  <c r="H49" i="20" s="1"/>
  <c r="AB17" i="21"/>
  <c r="AK17" i="21" s="1"/>
  <c r="AB29" i="21"/>
  <c r="AK29" i="21" s="1"/>
  <c r="AB37" i="21"/>
  <c r="AK37" i="21" s="1"/>
  <c r="AB18" i="21"/>
  <c r="AK18" i="21" s="1"/>
  <c r="AB26" i="21"/>
  <c r="AK26" i="21" s="1"/>
  <c r="AB34" i="21"/>
  <c r="AK34" i="21" s="1"/>
  <c r="AB19" i="21"/>
  <c r="AK19" i="21" s="1"/>
  <c r="AB23" i="21"/>
  <c r="AK23" i="21" s="1"/>
  <c r="AB27" i="21"/>
  <c r="AK27" i="21" s="1"/>
  <c r="AB31" i="21"/>
  <c r="AK31" i="21" s="1"/>
  <c r="AB35" i="21"/>
  <c r="AB39" i="21"/>
  <c r="AK39" i="21" s="1"/>
  <c r="AB16" i="21"/>
  <c r="AK16" i="21" s="1"/>
  <c r="AB20" i="21"/>
  <c r="AB24" i="21"/>
  <c r="AK24" i="21" s="1"/>
  <c r="AB28" i="21"/>
  <c r="AK28" i="21" s="1"/>
  <c r="AB32" i="21"/>
  <c r="AK32" i="21" s="1"/>
  <c r="AB36" i="21"/>
  <c r="AB40" i="21"/>
  <c r="AK40" i="21" s="1"/>
  <c r="AB21" i="21"/>
  <c r="AB25" i="21"/>
  <c r="AK25" i="21" s="1"/>
  <c r="AB33" i="21"/>
  <c r="AK33" i="21" s="1"/>
  <c r="AB41" i="21"/>
  <c r="AK41" i="21" s="1"/>
  <c r="AB22" i="21"/>
  <c r="AB30" i="21"/>
  <c r="AK30" i="21" s="1"/>
  <c r="AB38" i="21"/>
  <c r="AK38" i="21" s="1"/>
  <c r="AD17" i="21"/>
  <c r="AM17" i="21" s="1"/>
  <c r="AD21" i="21"/>
  <c r="AD25" i="21"/>
  <c r="AM25" i="21" s="1"/>
  <c r="AD29" i="21"/>
  <c r="AM29" i="21" s="1"/>
  <c r="AD33" i="21"/>
  <c r="AM33" i="21" s="1"/>
  <c r="AD37" i="21"/>
  <c r="AM37" i="21" s="1"/>
  <c r="AD41" i="21"/>
  <c r="AM41" i="21" s="1"/>
  <c r="AD18" i="21"/>
  <c r="AM18" i="21" s="1"/>
  <c r="AD22" i="21"/>
  <c r="AD30" i="21"/>
  <c r="AM30" i="21" s="1"/>
  <c r="AD34" i="21"/>
  <c r="AM34" i="21" s="1"/>
  <c r="AD19" i="21"/>
  <c r="AM19" i="21" s="1"/>
  <c r="AD23" i="21"/>
  <c r="AM23" i="21" s="1"/>
  <c r="AD27" i="21"/>
  <c r="AM27" i="21" s="1"/>
  <c r="AD31" i="21"/>
  <c r="AM31" i="21" s="1"/>
  <c r="AD35" i="21"/>
  <c r="AD39" i="21"/>
  <c r="AM39" i="21" s="1"/>
  <c r="AD16" i="21"/>
  <c r="AM16" i="21" s="1"/>
  <c r="AD20" i="21"/>
  <c r="AD24" i="21"/>
  <c r="AM24" i="21" s="1"/>
  <c r="AD28" i="21"/>
  <c r="AM28" i="21" s="1"/>
  <c r="AD32" i="21"/>
  <c r="AM32" i="21" s="1"/>
  <c r="AD36" i="21"/>
  <c r="AD40" i="21"/>
  <c r="AM40" i="21" s="1"/>
  <c r="AD26" i="21"/>
  <c r="AM26" i="21" s="1"/>
  <c r="AD38" i="21"/>
  <c r="AM38" i="21" s="1"/>
  <c r="AZ44" i="21"/>
  <c r="F45" i="20"/>
  <c r="K13" i="21" s="1"/>
  <c r="I174" i="27"/>
  <c r="I174" i="26"/>
  <c r="G45" i="20"/>
  <c r="J174" i="27"/>
  <c r="J174" i="26"/>
  <c r="D201" i="26"/>
  <c r="D189" i="26"/>
  <c r="D181" i="26"/>
  <c r="D185" i="26"/>
  <c r="D217" i="26" s="1"/>
  <c r="D251" i="26" s="1"/>
  <c r="D200" i="26"/>
  <c r="D204" i="26"/>
  <c r="D236" i="26" s="1"/>
  <c r="D270" i="26" s="1"/>
  <c r="D191" i="26"/>
  <c r="D223" i="26" s="1"/>
  <c r="D257" i="26" s="1"/>
  <c r="D203" i="26"/>
  <c r="D193" i="26"/>
  <c r="D184" i="26"/>
  <c r="D180" i="26"/>
  <c r="D202" i="26"/>
  <c r="D187" i="26"/>
  <c r="D219" i="26" s="1"/>
  <c r="D253" i="26" s="1"/>
  <c r="D197" i="26"/>
  <c r="D194" i="26"/>
  <c r="D226" i="26" s="1"/>
  <c r="D260" i="26" s="1"/>
  <c r="D196" i="26"/>
  <c r="D199" i="26"/>
  <c r="D231" i="26" s="1"/>
  <c r="D265" i="26" s="1"/>
  <c r="D186" i="26"/>
  <c r="D218" i="26" s="1"/>
  <c r="D183" i="26"/>
  <c r="D198" i="26"/>
  <c r="D182" i="26"/>
  <c r="D188" i="26"/>
  <c r="D192" i="26"/>
  <c r="D224" i="26" s="1"/>
  <c r="D258" i="26" s="1"/>
  <c r="D195" i="26"/>
  <c r="D190" i="26"/>
  <c r="D179" i="26"/>
  <c r="D211" i="26" s="1"/>
  <c r="D245" i="26" s="1"/>
  <c r="E45" i="20"/>
  <c r="H174" i="27"/>
  <c r="H174" i="26"/>
  <c r="D45" i="20"/>
  <c r="I13" i="21" s="1"/>
  <c r="G174" i="27"/>
  <c r="G174" i="26"/>
  <c r="D182" i="27"/>
  <c r="D190" i="27"/>
  <c r="D198" i="27"/>
  <c r="D180" i="27"/>
  <c r="D183" i="27"/>
  <c r="D202" i="27"/>
  <c r="D196" i="27"/>
  <c r="D181" i="27"/>
  <c r="D188" i="27"/>
  <c r="D179" i="27"/>
  <c r="D189" i="27"/>
  <c r="D199" i="27"/>
  <c r="D231" i="27" s="1"/>
  <c r="D265" i="27" s="1"/>
  <c r="D204" i="27"/>
  <c r="D236" i="27" s="1"/>
  <c r="D270" i="27" s="1"/>
  <c r="D201" i="27"/>
  <c r="D192" i="27"/>
  <c r="D224" i="27" s="1"/>
  <c r="D258" i="27" s="1"/>
  <c r="D195" i="27"/>
  <c r="D194" i="27"/>
  <c r="D226" i="27" s="1"/>
  <c r="D260" i="27" s="1"/>
  <c r="D197" i="27"/>
  <c r="D191" i="27"/>
  <c r="D223" i="27" s="1"/>
  <c r="D257" i="27" s="1"/>
  <c r="D184" i="27"/>
  <c r="D203" i="27"/>
  <c r="D200" i="27"/>
  <c r="D187" i="27"/>
  <c r="D219" i="27" s="1"/>
  <c r="D253" i="27" s="1"/>
  <c r="D185" i="27"/>
  <c r="D217" i="27" s="1"/>
  <c r="D251" i="27" s="1"/>
  <c r="D193" i="27"/>
  <c r="D186" i="27"/>
  <c r="D218" i="27" s="1"/>
  <c r="D239" i="27" s="1"/>
  <c r="C45" i="20"/>
  <c r="H13" i="21" s="1"/>
  <c r="E174" i="27"/>
  <c r="E174" i="26"/>
  <c r="C32" i="22"/>
  <c r="C34" i="22" s="1"/>
  <c r="J13" i="21"/>
  <c r="G17" i="21"/>
  <c r="P17" i="21" s="1"/>
  <c r="G18" i="21"/>
  <c r="P18" i="21" s="1"/>
  <c r="G19" i="21"/>
  <c r="P19" i="21" s="1"/>
  <c r="G20" i="21"/>
  <c r="P20" i="21" s="1"/>
  <c r="G21" i="21"/>
  <c r="P21" i="21" s="1"/>
  <c r="G22" i="21"/>
  <c r="P22" i="21" s="1"/>
  <c r="G23" i="21"/>
  <c r="P23" i="21" s="1"/>
  <c r="G24" i="21"/>
  <c r="P24" i="21" s="1"/>
  <c r="G25" i="21"/>
  <c r="P25" i="21" s="1"/>
  <c r="G26" i="21"/>
  <c r="P26" i="21" s="1"/>
  <c r="G27" i="21"/>
  <c r="P27" i="21" s="1"/>
  <c r="G28" i="21"/>
  <c r="P28" i="21" s="1"/>
  <c r="G29" i="21"/>
  <c r="P29" i="21" s="1"/>
  <c r="G30" i="21"/>
  <c r="P30" i="21" s="1"/>
  <c r="G31" i="21"/>
  <c r="P31" i="21" s="1"/>
  <c r="G32" i="21"/>
  <c r="P32" i="21" s="1"/>
  <c r="G33" i="21"/>
  <c r="P33" i="21" s="1"/>
  <c r="G34" i="21"/>
  <c r="P34" i="21" s="1"/>
  <c r="G35" i="21"/>
  <c r="P35" i="21" s="1"/>
  <c r="G36" i="21"/>
  <c r="P36" i="21" s="1"/>
  <c r="G37" i="21"/>
  <c r="P37" i="21" s="1"/>
  <c r="G38" i="21"/>
  <c r="P38" i="21" s="1"/>
  <c r="G39" i="21"/>
  <c r="P39" i="21" s="1"/>
  <c r="G40" i="21"/>
  <c r="P40" i="21" s="1"/>
  <c r="G41" i="21"/>
  <c r="P41" i="21" s="1"/>
  <c r="G16" i="21"/>
  <c r="P16" i="21" s="1"/>
  <c r="L13" i="21"/>
  <c r="C77" i="22"/>
  <c r="C76" i="22"/>
  <c r="BD26" i="21" l="1"/>
  <c r="BD36" i="21"/>
  <c r="BD28" i="21"/>
  <c r="BD20" i="21"/>
  <c r="BD39" i="21"/>
  <c r="BD31" i="21"/>
  <c r="BD23" i="21"/>
  <c r="BD34" i="21"/>
  <c r="BD22" i="21"/>
  <c r="BD41" i="21"/>
  <c r="BD33" i="21"/>
  <c r="BD25" i="21"/>
  <c r="BD17" i="21"/>
  <c r="BC41" i="21"/>
  <c r="BC33" i="21"/>
  <c r="BC25" i="21"/>
  <c r="BC17" i="21"/>
  <c r="BC34" i="21"/>
  <c r="BC26" i="21"/>
  <c r="BC18" i="21"/>
  <c r="BC35" i="21"/>
  <c r="BC27" i="21"/>
  <c r="BC19" i="21"/>
  <c r="BC36" i="21"/>
  <c r="BC28" i="21"/>
  <c r="BC20" i="21"/>
  <c r="BE41" i="21"/>
  <c r="BE33" i="21"/>
  <c r="BE25" i="21"/>
  <c r="BE17" i="21"/>
  <c r="BE34" i="21"/>
  <c r="BF34" i="21" s="1"/>
  <c r="BE26" i="21"/>
  <c r="BE18" i="21"/>
  <c r="BE35" i="21"/>
  <c r="BE27" i="21"/>
  <c r="BE19" i="21"/>
  <c r="BE36" i="21"/>
  <c r="BE28" i="21"/>
  <c r="BE20" i="21"/>
  <c r="BF20" i="21" s="1"/>
  <c r="BA41" i="21"/>
  <c r="BA33" i="21"/>
  <c r="BA25" i="21"/>
  <c r="BA17" i="21"/>
  <c r="BA34" i="21"/>
  <c r="BA26" i="21"/>
  <c r="BA18" i="21"/>
  <c r="BA35" i="21"/>
  <c r="BF35" i="21" s="1"/>
  <c r="BA27" i="21"/>
  <c r="BA19" i="21"/>
  <c r="BA36" i="21"/>
  <c r="BA28" i="21"/>
  <c r="BA20" i="21"/>
  <c r="BD38" i="21"/>
  <c r="BD40" i="21"/>
  <c r="BD32" i="21"/>
  <c r="BD24" i="21"/>
  <c r="BD16" i="21"/>
  <c r="BD35" i="21"/>
  <c r="BD27" i="21"/>
  <c r="BD19" i="21"/>
  <c r="BD30" i="21"/>
  <c r="BD18" i="21"/>
  <c r="BD37" i="21"/>
  <c r="BD29" i="21"/>
  <c r="BD21" i="21"/>
  <c r="BC37" i="21"/>
  <c r="BC29" i="21"/>
  <c r="BC21" i="21"/>
  <c r="BC38" i="21"/>
  <c r="BC30" i="21"/>
  <c r="BC22" i="21"/>
  <c r="BC39" i="21"/>
  <c r="BC31" i="21"/>
  <c r="BC23" i="21"/>
  <c r="BC40" i="21"/>
  <c r="BC32" i="21"/>
  <c r="BC24" i="21"/>
  <c r="BC16" i="21"/>
  <c r="BE37" i="21"/>
  <c r="BF37" i="21" s="1"/>
  <c r="BE29" i="21"/>
  <c r="BE21" i="21"/>
  <c r="BE38" i="21"/>
  <c r="BE30" i="21"/>
  <c r="BE22" i="21"/>
  <c r="BE39" i="21"/>
  <c r="BE31" i="21"/>
  <c r="BE23" i="21"/>
  <c r="BE40" i="21"/>
  <c r="BE32" i="21"/>
  <c r="BE24" i="21"/>
  <c r="BE16" i="21"/>
  <c r="BA37" i="21"/>
  <c r="BA29" i="21"/>
  <c r="BA21" i="21"/>
  <c r="BA38" i="21"/>
  <c r="BA30" i="21"/>
  <c r="BA22" i="21"/>
  <c r="BA39" i="21"/>
  <c r="BA31" i="21"/>
  <c r="BA23" i="21"/>
  <c r="BA40" i="21"/>
  <c r="BA32" i="21"/>
  <c r="BA24" i="21"/>
  <c r="BA16" i="21"/>
  <c r="BF36" i="21"/>
  <c r="BB44" i="21"/>
  <c r="H45" i="20"/>
  <c r="F174" i="27"/>
  <c r="K174" i="27" s="1"/>
  <c r="E180" i="27"/>
  <c r="E182" i="27"/>
  <c r="E214" i="27" s="1"/>
  <c r="E248" i="27" s="1"/>
  <c r="E184" i="27"/>
  <c r="E186" i="27"/>
  <c r="E218" i="27" s="1"/>
  <c r="E188" i="27"/>
  <c r="E190" i="27"/>
  <c r="E222" i="27" s="1"/>
  <c r="E256" i="27" s="1"/>
  <c r="E192" i="27"/>
  <c r="E224" i="27" s="1"/>
  <c r="E258" i="27" s="1"/>
  <c r="E194" i="27"/>
  <c r="E226" i="27" s="1"/>
  <c r="E260" i="27" s="1"/>
  <c r="E196" i="27"/>
  <c r="E228" i="27" s="1"/>
  <c r="E262" i="27" s="1"/>
  <c r="E181" i="27"/>
  <c r="E183" i="27"/>
  <c r="E215" i="27" s="1"/>
  <c r="E249" i="27" s="1"/>
  <c r="E185" i="27"/>
  <c r="E187" i="27"/>
  <c r="E189" i="27"/>
  <c r="E191" i="27"/>
  <c r="E223" i="27" s="1"/>
  <c r="E257" i="27" s="1"/>
  <c r="E193" i="27"/>
  <c r="E195" i="27"/>
  <c r="E204" i="27"/>
  <c r="E179" i="27"/>
  <c r="E203" i="27"/>
  <c r="E199" i="27"/>
  <c r="E202" i="27"/>
  <c r="E200" i="27"/>
  <c r="E232" i="27" s="1"/>
  <c r="E266" i="27" s="1"/>
  <c r="E201" i="27"/>
  <c r="E197" i="27"/>
  <c r="E229" i="27" s="1"/>
  <c r="E263" i="27" s="1"/>
  <c r="E198" i="27"/>
  <c r="E230" i="27" s="1"/>
  <c r="E264" i="27" s="1"/>
  <c r="D252" i="27"/>
  <c r="D211" i="27"/>
  <c r="D245" i="27" s="1"/>
  <c r="D205" i="27"/>
  <c r="G181" i="26"/>
  <c r="G197" i="26"/>
  <c r="G199" i="26"/>
  <c r="G185" i="26"/>
  <c r="G202" i="26"/>
  <c r="G193" i="26"/>
  <c r="G196" i="26"/>
  <c r="G194" i="26"/>
  <c r="G195" i="26"/>
  <c r="G203" i="26"/>
  <c r="G200" i="26"/>
  <c r="G198" i="26"/>
  <c r="G179" i="26"/>
  <c r="G204" i="26"/>
  <c r="G186" i="26"/>
  <c r="G218" i="26" s="1"/>
  <c r="G189" i="26"/>
  <c r="G221" i="26" s="1"/>
  <c r="G255" i="26" s="1"/>
  <c r="G187" i="26"/>
  <c r="G219" i="26" s="1"/>
  <c r="G253" i="26" s="1"/>
  <c r="G201" i="26"/>
  <c r="G183" i="26"/>
  <c r="G215" i="26" s="1"/>
  <c r="G249" i="26" s="1"/>
  <c r="G192" i="26"/>
  <c r="G191" i="26"/>
  <c r="G223" i="26" s="1"/>
  <c r="G257" i="26" s="1"/>
  <c r="G182" i="26"/>
  <c r="G214" i="26" s="1"/>
  <c r="G248" i="26" s="1"/>
  <c r="G184" i="26"/>
  <c r="G216" i="26" s="1"/>
  <c r="G250" i="26" s="1"/>
  <c r="G180" i="26"/>
  <c r="G190" i="26"/>
  <c r="G222" i="26" s="1"/>
  <c r="G256" i="26" s="1"/>
  <c r="G188" i="26"/>
  <c r="G220" i="26" s="1"/>
  <c r="G254" i="26" s="1"/>
  <c r="H195" i="27"/>
  <c r="H201" i="27"/>
  <c r="H203" i="27"/>
  <c r="H197" i="27"/>
  <c r="H193" i="27"/>
  <c r="H180" i="27"/>
  <c r="H184" i="27"/>
  <c r="H216" i="27" s="1"/>
  <c r="H250" i="27" s="1"/>
  <c r="H190" i="27"/>
  <c r="H192" i="27"/>
  <c r="H224" i="27" s="1"/>
  <c r="H258" i="27" s="1"/>
  <c r="H194" i="27"/>
  <c r="H189" i="27"/>
  <c r="H221" i="27" s="1"/>
  <c r="H255" i="27" s="1"/>
  <c r="H187" i="27"/>
  <c r="H219" i="27" s="1"/>
  <c r="H253" i="27" s="1"/>
  <c r="H198" i="27"/>
  <c r="H191" i="27"/>
  <c r="H223" i="27" s="1"/>
  <c r="H257" i="27" s="1"/>
  <c r="H204" i="27"/>
  <c r="H188" i="27"/>
  <c r="H220" i="27" s="1"/>
  <c r="H254" i="27" s="1"/>
  <c r="H186" i="27"/>
  <c r="H218" i="27" s="1"/>
  <c r="H179" i="27"/>
  <c r="H200" i="27"/>
  <c r="H183" i="27"/>
  <c r="H215" i="27" s="1"/>
  <c r="H249" i="27" s="1"/>
  <c r="H196" i="27"/>
  <c r="H185" i="27"/>
  <c r="H217" i="27" s="1"/>
  <c r="H251" i="27" s="1"/>
  <c r="H199" i="27"/>
  <c r="H202" i="27"/>
  <c r="H181" i="27"/>
  <c r="H213" i="27" s="1"/>
  <c r="H247" i="27" s="1"/>
  <c r="H182" i="27"/>
  <c r="H214" i="27" s="1"/>
  <c r="H248" i="27" s="1"/>
  <c r="D252" i="26"/>
  <c r="D271" i="26" s="1"/>
  <c r="D272" i="26" s="1"/>
  <c r="D239" i="26"/>
  <c r="J192" i="26"/>
  <c r="J191" i="26"/>
  <c r="J201" i="26"/>
  <c r="J183" i="26"/>
  <c r="J215" i="26" s="1"/>
  <c r="J249" i="26" s="1"/>
  <c r="J184" i="26"/>
  <c r="J216" i="26" s="1"/>
  <c r="J250" i="26" s="1"/>
  <c r="J186" i="26"/>
  <c r="J218" i="26" s="1"/>
  <c r="J199" i="26"/>
  <c r="J189" i="26"/>
  <c r="J202" i="26"/>
  <c r="J187" i="26"/>
  <c r="J198" i="26"/>
  <c r="J230" i="26" s="1"/>
  <c r="J264" i="26" s="1"/>
  <c r="J203" i="26"/>
  <c r="J188" i="26"/>
  <c r="J220" i="26" s="1"/>
  <c r="J254" i="26" s="1"/>
  <c r="J193" i="26"/>
  <c r="J185" i="26"/>
  <c r="J194" i="26"/>
  <c r="J200" i="26"/>
  <c r="J196" i="26"/>
  <c r="J228" i="26" s="1"/>
  <c r="J262" i="26" s="1"/>
  <c r="J180" i="26"/>
  <c r="J212" i="26" s="1"/>
  <c r="J246" i="26" s="1"/>
  <c r="J195" i="26"/>
  <c r="J227" i="26" s="1"/>
  <c r="J261" i="26" s="1"/>
  <c r="J181" i="26"/>
  <c r="J197" i="26"/>
  <c r="J204" i="26"/>
  <c r="J182" i="26"/>
  <c r="J214" i="26" s="1"/>
  <c r="J248" i="26" s="1"/>
  <c r="J190" i="26"/>
  <c r="J222" i="26" s="1"/>
  <c r="J256" i="26" s="1"/>
  <c r="J179" i="26"/>
  <c r="J211" i="26" s="1"/>
  <c r="J245" i="26" s="1"/>
  <c r="I186" i="27"/>
  <c r="I218" i="27" s="1"/>
  <c r="I189" i="27"/>
  <c r="I221" i="27" s="1"/>
  <c r="I255" i="27" s="1"/>
  <c r="I199" i="27"/>
  <c r="I180" i="27"/>
  <c r="I193" i="27"/>
  <c r="I225" i="27" s="1"/>
  <c r="I259" i="27" s="1"/>
  <c r="I182" i="27"/>
  <c r="I214" i="27" s="1"/>
  <c r="I248" i="27" s="1"/>
  <c r="I201" i="27"/>
  <c r="I184" i="27"/>
  <c r="I216" i="27" s="1"/>
  <c r="I250" i="27" s="1"/>
  <c r="I181" i="27"/>
  <c r="I203" i="27"/>
  <c r="I188" i="27"/>
  <c r="I220" i="27" s="1"/>
  <c r="I254" i="27" s="1"/>
  <c r="I185" i="27"/>
  <c r="I217" i="27" s="1"/>
  <c r="I251" i="27" s="1"/>
  <c r="I197" i="27"/>
  <c r="I187" i="27"/>
  <c r="I219" i="27" s="1"/>
  <c r="I253" i="27" s="1"/>
  <c r="I179" i="27"/>
  <c r="I195" i="27"/>
  <c r="I227" i="27" s="1"/>
  <c r="I261" i="27" s="1"/>
  <c r="I200" i="27"/>
  <c r="I198" i="27"/>
  <c r="I230" i="27" s="1"/>
  <c r="I264" i="27" s="1"/>
  <c r="I183" i="27"/>
  <c r="I215" i="27" s="1"/>
  <c r="I249" i="27" s="1"/>
  <c r="I192" i="27"/>
  <c r="I224" i="27" s="1"/>
  <c r="I258" i="27" s="1"/>
  <c r="I190" i="27"/>
  <c r="I191" i="27"/>
  <c r="I223" i="27" s="1"/>
  <c r="I257" i="27" s="1"/>
  <c r="I196" i="27"/>
  <c r="I228" i="27" s="1"/>
  <c r="I262" i="27" s="1"/>
  <c r="I194" i="27"/>
  <c r="I226" i="27" s="1"/>
  <c r="I260" i="27" s="1"/>
  <c r="I204" i="27"/>
  <c r="I202" i="27"/>
  <c r="F174" i="26"/>
  <c r="E187" i="26"/>
  <c r="E185" i="26"/>
  <c r="E184" i="26"/>
  <c r="E183" i="26"/>
  <c r="E215" i="26" s="1"/>
  <c r="E249" i="26" s="1"/>
  <c r="E204" i="26"/>
  <c r="E193" i="26"/>
  <c r="E186" i="26"/>
  <c r="E218" i="26" s="1"/>
  <c r="E189" i="26"/>
  <c r="E200" i="26"/>
  <c r="E232" i="26" s="1"/>
  <c r="E266" i="26" s="1"/>
  <c r="E202" i="26"/>
  <c r="E182" i="26"/>
  <c r="E214" i="26" s="1"/>
  <c r="E248" i="26" s="1"/>
  <c r="E191" i="26"/>
  <c r="E223" i="26" s="1"/>
  <c r="E257" i="26" s="1"/>
  <c r="E180" i="26"/>
  <c r="E195" i="26"/>
  <c r="E188" i="26"/>
  <c r="E197" i="26"/>
  <c r="E229" i="26" s="1"/>
  <c r="E263" i="26" s="1"/>
  <c r="E192" i="26"/>
  <c r="E224" i="26" s="1"/>
  <c r="E258" i="26" s="1"/>
  <c r="E181" i="26"/>
  <c r="E201" i="26"/>
  <c r="E198" i="26"/>
  <c r="E230" i="26" s="1"/>
  <c r="E264" i="26" s="1"/>
  <c r="E203" i="26"/>
  <c r="E196" i="26"/>
  <c r="E228" i="26" s="1"/>
  <c r="E262" i="26" s="1"/>
  <c r="E194" i="26"/>
  <c r="E226" i="26" s="1"/>
  <c r="E260" i="26" s="1"/>
  <c r="E190" i="26"/>
  <c r="E222" i="26" s="1"/>
  <c r="E256" i="26" s="1"/>
  <c r="E199" i="26"/>
  <c r="E179" i="26"/>
  <c r="E211" i="26" s="1"/>
  <c r="E245" i="26" s="1"/>
  <c r="G183" i="27"/>
  <c r="G215" i="27" s="1"/>
  <c r="G249" i="27" s="1"/>
  <c r="G191" i="27"/>
  <c r="G223" i="27" s="1"/>
  <c r="G257" i="27" s="1"/>
  <c r="G181" i="27"/>
  <c r="G189" i="27"/>
  <c r="G221" i="27" s="1"/>
  <c r="G255" i="27" s="1"/>
  <c r="G197" i="27"/>
  <c r="G187" i="27"/>
  <c r="G219" i="27" s="1"/>
  <c r="G253" i="27" s="1"/>
  <c r="G195" i="27"/>
  <c r="G204" i="27"/>
  <c r="G185" i="27"/>
  <c r="G193" i="27"/>
  <c r="G179" i="27"/>
  <c r="G192" i="27"/>
  <c r="G184" i="27"/>
  <c r="G216" i="27" s="1"/>
  <c r="G250" i="27" s="1"/>
  <c r="G199" i="27"/>
  <c r="G202" i="27"/>
  <c r="G200" i="27"/>
  <c r="G201" i="27"/>
  <c r="G196" i="27"/>
  <c r="G188" i="27"/>
  <c r="G220" i="27" s="1"/>
  <c r="G254" i="27" s="1"/>
  <c r="G180" i="27"/>
  <c r="G203" i="27"/>
  <c r="G198" i="27"/>
  <c r="G190" i="27"/>
  <c r="G222" i="27" s="1"/>
  <c r="G256" i="27" s="1"/>
  <c r="G182" i="27"/>
  <c r="G214" i="27" s="1"/>
  <c r="G248" i="27" s="1"/>
  <c r="G186" i="27"/>
  <c r="G218" i="27" s="1"/>
  <c r="G194" i="27"/>
  <c r="H203" i="26"/>
  <c r="H201" i="26"/>
  <c r="H200" i="26"/>
  <c r="H204" i="26"/>
  <c r="H195" i="26"/>
  <c r="H202" i="26"/>
  <c r="H188" i="26"/>
  <c r="H220" i="26" s="1"/>
  <c r="H254" i="26" s="1"/>
  <c r="H192" i="26"/>
  <c r="H224" i="26" s="1"/>
  <c r="H258" i="26" s="1"/>
  <c r="H187" i="26"/>
  <c r="H219" i="26" s="1"/>
  <c r="H253" i="26" s="1"/>
  <c r="H183" i="26"/>
  <c r="H215" i="26" s="1"/>
  <c r="H249" i="26" s="1"/>
  <c r="H186" i="26"/>
  <c r="H218" i="26" s="1"/>
  <c r="H194" i="26"/>
  <c r="H198" i="26"/>
  <c r="H191" i="26"/>
  <c r="H223" i="26" s="1"/>
  <c r="H257" i="26" s="1"/>
  <c r="H199" i="26"/>
  <c r="H181" i="26"/>
  <c r="H213" i="26" s="1"/>
  <c r="H247" i="26" s="1"/>
  <c r="H184" i="26"/>
  <c r="H216" i="26" s="1"/>
  <c r="H250" i="26" s="1"/>
  <c r="H185" i="26"/>
  <c r="H217" i="26" s="1"/>
  <c r="H251" i="26" s="1"/>
  <c r="H197" i="26"/>
  <c r="H193" i="26"/>
  <c r="H189" i="26"/>
  <c r="H221" i="26" s="1"/>
  <c r="H255" i="26" s="1"/>
  <c r="H182" i="26"/>
  <c r="H214" i="26" s="1"/>
  <c r="H248" i="26" s="1"/>
  <c r="H180" i="26"/>
  <c r="H196" i="26"/>
  <c r="H190" i="26"/>
  <c r="H179" i="26"/>
  <c r="J187" i="27"/>
  <c r="J202" i="27"/>
  <c r="J192" i="27"/>
  <c r="J185" i="27"/>
  <c r="J191" i="27"/>
  <c r="J197" i="27"/>
  <c r="J194" i="27"/>
  <c r="J204" i="27"/>
  <c r="J193" i="27"/>
  <c r="J201" i="27"/>
  <c r="J179" i="27"/>
  <c r="J181" i="27"/>
  <c r="J188" i="27"/>
  <c r="J220" i="27" s="1"/>
  <c r="J254" i="27" s="1"/>
  <c r="J190" i="27"/>
  <c r="J222" i="27" s="1"/>
  <c r="J256" i="27" s="1"/>
  <c r="J189" i="27"/>
  <c r="J200" i="27"/>
  <c r="J184" i="27"/>
  <c r="J216" i="27" s="1"/>
  <c r="J250" i="27" s="1"/>
  <c r="J186" i="27"/>
  <c r="J218" i="27" s="1"/>
  <c r="J180" i="27"/>
  <c r="J212" i="27" s="1"/>
  <c r="J246" i="27" s="1"/>
  <c r="J203" i="27"/>
  <c r="J198" i="27"/>
  <c r="J230" i="27" s="1"/>
  <c r="J264" i="27" s="1"/>
  <c r="J196" i="27"/>
  <c r="J228" i="27" s="1"/>
  <c r="J262" i="27" s="1"/>
  <c r="J182" i="27"/>
  <c r="J214" i="27" s="1"/>
  <c r="J248" i="27" s="1"/>
  <c r="J199" i="27"/>
  <c r="J183" i="27"/>
  <c r="J215" i="27" s="1"/>
  <c r="J249" i="27" s="1"/>
  <c r="J195" i="27"/>
  <c r="J227" i="27" s="1"/>
  <c r="J261" i="27" s="1"/>
  <c r="I198" i="26"/>
  <c r="I230" i="26" s="1"/>
  <c r="I264" i="26" s="1"/>
  <c r="I191" i="26"/>
  <c r="I223" i="26" s="1"/>
  <c r="I257" i="26" s="1"/>
  <c r="I204" i="26"/>
  <c r="I197" i="26"/>
  <c r="I203" i="26"/>
  <c r="I192" i="26"/>
  <c r="I224" i="26" s="1"/>
  <c r="I258" i="26" s="1"/>
  <c r="I184" i="26"/>
  <c r="I216" i="26" s="1"/>
  <c r="I250" i="26" s="1"/>
  <c r="I195" i="26"/>
  <c r="I227" i="26" s="1"/>
  <c r="I261" i="26" s="1"/>
  <c r="I202" i="26"/>
  <c r="I183" i="26"/>
  <c r="I215" i="26" s="1"/>
  <c r="I249" i="26" s="1"/>
  <c r="I185" i="26"/>
  <c r="I217" i="26" s="1"/>
  <c r="I251" i="26" s="1"/>
  <c r="I186" i="26"/>
  <c r="I218" i="26" s="1"/>
  <c r="I199" i="26"/>
  <c r="I201" i="26"/>
  <c r="I200" i="26"/>
  <c r="I180" i="26"/>
  <c r="I194" i="26"/>
  <c r="I226" i="26" s="1"/>
  <c r="I260" i="26" s="1"/>
  <c r="I188" i="26"/>
  <c r="I220" i="26" s="1"/>
  <c r="I254" i="26" s="1"/>
  <c r="I187" i="26"/>
  <c r="I219" i="26" s="1"/>
  <c r="I253" i="26" s="1"/>
  <c r="I196" i="26"/>
  <c r="I228" i="26" s="1"/>
  <c r="I262" i="26" s="1"/>
  <c r="I181" i="26"/>
  <c r="I190" i="26"/>
  <c r="I189" i="26"/>
  <c r="I221" i="26" s="1"/>
  <c r="I255" i="26" s="1"/>
  <c r="I182" i="26"/>
  <c r="I214" i="26" s="1"/>
  <c r="I248" i="26" s="1"/>
  <c r="I193" i="26"/>
  <c r="I225" i="26" s="1"/>
  <c r="I259" i="26" s="1"/>
  <c r="I179" i="26"/>
  <c r="I211" i="26" s="1"/>
  <c r="I245" i="26" s="1"/>
  <c r="K17" i="21"/>
  <c r="T17" i="21" s="1"/>
  <c r="K18" i="21"/>
  <c r="T18" i="21" s="1"/>
  <c r="K19" i="21"/>
  <c r="T19" i="21" s="1"/>
  <c r="K20" i="21"/>
  <c r="T20" i="21" s="1"/>
  <c r="K21" i="21"/>
  <c r="T21" i="21" s="1"/>
  <c r="K22" i="21"/>
  <c r="T22" i="21" s="1"/>
  <c r="K23" i="21"/>
  <c r="T23" i="21" s="1"/>
  <c r="K24" i="21"/>
  <c r="T24" i="21" s="1"/>
  <c r="K25" i="21"/>
  <c r="T25" i="21" s="1"/>
  <c r="K26" i="21"/>
  <c r="T26" i="21" s="1"/>
  <c r="K27" i="21"/>
  <c r="T27" i="21" s="1"/>
  <c r="K28" i="21"/>
  <c r="T28" i="21" s="1"/>
  <c r="K29" i="21"/>
  <c r="T29" i="21" s="1"/>
  <c r="K30" i="21"/>
  <c r="T30" i="21" s="1"/>
  <c r="K31" i="21"/>
  <c r="T31" i="21" s="1"/>
  <c r="K32" i="21"/>
  <c r="T32" i="21" s="1"/>
  <c r="K33" i="21"/>
  <c r="T33" i="21" s="1"/>
  <c r="K34" i="21"/>
  <c r="T34" i="21" s="1"/>
  <c r="K35" i="21"/>
  <c r="T35" i="21" s="1"/>
  <c r="K36" i="21"/>
  <c r="T36" i="21" s="1"/>
  <c r="K37" i="21"/>
  <c r="T37" i="21" s="1"/>
  <c r="K38" i="21"/>
  <c r="T38" i="21" s="1"/>
  <c r="K39" i="21"/>
  <c r="T39" i="21" s="1"/>
  <c r="K40" i="21"/>
  <c r="T40" i="21" s="1"/>
  <c r="K41" i="21"/>
  <c r="T41" i="21" s="1"/>
  <c r="K16" i="21"/>
  <c r="T16" i="21" s="1"/>
  <c r="H16" i="21"/>
  <c r="Q16" i="21" s="1"/>
  <c r="H17" i="21"/>
  <c r="Q17" i="21" s="1"/>
  <c r="H18" i="21"/>
  <c r="Q18" i="21" s="1"/>
  <c r="H19" i="21"/>
  <c r="Q19" i="21" s="1"/>
  <c r="H20" i="21"/>
  <c r="Q20" i="21" s="1"/>
  <c r="H21" i="21"/>
  <c r="Q21" i="21" s="1"/>
  <c r="H22" i="21"/>
  <c r="Q22" i="21" s="1"/>
  <c r="H23" i="21"/>
  <c r="Q23" i="21" s="1"/>
  <c r="H24" i="21"/>
  <c r="Q24" i="21" s="1"/>
  <c r="H25" i="21"/>
  <c r="Q25" i="21" s="1"/>
  <c r="H26" i="21"/>
  <c r="Q26" i="21" s="1"/>
  <c r="H27" i="21"/>
  <c r="Q27" i="21" s="1"/>
  <c r="H28" i="21"/>
  <c r="Q28" i="21" s="1"/>
  <c r="H29" i="21"/>
  <c r="Q29" i="21" s="1"/>
  <c r="H30" i="21"/>
  <c r="Q30" i="21" s="1"/>
  <c r="H31" i="21"/>
  <c r="Q31" i="21" s="1"/>
  <c r="H32" i="21"/>
  <c r="Q32" i="21" s="1"/>
  <c r="H33" i="21"/>
  <c r="Q33" i="21" s="1"/>
  <c r="H34" i="21"/>
  <c r="Q34" i="21" s="1"/>
  <c r="H35" i="21"/>
  <c r="Q35" i="21" s="1"/>
  <c r="H36" i="21"/>
  <c r="Q36" i="21" s="1"/>
  <c r="H37" i="21"/>
  <c r="Q37" i="21" s="1"/>
  <c r="H38" i="21"/>
  <c r="Q38" i="21" s="1"/>
  <c r="H39" i="21"/>
  <c r="Q39" i="21" s="1"/>
  <c r="H40" i="21"/>
  <c r="Q40" i="21" s="1"/>
  <c r="H41" i="21"/>
  <c r="Q41" i="21" s="1"/>
  <c r="L16" i="21"/>
  <c r="U16" i="21" s="1"/>
  <c r="L17" i="21"/>
  <c r="U17" i="21" s="1"/>
  <c r="L18" i="21"/>
  <c r="U18" i="21" s="1"/>
  <c r="L19" i="21"/>
  <c r="U19" i="21" s="1"/>
  <c r="L20" i="21"/>
  <c r="U20" i="21" s="1"/>
  <c r="L21" i="21"/>
  <c r="U21" i="21" s="1"/>
  <c r="L22" i="21"/>
  <c r="U22" i="21" s="1"/>
  <c r="L23" i="21"/>
  <c r="U23" i="21" s="1"/>
  <c r="L24" i="21"/>
  <c r="U24" i="21" s="1"/>
  <c r="L25" i="21"/>
  <c r="U25" i="21" s="1"/>
  <c r="L26" i="21"/>
  <c r="U26" i="21" s="1"/>
  <c r="L27" i="21"/>
  <c r="U27" i="21" s="1"/>
  <c r="L28" i="21"/>
  <c r="U28" i="21" s="1"/>
  <c r="L29" i="21"/>
  <c r="U29" i="21" s="1"/>
  <c r="L30" i="21"/>
  <c r="U30" i="21" s="1"/>
  <c r="L31" i="21"/>
  <c r="U31" i="21" s="1"/>
  <c r="L32" i="21"/>
  <c r="U32" i="21" s="1"/>
  <c r="L33" i="21"/>
  <c r="U33" i="21" s="1"/>
  <c r="L34" i="21"/>
  <c r="U34" i="21" s="1"/>
  <c r="L35" i="21"/>
  <c r="U35" i="21" s="1"/>
  <c r="L36" i="21"/>
  <c r="U36" i="21" s="1"/>
  <c r="L37" i="21"/>
  <c r="U37" i="21" s="1"/>
  <c r="L38" i="21"/>
  <c r="U38" i="21" s="1"/>
  <c r="L39" i="21"/>
  <c r="U39" i="21" s="1"/>
  <c r="L40" i="21"/>
  <c r="U40" i="21" s="1"/>
  <c r="L41" i="21"/>
  <c r="U41" i="21" s="1"/>
  <c r="I17" i="21"/>
  <c r="R17" i="21" s="1"/>
  <c r="I18" i="21"/>
  <c r="R18" i="21" s="1"/>
  <c r="I19" i="21"/>
  <c r="R19" i="21" s="1"/>
  <c r="I20" i="21"/>
  <c r="R20" i="21" s="1"/>
  <c r="I21" i="21"/>
  <c r="R21" i="21" s="1"/>
  <c r="I22" i="21"/>
  <c r="R22" i="21" s="1"/>
  <c r="I23" i="21"/>
  <c r="R23" i="21" s="1"/>
  <c r="I24" i="21"/>
  <c r="R24" i="21" s="1"/>
  <c r="I25" i="21"/>
  <c r="R25" i="21" s="1"/>
  <c r="I26" i="21"/>
  <c r="R26" i="21" s="1"/>
  <c r="I27" i="21"/>
  <c r="R27" i="21" s="1"/>
  <c r="I28" i="21"/>
  <c r="R28" i="21" s="1"/>
  <c r="I29" i="21"/>
  <c r="R29" i="21" s="1"/>
  <c r="I30" i="21"/>
  <c r="R30" i="21" s="1"/>
  <c r="I31" i="21"/>
  <c r="R31" i="21" s="1"/>
  <c r="I32" i="21"/>
  <c r="R32" i="21" s="1"/>
  <c r="I33" i="21"/>
  <c r="R33" i="21" s="1"/>
  <c r="I34" i="21"/>
  <c r="R34" i="21" s="1"/>
  <c r="I35" i="21"/>
  <c r="R35" i="21" s="1"/>
  <c r="I36" i="21"/>
  <c r="R36" i="21" s="1"/>
  <c r="I37" i="21"/>
  <c r="R37" i="21" s="1"/>
  <c r="I38" i="21"/>
  <c r="R38" i="21" s="1"/>
  <c r="I39" i="21"/>
  <c r="R39" i="21" s="1"/>
  <c r="I40" i="21"/>
  <c r="R40" i="21" s="1"/>
  <c r="I41" i="21"/>
  <c r="R41" i="21" s="1"/>
  <c r="I16" i="21"/>
  <c r="R16" i="21" s="1"/>
  <c r="J16" i="21"/>
  <c r="S16" i="21" s="1"/>
  <c r="J17" i="21"/>
  <c r="S17" i="21" s="1"/>
  <c r="J18" i="21"/>
  <c r="S18" i="21" s="1"/>
  <c r="J19" i="21"/>
  <c r="S19" i="21" s="1"/>
  <c r="J20" i="21"/>
  <c r="S20" i="21" s="1"/>
  <c r="J21" i="21"/>
  <c r="S21" i="21" s="1"/>
  <c r="J22" i="21"/>
  <c r="S22" i="21" s="1"/>
  <c r="J23" i="21"/>
  <c r="S23" i="21" s="1"/>
  <c r="J24" i="21"/>
  <c r="S24" i="21" s="1"/>
  <c r="J25" i="21"/>
  <c r="S25" i="21" s="1"/>
  <c r="J26" i="21"/>
  <c r="S26" i="21" s="1"/>
  <c r="J27" i="21"/>
  <c r="S27" i="21" s="1"/>
  <c r="J28" i="21"/>
  <c r="S28" i="21" s="1"/>
  <c r="J29" i="21"/>
  <c r="S29" i="21" s="1"/>
  <c r="J30" i="21"/>
  <c r="S30" i="21" s="1"/>
  <c r="J31" i="21"/>
  <c r="S31" i="21" s="1"/>
  <c r="J32" i="21"/>
  <c r="S32" i="21" s="1"/>
  <c r="J33" i="21"/>
  <c r="S33" i="21" s="1"/>
  <c r="J34" i="21"/>
  <c r="S34" i="21" s="1"/>
  <c r="J35" i="21"/>
  <c r="S35" i="21" s="1"/>
  <c r="J36" i="21"/>
  <c r="S36" i="21" s="1"/>
  <c r="J37" i="21"/>
  <c r="S37" i="21" s="1"/>
  <c r="J38" i="21"/>
  <c r="S38" i="21" s="1"/>
  <c r="J39" i="21"/>
  <c r="S39" i="21" s="1"/>
  <c r="J40" i="21"/>
  <c r="S40" i="21" s="1"/>
  <c r="J41" i="21"/>
  <c r="S41" i="21" s="1"/>
  <c r="C79" i="22"/>
  <c r="BF27" i="21" l="1"/>
  <c r="BF21" i="21"/>
  <c r="BF19" i="21"/>
  <c r="BF28" i="21"/>
  <c r="BF33" i="21"/>
  <c r="BF32" i="21"/>
  <c r="BD44" i="21"/>
  <c r="BC44" i="21"/>
  <c r="BF39" i="21"/>
  <c r="BF18" i="21"/>
  <c r="BF24" i="21"/>
  <c r="BF40" i="21"/>
  <c r="BF31" i="21"/>
  <c r="BF22" i="21"/>
  <c r="BF38" i="21"/>
  <c r="BF29" i="21"/>
  <c r="BF16" i="21"/>
  <c r="BF30" i="21"/>
  <c r="BA44" i="21"/>
  <c r="BE44" i="21"/>
  <c r="BF23" i="21"/>
  <c r="BF17" i="21"/>
  <c r="BF25" i="21"/>
  <c r="BF41" i="21"/>
  <c r="BF26" i="21"/>
  <c r="D271" i="27"/>
  <c r="D272" i="27" s="1"/>
  <c r="I239" i="26"/>
  <c r="I242" i="26" s="1"/>
  <c r="I252" i="26"/>
  <c r="I271" i="26" s="1"/>
  <c r="I272" i="26" s="1"/>
  <c r="J252" i="27"/>
  <c r="J239" i="27"/>
  <c r="H239" i="26"/>
  <c r="H242" i="26" s="1"/>
  <c r="H252" i="26"/>
  <c r="G252" i="27"/>
  <c r="G271" i="27" s="1"/>
  <c r="G272" i="27" s="1"/>
  <c r="G239" i="27"/>
  <c r="G242" i="27" s="1"/>
  <c r="G205" i="27"/>
  <c r="E252" i="26"/>
  <c r="E271" i="26" s="1"/>
  <c r="E272" i="26" s="1"/>
  <c r="E239" i="26"/>
  <c r="E242" i="26" s="1"/>
  <c r="J252" i="26"/>
  <c r="J271" i="26" s="1"/>
  <c r="J272" i="26" s="1"/>
  <c r="J239" i="26"/>
  <c r="H252" i="27"/>
  <c r="H271" i="27" s="1"/>
  <c r="H272" i="27" s="1"/>
  <c r="H239" i="27"/>
  <c r="H242" i="27" s="1"/>
  <c r="G239" i="26"/>
  <c r="G242" i="26" s="1"/>
  <c r="G252" i="26"/>
  <c r="G271" i="26" s="1"/>
  <c r="G272" i="26" s="1"/>
  <c r="E211" i="27"/>
  <c r="E245" i="27" s="1"/>
  <c r="E205" i="27"/>
  <c r="J211" i="27"/>
  <c r="J245" i="27" s="1"/>
  <c r="J205" i="27"/>
  <c r="H271" i="26"/>
  <c r="H272" i="26" s="1"/>
  <c r="F180" i="26"/>
  <c r="F199" i="26"/>
  <c r="F201" i="26"/>
  <c r="F203" i="26"/>
  <c r="F181" i="26"/>
  <c r="F193" i="26"/>
  <c r="F187" i="26"/>
  <c r="F196" i="26"/>
  <c r="F228" i="26" s="1"/>
  <c r="F262" i="26" s="1"/>
  <c r="F191" i="26"/>
  <c r="F223" i="26" s="1"/>
  <c r="F257" i="26" s="1"/>
  <c r="F195" i="26"/>
  <c r="F204" i="26"/>
  <c r="F192" i="26"/>
  <c r="F224" i="26" s="1"/>
  <c r="F258" i="26" s="1"/>
  <c r="F197" i="26"/>
  <c r="F229" i="26" s="1"/>
  <c r="F263" i="26" s="1"/>
  <c r="F188" i="26"/>
  <c r="F194" i="26"/>
  <c r="F226" i="26" s="1"/>
  <c r="F260" i="26" s="1"/>
  <c r="F183" i="26"/>
  <c r="F215" i="26" s="1"/>
  <c r="F249" i="26" s="1"/>
  <c r="F200" i="26"/>
  <c r="F232" i="26" s="1"/>
  <c r="F266" i="26" s="1"/>
  <c r="F202" i="26"/>
  <c r="F184" i="26"/>
  <c r="F179" i="26"/>
  <c r="F211" i="26" s="1"/>
  <c r="F245" i="26" s="1"/>
  <c r="F182" i="26"/>
  <c r="F214" i="26" s="1"/>
  <c r="F248" i="26" s="1"/>
  <c r="F189" i="26"/>
  <c r="F190" i="26"/>
  <c r="F222" i="26" s="1"/>
  <c r="F256" i="26" s="1"/>
  <c r="F185" i="26"/>
  <c r="F198" i="26"/>
  <c r="F230" i="26" s="1"/>
  <c r="F264" i="26" s="1"/>
  <c r="F186" i="26"/>
  <c r="F218" i="26" s="1"/>
  <c r="I211" i="27"/>
  <c r="I245" i="27" s="1"/>
  <c r="I205" i="27"/>
  <c r="I252" i="27"/>
  <c r="I239" i="27"/>
  <c r="I242" i="27" s="1"/>
  <c r="H205" i="27"/>
  <c r="E239" i="27"/>
  <c r="E242" i="27" s="1"/>
  <c r="E252" i="27"/>
  <c r="F203" i="27"/>
  <c r="F195" i="27"/>
  <c r="F187" i="27"/>
  <c r="F181" i="27"/>
  <c r="F197" i="27"/>
  <c r="F229" i="27" s="1"/>
  <c r="F263" i="27" s="1"/>
  <c r="F199" i="27"/>
  <c r="F191" i="27"/>
  <c r="F223" i="27" s="1"/>
  <c r="F257" i="27" s="1"/>
  <c r="F201" i="27"/>
  <c r="F193" i="27"/>
  <c r="F179" i="27"/>
  <c r="F189" i="27"/>
  <c r="F196" i="27"/>
  <c r="F228" i="27" s="1"/>
  <c r="F262" i="27" s="1"/>
  <c r="F186" i="27"/>
  <c r="F218" i="27" s="1"/>
  <c r="F185" i="27"/>
  <c r="F184" i="27"/>
  <c r="F192" i="27"/>
  <c r="F224" i="27" s="1"/>
  <c r="F258" i="27" s="1"/>
  <c r="F200" i="27"/>
  <c r="F232" i="27" s="1"/>
  <c r="F266" i="27" s="1"/>
  <c r="F183" i="27"/>
  <c r="F215" i="27" s="1"/>
  <c r="F249" i="27" s="1"/>
  <c r="F182" i="27"/>
  <c r="F214" i="27" s="1"/>
  <c r="F248" i="27" s="1"/>
  <c r="F190" i="27"/>
  <c r="F222" i="27" s="1"/>
  <c r="F256" i="27" s="1"/>
  <c r="F198" i="27"/>
  <c r="F230" i="27" s="1"/>
  <c r="F264" i="27" s="1"/>
  <c r="F180" i="27"/>
  <c r="F246" i="27" s="1"/>
  <c r="F188" i="27"/>
  <c r="F204" i="27"/>
  <c r="F194" i="27"/>
  <c r="F226" i="27" s="1"/>
  <c r="F260" i="27" s="1"/>
  <c r="F202" i="27"/>
  <c r="BF44" i="21" l="1"/>
  <c r="F239" i="27"/>
  <c r="F242" i="27" s="1"/>
  <c r="F252" i="27"/>
  <c r="I271" i="27"/>
  <c r="I272" i="27" s="1"/>
  <c r="E271" i="27"/>
  <c r="E272" i="27" s="1"/>
  <c r="J271" i="27"/>
  <c r="F211" i="27"/>
  <c r="F245" i="27" s="1"/>
  <c r="F271" i="27" s="1"/>
  <c r="F205" i="27"/>
  <c r="K205" i="27" s="1"/>
  <c r="F252" i="26"/>
  <c r="F271" i="26" s="1"/>
  <c r="F239" i="26"/>
  <c r="F242" i="26" s="1"/>
  <c r="J272" i="27" l="1"/>
  <c r="K272" i="27" s="1"/>
  <c r="K271" i="27"/>
</calcChain>
</file>

<file path=xl/comments1.xml><?xml version="1.0" encoding="utf-8"?>
<comments xmlns="http://schemas.openxmlformats.org/spreadsheetml/2006/main">
  <authors>
    <author>kkim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Real Contract: $3.7M
Revised Accordingly (Lat Ya + 66" RCP2)</t>
        </r>
      </text>
    </comment>
  </commentList>
</comments>
</file>

<file path=xl/comments2.xml><?xml version="1.0" encoding="utf-8"?>
<comments xmlns="http://schemas.openxmlformats.org/spreadsheetml/2006/main">
  <authors>
    <author>kkim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Reduced from $2.5M to $1.25M. 3/8/2011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Based on the recent project (Woodward), this has been reduced from $550 to $250. 3/7/2011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>Based on the real construction data on Storm (Woodward Project) 3/7/2011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>Beased on the recent project (Woodward), it has been reduced from $400 to $200</t>
        </r>
      </text>
    </comment>
  </commentList>
</comments>
</file>

<file path=xl/sharedStrings.xml><?xml version="1.0" encoding="utf-8"?>
<sst xmlns="http://schemas.openxmlformats.org/spreadsheetml/2006/main" count="2658" uniqueCount="607">
  <si>
    <t>Total</t>
  </si>
  <si>
    <t>Length</t>
  </si>
  <si>
    <t>(ft)</t>
  </si>
  <si>
    <t>Depth</t>
  </si>
  <si>
    <t>Unit</t>
  </si>
  <si>
    <t>Price</t>
  </si>
  <si>
    <t>Infrastructure</t>
  </si>
  <si>
    <t>Phase I</t>
  </si>
  <si>
    <t>66" RCP</t>
  </si>
  <si>
    <t>60" RCP</t>
  </si>
  <si>
    <t>Phase II</t>
  </si>
  <si>
    <t>42" RCP</t>
  </si>
  <si>
    <t>48" RCP</t>
  </si>
  <si>
    <t>Phase III</t>
  </si>
  <si>
    <t>Phase IV</t>
  </si>
  <si>
    <t>Phase V</t>
  </si>
  <si>
    <t>Construction</t>
  </si>
  <si>
    <t>Sub Total</t>
  </si>
  <si>
    <t>South Pump Station</t>
  </si>
  <si>
    <t>Size</t>
  </si>
  <si>
    <t>Force Main*</t>
  </si>
  <si>
    <t>*Pipe cost includes bore and jack crossing beneath Hwy 120.</t>
  </si>
  <si>
    <t>Ya Lateral A to B</t>
  </si>
  <si>
    <t>We Lateral A to B</t>
  </si>
  <si>
    <t>We Lateral B to C</t>
  </si>
  <si>
    <t>We Lateral C to D</t>
  </si>
  <si>
    <t>Woodward - Union to Main</t>
  </si>
  <si>
    <t>X Lateral A to B</t>
  </si>
  <si>
    <t>X Lateral B to C</t>
  </si>
  <si>
    <t>Austin B to C</t>
  </si>
  <si>
    <t>Tbb Lateral B to F</t>
  </si>
  <si>
    <t>T Lateral D to G</t>
  </si>
  <si>
    <t>Bella Vista Segment (West &amp; South)</t>
  </si>
  <si>
    <t>48"</t>
  </si>
  <si>
    <t>Y Lateral A to B</t>
  </si>
  <si>
    <t>Phase VI</t>
  </si>
  <si>
    <t>Phase VII</t>
  </si>
  <si>
    <t>Segment A1 to A2</t>
  </si>
  <si>
    <t>24" RCP</t>
  </si>
  <si>
    <t>X Lateral E to F</t>
  </si>
  <si>
    <t>DD Lateral E to G</t>
  </si>
  <si>
    <t>Sedan Ave G to H</t>
  </si>
  <si>
    <t>Segment B1 to B2</t>
  </si>
  <si>
    <t>Segment C1 to C2</t>
  </si>
  <si>
    <t>DD Lateral G to H</t>
  </si>
  <si>
    <t>Rd Lateral E to I</t>
  </si>
  <si>
    <t>Segment D1 to D2</t>
  </si>
  <si>
    <t>Lateral Rg A to B</t>
  </si>
  <si>
    <t>18" RCP</t>
  </si>
  <si>
    <t>Lateral Rga C to D</t>
  </si>
  <si>
    <t>Segment D to E</t>
  </si>
  <si>
    <t>54" RCP</t>
  </si>
  <si>
    <t>Segment D to D'</t>
  </si>
  <si>
    <t>Segment E to E'</t>
  </si>
  <si>
    <t>Segment I to J</t>
  </si>
  <si>
    <t>Segment A to B</t>
  </si>
  <si>
    <t>Segment G to G'</t>
  </si>
  <si>
    <t>Austin Rd C to D</t>
  </si>
  <si>
    <t>North Drain Cost Estimates</t>
  </si>
  <si>
    <t>South Drain Cost Estimates</t>
  </si>
  <si>
    <t>Total (North Drain)</t>
  </si>
  <si>
    <t>Total (South Drain)</t>
  </si>
  <si>
    <t>Total (North &amp; South Drain)</t>
  </si>
  <si>
    <t>Levee for 200-year flooding</t>
  </si>
  <si>
    <t>Length (ft)</t>
  </si>
  <si>
    <t>Volume</t>
  </si>
  <si>
    <r>
      <t>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</si>
  <si>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</si>
  <si>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(ac)</t>
  </si>
  <si>
    <t>(cy)</t>
  </si>
  <si>
    <t>Levee Footage (Area)</t>
  </si>
  <si>
    <t>Levee Cost</t>
  </si>
  <si>
    <t>Land Cost</t>
  </si>
  <si>
    <t>Total (Levee+Land)</t>
  </si>
  <si>
    <r>
      <t>Unit per ft</t>
    </r>
    <r>
      <rPr>
        <vertAlign val="superscript"/>
        <sz val="10"/>
        <rFont val="Arial"/>
        <family val="2"/>
      </rPr>
      <t>2</t>
    </r>
  </si>
  <si>
    <t>North + South Drain + Levee Overall Cost Estimates</t>
  </si>
  <si>
    <t>Total (Levee)</t>
  </si>
  <si>
    <t>Levee Cost Estimates</t>
  </si>
  <si>
    <t>Unit Price per CY</t>
  </si>
  <si>
    <t>Segment</t>
  </si>
  <si>
    <t>Ave Ground EL (ft)</t>
  </si>
  <si>
    <t>Levee Height (ft)</t>
  </si>
  <si>
    <r>
      <t>Seg Area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</si>
  <si>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Volume 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</si>
  <si>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Side Slope</t>
  </si>
  <si>
    <t>Top width = 20'  / Side Slope 3:1</t>
  </si>
  <si>
    <t>Water Elev = 30' / Freeboard = 4'</t>
  </si>
  <si>
    <r>
      <t>Levee Footage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</si>
  <si>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Segment E to F</t>
  </si>
  <si>
    <t>Lathrop Rd A' to A''</t>
  </si>
  <si>
    <t>Segment B to B'</t>
  </si>
  <si>
    <t>Lateral Rfa E to E'</t>
  </si>
  <si>
    <t>Lateral R A to C</t>
  </si>
  <si>
    <t>Louise Rd C to D</t>
  </si>
  <si>
    <t>Lateral R A to E</t>
  </si>
  <si>
    <t>Segment C to C'</t>
  </si>
  <si>
    <t>Lateral R A to H</t>
  </si>
  <si>
    <t>Segment B to C</t>
  </si>
  <si>
    <t>Segment B to D</t>
  </si>
  <si>
    <t>Segment F to F'</t>
  </si>
  <si>
    <t>Lateral Qr A to B</t>
  </si>
  <si>
    <t>Lateral Q B to I</t>
  </si>
  <si>
    <t>Catle Rd B to C</t>
  </si>
  <si>
    <t>Catle Rd B to D</t>
  </si>
  <si>
    <t>Segment H to H'</t>
  </si>
  <si>
    <t>Lateral Q B to G</t>
  </si>
  <si>
    <t>Segment C to F</t>
  </si>
  <si>
    <t>Segment I to H</t>
  </si>
  <si>
    <t>Lateral Rg A to C</t>
  </si>
  <si>
    <t>Segment A' to F</t>
  </si>
  <si>
    <t>2x12"</t>
  </si>
  <si>
    <t>All main drainage lines</t>
  </si>
  <si>
    <t>20 cfs</t>
  </si>
  <si>
    <t>Trails of Manteca</t>
  </si>
  <si>
    <t>Trails of Manteca Cost Estimates</t>
  </si>
  <si>
    <t>Total (Trails of Manteca)</t>
  </si>
  <si>
    <t>Lateral Rgc G to H</t>
  </si>
  <si>
    <t>Drainage Improvements</t>
  </si>
  <si>
    <t>4-7 Total</t>
  </si>
  <si>
    <t>Project Cost</t>
  </si>
  <si>
    <t>STORM DRAIN ZONE</t>
  </si>
  <si>
    <t>LAND USE</t>
  </si>
  <si>
    <t>(A) X (C)</t>
  </si>
  <si>
    <t>Share (%) AC / AnCn</t>
  </si>
  <si>
    <t>Total ($)    /Land Use</t>
  </si>
  <si>
    <t>$/Acre</t>
  </si>
  <si>
    <t>$/EDU</t>
  </si>
  <si>
    <t>An</t>
  </si>
  <si>
    <t>Cn</t>
  </si>
  <si>
    <t>Land Use</t>
  </si>
  <si>
    <t>C</t>
  </si>
  <si>
    <t>EDU</t>
  </si>
  <si>
    <t>ZONE 30</t>
  </si>
  <si>
    <t>VLDR</t>
  </si>
  <si>
    <t>P</t>
  </si>
  <si>
    <t>LDR</t>
  </si>
  <si>
    <t>PQP</t>
  </si>
  <si>
    <t>MDR</t>
  </si>
  <si>
    <t>UR-AG</t>
  </si>
  <si>
    <t>HDR</t>
  </si>
  <si>
    <t>OS</t>
  </si>
  <si>
    <t>ZONE 31</t>
  </si>
  <si>
    <t>CMU</t>
  </si>
  <si>
    <t>GC</t>
  </si>
  <si>
    <t>BP</t>
  </si>
  <si>
    <t>NC</t>
  </si>
  <si>
    <t>HI</t>
  </si>
  <si>
    <t>UR</t>
  </si>
  <si>
    <t>LI</t>
  </si>
  <si>
    <t>BIP</t>
  </si>
  <si>
    <t>UR-CMU</t>
  </si>
  <si>
    <t>UR-GC</t>
  </si>
  <si>
    <t>UR-VLDR</t>
  </si>
  <si>
    <t>UR-LDR</t>
  </si>
  <si>
    <t>UR-MDR</t>
  </si>
  <si>
    <t>UR-P</t>
  </si>
  <si>
    <t>UR-PQP</t>
  </si>
  <si>
    <t>UR-BIP</t>
  </si>
  <si>
    <t>ZONE 32</t>
  </si>
  <si>
    <t>UR-LI</t>
  </si>
  <si>
    <t>ZONE 33</t>
  </si>
  <si>
    <t>ZONE 34</t>
  </si>
  <si>
    <t>ZONE 35</t>
  </si>
  <si>
    <t>ZONE 36</t>
  </si>
  <si>
    <t>ZONE 39</t>
  </si>
  <si>
    <t>EDU Factor</t>
  </si>
  <si>
    <t>Category</t>
  </si>
  <si>
    <t>Very Low Density Residential</t>
  </si>
  <si>
    <t>Residential</t>
  </si>
  <si>
    <t>Low Density Residential</t>
  </si>
  <si>
    <t>Medium Density Residential</t>
  </si>
  <si>
    <t>High Desity Residentail</t>
  </si>
  <si>
    <t>Open Space</t>
  </si>
  <si>
    <t>Park</t>
  </si>
  <si>
    <t>Green</t>
  </si>
  <si>
    <t>PQP*</t>
  </si>
  <si>
    <t>Public/Quasi - Public</t>
  </si>
  <si>
    <t>AG*</t>
  </si>
  <si>
    <t>Agriculture</t>
  </si>
  <si>
    <t>Business Professional</t>
  </si>
  <si>
    <t>Commercial</t>
  </si>
  <si>
    <t>Commercial Mixed Use</t>
  </si>
  <si>
    <t>General Commercial</t>
  </si>
  <si>
    <t>Neighborhood - Commerical</t>
  </si>
  <si>
    <t>Heavy Industrial</t>
  </si>
  <si>
    <t>Industrial</t>
  </si>
  <si>
    <t>Light Industrial</t>
  </si>
  <si>
    <t>Business Industrial Park</t>
  </si>
  <si>
    <t>Urban - Reserve</t>
  </si>
  <si>
    <t>Urban Reserve</t>
  </si>
  <si>
    <t>UR - Very Low Density Residential</t>
  </si>
  <si>
    <t>UR - Low Density Residentail</t>
  </si>
  <si>
    <t>UR - Medium Density Residential</t>
  </si>
  <si>
    <t>UR - Park</t>
  </si>
  <si>
    <t>UR - Public/Quasi - Public</t>
  </si>
  <si>
    <t>UR - Agriculture</t>
  </si>
  <si>
    <t>UR - Business Industrial Park</t>
  </si>
  <si>
    <t>UR - Commercial Mixed Use</t>
  </si>
  <si>
    <t>UR - General Commercial</t>
  </si>
  <si>
    <t>UR - Light Industrial</t>
  </si>
  <si>
    <t>* AG &amp; PQP are regarded as LDR</t>
  </si>
  <si>
    <t>Drainage Zone</t>
  </si>
  <si>
    <t>New Pipes</t>
  </si>
  <si>
    <t>Zone</t>
  </si>
  <si>
    <t>32A</t>
  </si>
  <si>
    <t>AnCn</t>
  </si>
  <si>
    <t>FCOC 1</t>
  </si>
  <si>
    <t>FCOC 2</t>
  </si>
  <si>
    <t>No</t>
  </si>
  <si>
    <t>FCOC 3</t>
  </si>
  <si>
    <t>FCOC 4</t>
  </si>
  <si>
    <t>Drain 3</t>
  </si>
  <si>
    <t>Drain 5</t>
  </si>
  <si>
    <t>French Camp Road Crossing</t>
  </si>
  <si>
    <t>Roth Road Crossing</t>
  </si>
  <si>
    <t>Union Pacific Railroad Crossing</t>
  </si>
  <si>
    <t>Farm Road Crossing (4'x8' Box Culvert)</t>
  </si>
  <si>
    <t>Monterey Place Improvement</t>
  </si>
  <si>
    <t>Interceptor, Upstream of Golf Course</t>
  </si>
  <si>
    <t>Monitor Well</t>
  </si>
  <si>
    <t>Soft (19%)</t>
  </si>
  <si>
    <t>Admin (2%)</t>
  </si>
  <si>
    <t>Liabilities</t>
  </si>
  <si>
    <t>Pump Station</t>
  </si>
  <si>
    <t>TOTAL AREA (AC)</t>
  </si>
  <si>
    <t>DO NOT CHANGE THIS!</t>
  </si>
  <si>
    <t>Monitoring Well</t>
  </si>
  <si>
    <t>Well No</t>
  </si>
  <si>
    <t>Unitt Price</t>
  </si>
  <si>
    <t>AG (LDR)</t>
  </si>
  <si>
    <t>UR-AG (LDR)</t>
  </si>
  <si>
    <t>Double Check</t>
  </si>
  <si>
    <t>Financing</t>
  </si>
  <si>
    <t>Infrastructure Cost ($)</t>
  </si>
  <si>
    <t>ZONE 70</t>
  </si>
  <si>
    <t>Levee</t>
  </si>
  <si>
    <t>Zone 70: Flood Protection Financing Zone</t>
  </si>
  <si>
    <t>Share (%) A/An</t>
  </si>
  <si>
    <t>Zone 31</t>
  </si>
  <si>
    <t>Zone 30</t>
  </si>
  <si>
    <t>Equivalent EDU</t>
  </si>
  <si>
    <t>Dwelling Unit</t>
  </si>
  <si>
    <t>Tot EDU</t>
  </si>
  <si>
    <t>Yes</t>
  </si>
  <si>
    <t>Ya to Austin End</t>
  </si>
  <si>
    <t>*6/14/2010 Update: $1.5M is for the reimbursable fee for the Trails Developer since they increase the SD system size for the future developments nearby.</t>
  </si>
  <si>
    <t>SSJID</t>
  </si>
  <si>
    <t>50% Share</t>
  </si>
  <si>
    <t>Share Total</t>
  </si>
  <si>
    <t>v1.0</t>
  </si>
  <si>
    <t>Add Austin Pump Station: $500k</t>
  </si>
  <si>
    <t>Date</t>
  </si>
  <si>
    <t>ACRES     (A)*</t>
  </si>
  <si>
    <t>*UR factor= 50% X 85%</t>
  </si>
  <si>
    <t>Financing**</t>
  </si>
  <si>
    <t>*Other factor = 85%</t>
  </si>
  <si>
    <t>Existing Fees</t>
  </si>
  <si>
    <t>Proposed Fees</t>
  </si>
  <si>
    <t>Zone 32</t>
  </si>
  <si>
    <t>Zone 33</t>
  </si>
  <si>
    <t>Zone 34</t>
  </si>
  <si>
    <t>Zone 35</t>
  </si>
  <si>
    <t>Zone 36</t>
  </si>
  <si>
    <t>Zone 39</t>
  </si>
  <si>
    <t>Zone 70</t>
  </si>
  <si>
    <t>Austin Pump Station</t>
  </si>
  <si>
    <t>Comm Rec</t>
  </si>
  <si>
    <t>: N/A</t>
  </si>
  <si>
    <t>South PS</t>
  </si>
  <si>
    <t>Austin PS</t>
  </si>
  <si>
    <t>Force Main</t>
  </si>
  <si>
    <t>66" RCP1</t>
  </si>
  <si>
    <t>Bella Vista to South Pump Station</t>
  </si>
  <si>
    <t>Dual-Use Drain at Woodward (60" RCP)</t>
  </si>
  <si>
    <t>Lat Ya</t>
  </si>
  <si>
    <t>66" RCP2</t>
  </si>
  <si>
    <t>Woodward - Union to Main St</t>
  </si>
  <si>
    <t>: Only for Existing PFIP</t>
  </si>
  <si>
    <t>Monitor</t>
  </si>
  <si>
    <t>20 Monitoring Wells</t>
  </si>
  <si>
    <t>the planned land use.</t>
  </si>
  <si>
    <t>Urban Reserve (UR):</t>
  </si>
  <si>
    <t>*</t>
  </si>
  <si>
    <t>Lat Tbb to Austin Rd End</t>
  </si>
  <si>
    <t>UR will be charged at the rate of</t>
  </si>
  <si>
    <t>Legend</t>
  </si>
  <si>
    <t>South Drain Pump Station</t>
  </si>
  <si>
    <t>Austin Road Pump Station (to Lat Y)</t>
  </si>
  <si>
    <t>48" Force Main (1,400')</t>
  </si>
  <si>
    <t>v2.0</t>
  </si>
  <si>
    <t>v3.0</t>
  </si>
  <si>
    <t>Pump Stations*</t>
  </si>
  <si>
    <t>*South Drain</t>
  </si>
  <si>
    <t>+ Austin Pump</t>
  </si>
  <si>
    <t>Area (AC)</t>
  </si>
  <si>
    <t>Area</t>
  </si>
  <si>
    <t>Proposed Fee</t>
  </si>
  <si>
    <t>Austin Road Project Fee Calcs</t>
  </si>
  <si>
    <t>(Acre)</t>
  </si>
  <si>
    <t>$ for Acres</t>
  </si>
  <si>
    <t>$ for EDUs</t>
  </si>
  <si>
    <t>3/8/2011</t>
  </si>
  <si>
    <t>Zone 36 (No Austin)</t>
  </si>
  <si>
    <t>v3.2b</t>
  </si>
  <si>
    <t>Austin Road (Shed D) Fee Calcs</t>
  </si>
  <si>
    <t>Removed Acres from Austin Road Project + Shed D (3/8/2011)</t>
  </si>
  <si>
    <t>DO NOT USE THIS CALCS (No Austin)</t>
  </si>
  <si>
    <t>Austin</t>
  </si>
  <si>
    <t>Shed D only</t>
  </si>
  <si>
    <t>Shed</t>
  </si>
  <si>
    <t>A</t>
  </si>
  <si>
    <t>B</t>
  </si>
  <si>
    <t>D</t>
  </si>
  <si>
    <t>(ac-ft)</t>
  </si>
  <si>
    <t>Maximum Discharge</t>
  </si>
  <si>
    <t>Rate (cfs)</t>
  </si>
  <si>
    <t>Planned Discharge</t>
  </si>
  <si>
    <t>Storage Volume</t>
  </si>
  <si>
    <t>Austin Road Project Preliminary Drainage Design Data (2008)</t>
  </si>
  <si>
    <t>*Shed A, B and C: Storm flows to Lateral "W"</t>
  </si>
  <si>
    <t>*Shed D: Storm flows to Woodward Drain</t>
  </si>
  <si>
    <t>Austin Shed D</t>
  </si>
  <si>
    <t>v4.0</t>
  </si>
  <si>
    <t>*Others = 85%, VLDR = 25%</t>
  </si>
  <si>
    <t>3/9/2011</t>
  </si>
  <si>
    <t>**Financing = 0.518 x 1.2 x (Construction Cost + Soft Cost)</t>
  </si>
  <si>
    <t>v4.1</t>
  </si>
  <si>
    <t>Financing: Multiplied 0.518 to financing to follow "With Ausin" Option</t>
  </si>
  <si>
    <t>v5.0</t>
  </si>
  <si>
    <t>Woodward - Lateral X (50%)</t>
  </si>
  <si>
    <t>Lat X</t>
  </si>
  <si>
    <t>Connect Woodward to Lateral X</t>
  </si>
  <si>
    <t>As of 11/15/2011</t>
  </si>
  <si>
    <t>Drain 3A</t>
  </si>
  <si>
    <t>(Assigned as a City Project 12/14/11)</t>
  </si>
  <si>
    <t>Drain 3A (3A to Rga)</t>
  </si>
  <si>
    <t>Connect DR3A to Lat Rga (48" &amp; 2,000')</t>
  </si>
  <si>
    <t>Zone 31 is merged to Zone 32 (12/14/2011)</t>
  </si>
  <si>
    <t>Jux Box</t>
  </si>
  <si>
    <t>Two Junction Boxes at Woodward-Ya</t>
  </si>
  <si>
    <t>v6.0</t>
  </si>
  <si>
    <t>v5.0+Combine Zone 33, 34 and 35</t>
  </si>
  <si>
    <t>ZONE33+34+35</t>
  </si>
  <si>
    <t>As of 5/29/2012</t>
  </si>
  <si>
    <t>of Zone</t>
  </si>
  <si>
    <t>33, 34 &amp; 35</t>
  </si>
  <si>
    <t>As of 5/23/2012</t>
  </si>
  <si>
    <r>
      <t xml:space="preserve">30, 31, 32,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</si>
  <si>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>31, 32</t>
    </r>
    <r>
      <rPr>
        <sz val="10"/>
        <color indexed="23"/>
        <rFont val="Arial"/>
        <family val="2"/>
      </rPr>
      <t>,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</si>
  <si>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 xml:space="preserve">33, </t>
    </r>
    <r>
      <rPr>
        <b/>
        <sz val="10"/>
        <rFont val="Arial"/>
        <family val="2"/>
      </rPr>
      <t>34, 35, 36</t>
    </r>
  </si>
  <si>
    <r>
      <rPr>
        <b/>
        <sz val="10"/>
        <rFont val="Arial"/>
        <family val="2"/>
      </rPr>
      <t>35,</t>
    </r>
    <r>
      <rPr>
        <sz val="10"/>
        <rFont val="Arial"/>
        <family val="2"/>
      </rPr>
      <t xml:space="preserve"> 36</t>
    </r>
  </si>
  <si>
    <t>*Data in Zone 33 and 35 are still linked to the ones in Zone 33+34+35</t>
  </si>
  <si>
    <t>34 Only</t>
  </si>
  <si>
    <t>Combined</t>
  </si>
  <si>
    <t>Table ___</t>
  </si>
  <si>
    <t>Project Number</t>
  </si>
  <si>
    <t>Project Name</t>
  </si>
  <si>
    <t>Totals</t>
  </si>
  <si>
    <t>Percentage Allocation of Manteca Cost Share to Drainage Zones</t>
  </si>
  <si>
    <t>Cost Allocation of Manteca Cost Share to Drainage Zones</t>
  </si>
  <si>
    <t>City Of</t>
  </si>
  <si>
    <t>Cost</t>
  </si>
  <si>
    <t>Future Improve</t>
  </si>
  <si>
    <t>Pump Stations - South  Levee</t>
  </si>
  <si>
    <t>South &amp; Levee</t>
  </si>
  <si>
    <t xml:space="preserve">     Total Pump Stations</t>
  </si>
  <si>
    <t>New Pipes -  South &amp; Levee</t>
  </si>
  <si>
    <t xml:space="preserve">     Total New Pipes</t>
  </si>
  <si>
    <t>Trails</t>
  </si>
  <si>
    <t>North Drainage System</t>
  </si>
  <si>
    <t>North</t>
  </si>
  <si>
    <t>Monitoring Wells</t>
  </si>
  <si>
    <t>20 Monitoring Wells (Zone 35 does not tie)</t>
  </si>
  <si>
    <t>Levee &amp; Monitor</t>
  </si>
  <si>
    <t>Notes:</t>
  </si>
  <si>
    <t>(1) For the monitoring wells zone 35 includes costs for zone 37 + 38</t>
  </si>
  <si>
    <t>Crossings</t>
  </si>
  <si>
    <t xml:space="preserve">   Sub-Total</t>
  </si>
  <si>
    <t>Less Austin Road</t>
  </si>
  <si>
    <t>Plus Shed D</t>
  </si>
  <si>
    <t>Percent of Vacant Land Assumed to Develop</t>
  </si>
  <si>
    <t>Total EDUs</t>
  </si>
  <si>
    <t>Per Acre</t>
  </si>
  <si>
    <t>EDU Factor Per Acre</t>
  </si>
  <si>
    <t>Units</t>
  </si>
  <si>
    <t>Acre</t>
  </si>
  <si>
    <t>C per unit</t>
  </si>
  <si>
    <t>EDU Factor Per Unit</t>
  </si>
  <si>
    <t>Variance to EDU Factor</t>
  </si>
  <si>
    <t>C per acre</t>
  </si>
  <si>
    <t>Table 1</t>
  </si>
  <si>
    <t>Source/</t>
  </si>
  <si>
    <t>Description</t>
  </si>
  <si>
    <t>Estimate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</si>
  <si>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</si>
  <si>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</si>
  <si>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</si>
  <si>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</si>
  <si>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</si>
  <si>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</si>
  <si>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(2)</t>
  </si>
  <si>
    <t>PFF ADMINISTRATION COSTS</t>
  </si>
  <si>
    <t>FUND BALANCES</t>
  </si>
  <si>
    <t>Net Fund Balance (Deficit)</t>
  </si>
  <si>
    <t>(2) Assumes entire cost of current projects funded by 30 year debt service with 2.0% interest.</t>
  </si>
  <si>
    <t>Internal</t>
  </si>
  <si>
    <t>City of Manteca</t>
  </si>
  <si>
    <t>Storm Drainage Fee Calculation Summary</t>
  </si>
  <si>
    <t>Storm Drainage Collection Fee</t>
  </si>
  <si>
    <t>XXXXX</t>
  </si>
  <si>
    <t>Zone 33+34+35</t>
  </si>
  <si>
    <t>Total EDUs to be Developed</t>
  </si>
  <si>
    <t>Net Costs Funded From PFF Fee</t>
  </si>
  <si>
    <t>Fee Per EDU</t>
  </si>
  <si>
    <t>Fee Per Unit</t>
  </si>
  <si>
    <t>Fee Per Acre</t>
  </si>
  <si>
    <t>Table 2</t>
  </si>
  <si>
    <t>Fee Summary</t>
  </si>
  <si>
    <t>cost Summary</t>
  </si>
  <si>
    <t>Cost Summary</t>
  </si>
  <si>
    <t>PFF Zones</t>
  </si>
  <si>
    <t>PFF Zones Combined</t>
  </si>
  <si>
    <t>Comparison</t>
  </si>
  <si>
    <t>Col E vs. Col M</t>
  </si>
  <si>
    <t>Table 4</t>
  </si>
  <si>
    <t>Table 5</t>
  </si>
  <si>
    <t>Total Development EDUs Developed in Each Zone</t>
  </si>
  <si>
    <t>Expected Development (EDUs)</t>
  </si>
  <si>
    <t>Souce / Notes</t>
  </si>
  <si>
    <t>Table 3</t>
  </si>
  <si>
    <t>EDU Calculation</t>
  </si>
  <si>
    <t>Project Cost Summary</t>
  </si>
  <si>
    <t>Gross Acre to Net Acre</t>
  </si>
  <si>
    <t>FINANCING COSTS</t>
  </si>
  <si>
    <t xml:space="preserve">     Total Fund Balances</t>
  </si>
  <si>
    <t>Additional CIP Costs - 2012/13 Budget</t>
  </si>
  <si>
    <t xml:space="preserve">     % of PFF CIP</t>
  </si>
  <si>
    <t>Total PFF CIP</t>
  </si>
  <si>
    <t>PFF Storm Drainage Collection Fee</t>
  </si>
  <si>
    <t>|</t>
  </si>
  <si>
    <t>Amount</t>
  </si>
  <si>
    <t>Term - Years</t>
  </si>
  <si>
    <t>Payments per year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</si>
  <si>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</si>
  <si>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</si>
  <si>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</si>
  <si>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</si>
  <si>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</si>
  <si>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</si>
  <si>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</si>
  <si>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</si>
  <si>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</si>
  <si>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</si>
  <si>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</si>
  <si>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</si>
  <si>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</si>
  <si>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</si>
  <si>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</si>
  <si>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</si>
  <si>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</si>
  <si>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</si>
  <si>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</si>
  <si>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</si>
  <si>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</si>
  <si>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</si>
  <si>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</si>
  <si>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</si>
  <si>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</si>
  <si>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</si>
  <si>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</si>
  <si>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</si>
  <si>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</si>
  <si>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</si>
  <si>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</si>
  <si>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</si>
  <si>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</si>
  <si>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</si>
  <si>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</si>
  <si>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</si>
  <si>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</si>
  <si>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</si>
  <si>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</si>
  <si>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</si>
  <si>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</si>
  <si>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</si>
  <si>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</si>
  <si>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</si>
  <si>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</si>
  <si>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</si>
  <si>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</si>
  <si>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</si>
  <si>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</si>
  <si>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</si>
  <si>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</si>
  <si>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</si>
  <si>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(1) Dollar amounts are in _________, 2012 dollars.</t>
  </si>
  <si>
    <t>Annual Interest Rate</t>
  </si>
  <si>
    <t>See Note (3)</t>
  </si>
  <si>
    <t xml:space="preserve">     Total Estimated Financing Costs</t>
  </si>
  <si>
    <t>See Note (4)</t>
  </si>
  <si>
    <t>Loan Constant - Annual Debt Service (per $1,000)</t>
  </si>
  <si>
    <t>Annual Finance Cost (per $1,000)</t>
  </si>
  <si>
    <t>(3) Assumes 100% of PFF CIP costs are financed, see Table 6 for financing assumptions.</t>
  </si>
  <si>
    <t>error - Austin Road Pump Station Double Counted</t>
  </si>
  <si>
    <t>error -  missing Two Junction Boxes at Woodward-Ya $150k</t>
  </si>
  <si>
    <t>error - missing Connect DR3A to Lat Rga (48" &amp; 2,000')</t>
  </si>
  <si>
    <t>error - missing monitor well $40k</t>
  </si>
  <si>
    <t>Manteca PFF</t>
  </si>
  <si>
    <t>SSJID Share</t>
  </si>
  <si>
    <t xml:space="preserve">(1) </t>
  </si>
  <si>
    <t>Source:  City of Manteca.</t>
  </si>
  <si>
    <t>Notes:  Annual Finance Cost (per $1,000) = Loan constant at 2% - Loan Constant at 0%</t>
  </si>
  <si>
    <t>Vacant Land Assumed to Develop (Acres)</t>
  </si>
  <si>
    <t>Land Developed (Acres) x C</t>
  </si>
  <si>
    <t xml:space="preserve">          Finance Cost % of CIP</t>
  </si>
  <si>
    <t>Stodm Ddain PFF Update (Vedsion Info)</t>
  </si>
  <si>
    <t>Vedsion</t>
  </si>
  <si>
    <t>Connect Woodwadd and Latedal X (50% - 50% Cost Shade with SSJID)</t>
  </si>
  <si>
    <t>VLDd factod is changed fdom 85% to 25%</t>
  </si>
  <si>
    <t>Keep South Ddain Pump Station ($2.5M)</t>
  </si>
  <si>
    <t>Calculate only Shed D in Austin Pdoject fod fees</t>
  </si>
  <si>
    <t>devise South Pump Station: $2.5M (fdom $3M)</t>
  </si>
  <si>
    <t>Bella Vista 66" dCP Unit Pdice is changed fdom $550 to $250</t>
  </si>
  <si>
    <t>Austin dd 42" dCP Unit Pdice is changed fdom $400 to $200</t>
  </si>
  <si>
    <t>Woodwadd Pdoject - Apply the deal constduction cost on Stodm ($3.7M)</t>
  </si>
  <si>
    <t xml:space="preserve">Adea: Ud --&gt; Applied 50% fidst then 85% </t>
  </si>
  <si>
    <t>Adea: Othed than Ud --&gt; Applied 85%</t>
  </si>
  <si>
    <t>Show all impdovements in one sheet (FCOC, Ddain, New Pipes, PS, etc.)</t>
  </si>
  <si>
    <t>Summady of Zone, Land Use, Existing Fees, and Pdoposed Fees</t>
  </si>
  <si>
    <t>devise South Pump Station: $3M (fdom $4M)</t>
  </si>
  <si>
    <t>New Financing Equation = 1.2 x ( Constduction + Soft ) =30 yeads with 6%</t>
  </si>
  <si>
    <t>Zone 32A and 37&amp;38 wede medged to Zone 32 and 35, despectively</t>
  </si>
  <si>
    <t>In summady, Udban desedve was hidden in the sheet</t>
  </si>
  <si>
    <t>STOdM DdAIN ZONE</t>
  </si>
  <si>
    <t>ACdES     (A)*</t>
  </si>
  <si>
    <t>Shade (%) AC / AnCn</t>
  </si>
  <si>
    <t>$/Acde</t>
  </si>
  <si>
    <t>Infdastductude Cost ($)</t>
  </si>
  <si>
    <t>Units Per Acre</t>
  </si>
  <si>
    <t>EDU Factor - Per Unit</t>
  </si>
  <si>
    <t>Units Developed</t>
  </si>
  <si>
    <t>Development Summary</t>
  </si>
  <si>
    <t>Table 6</t>
  </si>
  <si>
    <t>Financing Assumpitons</t>
  </si>
  <si>
    <t>Forthcoming</t>
  </si>
  <si>
    <t>Table 7</t>
  </si>
  <si>
    <t>Beginning Fund Balance</t>
  </si>
  <si>
    <t>See Note (5)</t>
  </si>
  <si>
    <t>Fees From Remaining PFIP Development</t>
  </si>
  <si>
    <t>Vacant Land Summary - Acres</t>
  </si>
  <si>
    <t xml:space="preserve">     Total PFF Admin Costs</t>
  </si>
  <si>
    <t>Acres</t>
  </si>
  <si>
    <t>EDUs (Acre)</t>
  </si>
  <si>
    <t>EDUs (Per Unit</t>
  </si>
  <si>
    <t>Units per Acre</t>
  </si>
  <si>
    <t>Units Develped</t>
  </si>
  <si>
    <t>Net To Gross Conversion</t>
  </si>
  <si>
    <t>Total Cost (per acre EDU)</t>
  </si>
  <si>
    <t>Total Cost</t>
  </si>
  <si>
    <t>Example with 85%</t>
  </si>
  <si>
    <t>Total Cost (per unit EDUs)</t>
  </si>
  <si>
    <t>Example without 85%</t>
  </si>
  <si>
    <t>Table 3 (Example w/o 85% net to gross conversion)</t>
  </si>
  <si>
    <t>(1) Total EDUs (Residential = EDU Factor x  Units Developed)</t>
  </si>
  <si>
    <t>City Administrative Costs - Variable</t>
  </si>
  <si>
    <t>Program Updates and On-Going Admin</t>
  </si>
  <si>
    <t>See General Section</t>
  </si>
  <si>
    <t>(5) City Admistrative Costs - Variable assumed to be 3.0% of PFF CIP costs.</t>
  </si>
  <si>
    <t>C per Gross Acre</t>
  </si>
  <si>
    <t>Soft Costs (12% of Construction Costs)</t>
  </si>
  <si>
    <t>Table 5M</t>
  </si>
  <si>
    <t xml:space="preserve">Zone </t>
  </si>
  <si>
    <t>31 + 32</t>
  </si>
  <si>
    <t>Zone 31 +32</t>
  </si>
  <si>
    <t>Zone 33,34,35</t>
  </si>
  <si>
    <t>Zone 31 &amp; 32</t>
  </si>
  <si>
    <t xml:space="preserve">Land Developed - CA  (C x Acres) </t>
  </si>
  <si>
    <t>Share of Cost - Percentage By Impact</t>
  </si>
  <si>
    <t>Net Cost Funded from PFIP</t>
  </si>
  <si>
    <t>Total Share of Cost - By Land Use</t>
  </si>
  <si>
    <t>Zone 31&amp;32</t>
  </si>
  <si>
    <t>PFIP Storm Drain Fee  - By Land Use  $/Ac</t>
  </si>
  <si>
    <t>$/DU - LDR</t>
  </si>
  <si>
    <t>Ex Fee</t>
  </si>
  <si>
    <t>n/a</t>
  </si>
  <si>
    <t>Change</t>
  </si>
  <si>
    <t>Revenue Check</t>
  </si>
  <si>
    <t>Total $$</t>
  </si>
  <si>
    <t>Difference</t>
  </si>
  <si>
    <t>Edits</t>
  </si>
  <si>
    <t>Edited column heading</t>
  </si>
  <si>
    <t>from Fee Summary Table</t>
  </si>
  <si>
    <t>5 per acre</t>
  </si>
  <si>
    <t>(4) Contingency estimate of 10% included in construction cost estimates, 12% soft cost estimate from City of Manteca.</t>
  </si>
  <si>
    <t>June 30, 2012 Balance</t>
  </si>
  <si>
    <t>Zone 31+32</t>
  </si>
  <si>
    <t>Table XX</t>
  </si>
  <si>
    <t>Vacant Land - Acres</t>
  </si>
  <si>
    <t>Zone 31 + 32</t>
  </si>
  <si>
    <t>Total Development Units (Acres x C)</t>
  </si>
  <si>
    <t>(Acres x C)</t>
  </si>
  <si>
    <t>Checks</t>
  </si>
  <si>
    <t>Vacant Acres</t>
  </si>
  <si>
    <t>Total Revenue</t>
  </si>
  <si>
    <t>Acres X C</t>
  </si>
  <si>
    <t>Fee Per Development Unit</t>
  </si>
  <si>
    <t>Working Draft - v9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</si>
</sst>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.0000"/>
    <numFmt numFmtId="167" formatCode="0.0000"/>
    <numFmt numFmtId="168" formatCode="#,##0.0"/>
    <numFmt numFmtId="169" formatCode="0.0%"/>
    <numFmt numFmtId="170" formatCode="_(* #,##0.0_);_(* \(#,##0.0\);_(* &quot;-&quot;??_);_(@_)"/>
    <numFmt numFmtId="171" formatCode="_(&quot;$&quot;* #,##0_);_(&quot;$&quot;* \(#,##0\);_(&quot;$&quot;* &quot;-&quot;??_);_(@_)"/>
    <numFmt numFmtId="172" formatCode="_(* #,##0.000_);_(* \(#,##0.000\);_(* &quot;-&quot;??_);_(@_)"/>
    <numFmt numFmtId="173" formatCode="_(* #,##0.0000_);_(* \(#,##0.0000\);_(* &quot;-&quot;??_);_(@_)"/>
    <numFmt numFmtId="174" formatCode="_(* #,##0_);_(* \(#,##0\);_(* &quot;-&quot;??_);_(@_)"/>
    <numFmt numFmtId="175" formatCode="dd\-mmm\-yy_)"/>
    <numFmt numFmtId="176" formatCode="hh:mm\ AM/PM_)"/>
    <numFmt numFmtId="177" formatCode="0.0000%"/>
    <numFmt numFmtId="178" formatCode="_(&quot;$&quot;* #,##0_);_(&quot;$&quot;* \(#,##0\);_(&quot;$&quot;* &quot;-&quot;?_);_(@_)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2"/>
      <name val="Arial"/>
      <family val="2"/>
    </font>
    <font>
      <b/>
      <sz val="7"/>
      <name val="Arial"/>
      <family val="2"/>
    </font>
    <font>
      <sz val="10"/>
      <color indexed="22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6"/>
      <name val="Arial"/>
      <family val="2"/>
    </font>
    <font>
      <sz val="10"/>
      <color indexed="23"/>
      <name val="Arial"/>
      <family val="2"/>
    </font>
    <font>
      <b/>
      <sz val="14"/>
      <name val="Arial"/>
      <family val="2"/>
    </font>
    <font>
      <b/>
      <sz val="7"/>
      <color indexed="12"/>
      <name val="Arial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indexed="2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2"/>
      <name val="Helv"/>
    </font>
    <font>
      <u/>
      <sz val="12"/>
      <name val="Helv"/>
    </font>
    <font>
      <sz val="6"/>
      <name val="Tms Rmn"/>
    </font>
    <font>
      <sz val="10"/>
      <color indexed="72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36" fillId="0" borderId="0"/>
    <xf numFmtId="0" fontId="1" fillId="0" borderId="0"/>
  </cellStyleXfs>
  <cellXfs count="1131">
    <xf numFmtId="0" fontId="0" fillId="0" borderId="0" xfId="0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4" fillId="6" borderId="6" xfId="0" applyNumberFormat="1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164" fontId="3" fillId="8" borderId="2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164" fontId="3" fillId="8" borderId="35" xfId="0" applyNumberFormat="1" applyFont="1" applyFill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64" fontId="3" fillId="8" borderId="38" xfId="0" applyNumberFormat="1" applyFont="1" applyFill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4" fillId="9" borderId="40" xfId="0" applyNumberFormat="1" applyFont="1" applyFill="1" applyBorder="1" applyAlignment="1">
      <alignment horizontal="center" vertical="center"/>
    </xf>
    <xf numFmtId="3" fontId="4" fillId="7" borderId="13" xfId="0" applyNumberFormat="1" applyFont="1" applyFill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44" xfId="0" applyNumberFormat="1" applyFont="1" applyBorder="1" applyAlignment="1">
      <alignment horizontal="center" vertical="center"/>
    </xf>
    <xf numFmtId="164" fontId="6" fillId="9" borderId="13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2" fontId="3" fillId="0" borderId="22" xfId="0" applyNumberFormat="1" applyFont="1" applyBorder="1" applyAlignment="1">
      <alignment vertical="center"/>
    </xf>
    <xf numFmtId="2" fontId="0" fillId="0" borderId="22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Border="1" applyAlignment="1">
      <alignment horizontal="right" vertical="center"/>
    </xf>
    <xf numFmtId="164" fontId="3" fillId="9" borderId="22" xfId="0" applyNumberFormat="1" applyFont="1" applyFill="1" applyBorder="1" applyAlignment="1">
      <alignment horizontal="right" vertical="center"/>
    </xf>
    <xf numFmtId="164" fontId="3" fillId="0" borderId="22" xfId="0" applyNumberFormat="1" applyFont="1" applyFill="1" applyBorder="1" applyAlignment="1">
      <alignment horizontal="right" vertical="center"/>
    </xf>
    <xf numFmtId="164" fontId="3" fillId="7" borderId="22" xfId="0" applyNumberFormat="1" applyFont="1" applyFill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2" fontId="0" fillId="0" borderId="22" xfId="0" applyNumberForma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6" fontId="0" fillId="0" borderId="22" xfId="0" applyNumberForma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7" fontId="3" fillId="0" borderId="22" xfId="0" applyNumberFormat="1" applyFont="1" applyBorder="1" applyAlignment="1">
      <alignment vertical="center"/>
    </xf>
    <xf numFmtId="164" fontId="3" fillId="0" borderId="22" xfId="2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9" borderId="45" xfId="0" applyFont="1" applyFill="1" applyBorder="1" applyAlignment="1">
      <alignment horizontal="center" vertical="center"/>
    </xf>
    <xf numFmtId="0" fontId="0" fillId="9" borderId="23" xfId="0" applyFill="1" applyBorder="1" applyAlignment="1">
      <alignment vertical="center"/>
    </xf>
    <xf numFmtId="2" fontId="0" fillId="9" borderId="23" xfId="0" applyNumberForma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0" fillId="9" borderId="22" xfId="0" applyFill="1" applyBorder="1" applyAlignment="1">
      <alignment vertical="center"/>
    </xf>
    <xf numFmtId="2" fontId="0" fillId="9" borderId="22" xfId="0" applyNumberForma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0" fillId="5" borderId="22" xfId="0" applyFill="1" applyBorder="1" applyAlignment="1">
      <alignment vertical="center"/>
    </xf>
    <xf numFmtId="2" fontId="0" fillId="5" borderId="22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0" fillId="7" borderId="22" xfId="0" applyFill="1" applyBorder="1" applyAlignment="1">
      <alignment vertical="center"/>
    </xf>
    <xf numFmtId="2" fontId="0" fillId="7" borderId="22" xfId="0" applyNumberForma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0" fontId="0" fillId="11" borderId="22" xfId="0" applyFill="1" applyBorder="1" applyAlignment="1">
      <alignment vertical="center"/>
    </xf>
    <xf numFmtId="0" fontId="3" fillId="11" borderId="22" xfId="0" applyFont="1" applyFill="1" applyBorder="1" applyAlignment="1">
      <alignment vertical="center"/>
    </xf>
    <xf numFmtId="0" fontId="4" fillId="12" borderId="38" xfId="0" applyFont="1" applyFill="1" applyBorder="1" applyAlignment="1">
      <alignment horizontal="center" vertical="center"/>
    </xf>
    <xf numFmtId="0" fontId="0" fillId="12" borderId="22" xfId="0" applyFill="1" applyBorder="1" applyAlignment="1">
      <alignment vertical="center"/>
    </xf>
    <xf numFmtId="2" fontId="0" fillId="12" borderId="22" xfId="0" applyNumberForma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center"/>
    </xf>
    <xf numFmtId="0" fontId="0" fillId="12" borderId="12" xfId="0" applyFill="1" applyBorder="1" applyAlignment="1">
      <alignment vertical="center"/>
    </xf>
    <xf numFmtId="2" fontId="0" fillId="12" borderId="12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7" borderId="22" xfId="0" applyNumberFormat="1" applyFont="1" applyFill="1" applyBorder="1" applyAlignment="1">
      <alignment horizontal="left" vertical="center"/>
    </xf>
    <xf numFmtId="164" fontId="3" fillId="7" borderId="22" xfId="0" applyNumberFormat="1" applyFont="1" applyFill="1" applyBorder="1" applyAlignment="1">
      <alignment horizontal="center" vertical="center"/>
    </xf>
    <xf numFmtId="0" fontId="3" fillId="9" borderId="22" xfId="0" applyNumberFormat="1" applyFont="1" applyFill="1" applyBorder="1" applyAlignment="1">
      <alignment horizontal="left" vertical="center"/>
    </xf>
    <xf numFmtId="164" fontId="3" fillId="9" borderId="22" xfId="0" applyNumberFormat="1" applyFont="1" applyFill="1" applyBorder="1" applyAlignment="1">
      <alignment horizontal="center" vertical="center"/>
    </xf>
    <xf numFmtId="0" fontId="3" fillId="10" borderId="22" xfId="0" applyNumberFormat="1" applyFont="1" applyFill="1" applyBorder="1" applyAlignment="1">
      <alignment horizontal="left" vertical="center"/>
    </xf>
    <xf numFmtId="164" fontId="3" fillId="10" borderId="22" xfId="0" applyNumberFormat="1" applyFont="1" applyFill="1" applyBorder="1" applyAlignment="1">
      <alignment horizontal="center" vertical="center"/>
    </xf>
    <xf numFmtId="0" fontId="3" fillId="11" borderId="22" xfId="0" applyNumberFormat="1" applyFont="1" applyFill="1" applyBorder="1" applyAlignment="1">
      <alignment horizontal="left" vertical="center"/>
    </xf>
    <xf numFmtId="164" fontId="3" fillId="11" borderId="22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6" fontId="0" fillId="0" borderId="0" xfId="0" applyNumberFormat="1" applyFill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166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64" fontId="3" fillId="12" borderId="22" xfId="0" applyNumberFormat="1" applyFont="1" applyFill="1" applyBorder="1" applyAlignment="1">
      <alignment horizontal="center" vertical="center"/>
    </xf>
    <xf numFmtId="167" fontId="7" fillId="12" borderId="19" xfId="0" applyNumberFormat="1" applyFont="1" applyFill="1" applyBorder="1" applyAlignment="1">
      <alignment horizontal="center" vertical="center" wrapText="1"/>
    </xf>
    <xf numFmtId="167" fontId="7" fillId="12" borderId="46" xfId="0" applyNumberFormat="1" applyFont="1" applyFill="1" applyBorder="1" applyAlignment="1">
      <alignment horizontal="center" vertical="center" wrapText="1"/>
    </xf>
    <xf numFmtId="167" fontId="7" fillId="12" borderId="20" xfId="0" applyNumberFormat="1" applyFont="1" applyFill="1" applyBorder="1" applyAlignment="1">
      <alignment horizontal="center" vertical="center" wrapText="1"/>
    </xf>
    <xf numFmtId="0" fontId="0" fillId="12" borderId="38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2" fontId="7" fillId="7" borderId="22" xfId="0" applyNumberFormat="1" applyFont="1" applyFill="1" applyBorder="1" applyAlignment="1">
      <alignment horizontal="center" vertical="center" wrapText="1"/>
    </xf>
    <xf numFmtId="2" fontId="7" fillId="7" borderId="22" xfId="0" applyNumberFormat="1" applyFont="1" applyFill="1" applyBorder="1" applyAlignment="1">
      <alignment horizontal="center" vertical="center"/>
    </xf>
    <xf numFmtId="4" fontId="7" fillId="7" borderId="22" xfId="0" applyNumberFormat="1" applyFont="1" applyFill="1" applyBorder="1" applyAlignment="1">
      <alignment horizontal="center" vertical="center" wrapText="1"/>
    </xf>
    <xf numFmtId="166" fontId="7" fillId="7" borderId="22" xfId="0" applyNumberFormat="1" applyFont="1" applyFill="1" applyBorder="1" applyAlignment="1">
      <alignment horizontal="center" vertical="center" wrapText="1"/>
    </xf>
    <xf numFmtId="164" fontId="7" fillId="7" borderId="22" xfId="0" applyNumberFormat="1" applyFont="1" applyFill="1" applyBorder="1" applyAlignment="1">
      <alignment horizontal="center" vertical="center" wrapText="1"/>
    </xf>
    <xf numFmtId="2" fontId="12" fillId="0" borderId="22" xfId="0" applyNumberFormat="1" applyFont="1" applyBorder="1" applyAlignment="1">
      <alignment vertical="center"/>
    </xf>
    <xf numFmtId="2" fontId="12" fillId="0" borderId="22" xfId="0" applyNumberFormat="1" applyFont="1" applyFill="1" applyBorder="1" applyAlignment="1">
      <alignment vertical="center"/>
    </xf>
    <xf numFmtId="164" fontId="0" fillId="0" borderId="21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4" fontId="0" fillId="12" borderId="22" xfId="0" applyNumberFormat="1" applyFill="1" applyBorder="1" applyAlignment="1">
      <alignment horizontal="center" vertical="center"/>
    </xf>
    <xf numFmtId="164" fontId="0" fillId="12" borderId="22" xfId="0" applyNumberForma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3" fontId="3" fillId="0" borderId="22" xfId="0" applyNumberFormat="1" applyFont="1" applyBorder="1" applyAlignment="1">
      <alignment vertical="center"/>
    </xf>
    <xf numFmtId="0" fontId="4" fillId="8" borderId="6" xfId="0" applyNumberFormat="1" applyFont="1" applyFill="1" applyBorder="1" applyAlignment="1">
      <alignment horizontal="center" vertical="center"/>
    </xf>
    <xf numFmtId="0" fontId="4" fillId="7" borderId="38" xfId="0" applyNumberFormat="1" applyFont="1" applyFill="1" applyBorder="1" applyAlignment="1">
      <alignment horizontal="center" vertical="center"/>
    </xf>
    <xf numFmtId="0" fontId="4" fillId="9" borderId="38" xfId="0" applyNumberFormat="1" applyFont="1" applyFill="1" applyBorder="1" applyAlignment="1">
      <alignment horizontal="center" vertical="center"/>
    </xf>
    <xf numFmtId="0" fontId="4" fillId="10" borderId="38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49" xfId="0" applyNumberFormat="1" applyFont="1" applyFill="1" applyBorder="1" applyAlignment="1">
      <alignment vertical="center"/>
    </xf>
    <xf numFmtId="164" fontId="3" fillId="0" borderId="34" xfId="0" applyNumberFormat="1" applyFont="1" applyFill="1" applyBorder="1" applyAlignment="1">
      <alignment vertical="center"/>
    </xf>
    <xf numFmtId="164" fontId="3" fillId="0" borderId="27" xfId="0" applyNumberFormat="1" applyFont="1" applyFill="1" applyBorder="1" applyAlignment="1">
      <alignment vertical="center"/>
    </xf>
    <xf numFmtId="0" fontId="3" fillId="0" borderId="22" xfId="0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3" fillId="0" borderId="22" xfId="0" applyFont="1" applyFill="1" applyBorder="1"/>
    <xf numFmtId="2" fontId="3" fillId="0" borderId="22" xfId="0" applyNumberFormat="1" applyFont="1" applyFill="1" applyBorder="1"/>
    <xf numFmtId="2" fontId="12" fillId="0" borderId="22" xfId="0" applyNumberFormat="1" applyFont="1" applyFill="1" applyBorder="1"/>
    <xf numFmtId="3" fontId="8" fillId="0" borderId="0" xfId="0" applyNumberFormat="1" applyFont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4" fontId="3" fillId="0" borderId="22" xfId="0" applyNumberFormat="1" applyFont="1" applyFill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9" fillId="0" borderId="9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167" fontId="7" fillId="11" borderId="45" xfId="0" applyNumberFormat="1" applyFont="1" applyFill="1" applyBorder="1" applyAlignment="1">
      <alignment horizontal="center" vertical="center" wrapText="1"/>
    </xf>
    <xf numFmtId="167" fontId="7" fillId="11" borderId="23" xfId="0" applyNumberFormat="1" applyFont="1" applyFill="1" applyBorder="1" applyAlignment="1">
      <alignment horizontal="center" vertical="center" wrapText="1"/>
    </xf>
    <xf numFmtId="167" fontId="7" fillId="11" borderId="34" xfId="0" applyNumberFormat="1" applyFont="1" applyFill="1" applyBorder="1" applyAlignment="1">
      <alignment horizontal="center" vertical="center" wrapText="1"/>
    </xf>
    <xf numFmtId="167" fontId="7" fillId="11" borderId="47" xfId="0" applyNumberFormat="1" applyFont="1" applyFill="1" applyBorder="1" applyAlignment="1">
      <alignment horizontal="center" vertical="center" wrapText="1"/>
    </xf>
    <xf numFmtId="2" fontId="0" fillId="12" borderId="21" xfId="0" applyNumberFormat="1" applyFill="1" applyBorder="1" applyAlignment="1">
      <alignment horizontal="center" vertical="center"/>
    </xf>
    <xf numFmtId="2" fontId="0" fillId="12" borderId="18" xfId="0" applyNumberFormat="1" applyFill="1" applyBorder="1" applyAlignment="1">
      <alignment horizontal="center" vertical="center"/>
    </xf>
    <xf numFmtId="3" fontId="13" fillId="12" borderId="22" xfId="0" applyNumberFormat="1" applyFont="1" applyFill="1" applyBorder="1" applyAlignment="1">
      <alignment horizontal="center" vertical="center" wrapText="1"/>
    </xf>
    <xf numFmtId="3" fontId="0" fillId="12" borderId="22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2" xfId="0" applyNumberFormat="1" applyFill="1" applyBorder="1" applyAlignment="1">
      <alignment horizontal="center" vertical="center"/>
    </xf>
    <xf numFmtId="0" fontId="0" fillId="12" borderId="33" xfId="0" applyFill="1" applyBorder="1" applyAlignment="1">
      <alignment vertical="center"/>
    </xf>
    <xf numFmtId="0" fontId="0" fillId="12" borderId="9" xfId="0" applyFill="1" applyBorder="1" applyAlignment="1">
      <alignment vertical="center"/>
    </xf>
    <xf numFmtId="0" fontId="0" fillId="12" borderId="23" xfId="0" applyFill="1" applyBorder="1" applyAlignment="1">
      <alignment vertical="center"/>
    </xf>
    <xf numFmtId="0" fontId="0" fillId="12" borderId="8" xfId="0" applyFill="1" applyBorder="1" applyAlignment="1">
      <alignment vertical="center"/>
    </xf>
    <xf numFmtId="3" fontId="4" fillId="13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9" fontId="11" fillId="4" borderId="50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9" fontId="11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164" fontId="10" fillId="0" borderId="22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30" xfId="0" applyNumberFormat="1" applyFont="1" applyFill="1" applyBorder="1" applyAlignment="1">
      <alignment horizontal="center" vertical="center"/>
    </xf>
    <xf numFmtId="164" fontId="10" fillId="10" borderId="22" xfId="0" applyNumberFormat="1" applyFont="1" applyFill="1" applyBorder="1" applyAlignment="1">
      <alignment horizontal="center" vertical="center"/>
    </xf>
    <xf numFmtId="164" fontId="10" fillId="8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28" xfId="0" applyFont="1" applyFill="1" applyBorder="1" applyAlignment="1">
      <alignment horizontal="center" vertical="center"/>
    </xf>
    <xf numFmtId="164" fontId="15" fillId="12" borderId="21" xfId="0" applyNumberFormat="1" applyFont="1" applyFill="1" applyBorder="1" applyAlignment="1">
      <alignment horizontal="center" vertical="center"/>
    </xf>
    <xf numFmtId="0" fontId="4" fillId="11" borderId="51" xfId="0" applyNumberFormat="1" applyFont="1" applyFill="1" applyBorder="1" applyAlignment="1">
      <alignment horizontal="center" vertical="center"/>
    </xf>
    <xf numFmtId="164" fontId="3" fillId="11" borderId="33" xfId="0" applyNumberFormat="1" applyFont="1" applyFill="1" applyBorder="1" applyAlignment="1">
      <alignment horizontal="center" vertical="center"/>
    </xf>
    <xf numFmtId="0" fontId="3" fillId="12" borderId="3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53" xfId="0" applyBorder="1" applyAlignment="1">
      <alignment vertical="center"/>
    </xf>
    <xf numFmtId="2" fontId="10" fillId="8" borderId="36" xfId="0" applyNumberFormat="1" applyFont="1" applyFill="1" applyBorder="1" applyAlignment="1">
      <alignment vertical="center"/>
    </xf>
    <xf numFmtId="0" fontId="3" fillId="8" borderId="32" xfId="0" applyFont="1" applyFill="1" applyBorder="1" applyAlignment="1">
      <alignment vertical="center"/>
    </xf>
    <xf numFmtId="2" fontId="10" fillId="8" borderId="34" xfId="0" applyNumberFormat="1" applyFont="1" applyFill="1" applyBorder="1" applyAlignment="1">
      <alignment horizontal="left" vertical="center"/>
    </xf>
    <xf numFmtId="2" fontId="3" fillId="8" borderId="27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7" fillId="7" borderId="22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22" xfId="0" applyFont="1" applyFill="1" applyBorder="1"/>
    <xf numFmtId="0" fontId="0" fillId="0" borderId="0" xfId="0" applyFill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64" fontId="19" fillId="0" borderId="2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164" fontId="19" fillId="0" borderId="46" xfId="0" applyNumberFormat="1" applyFont="1" applyFill="1" applyBorder="1" applyAlignment="1">
      <alignment horizontal="center" vertical="center"/>
    </xf>
    <xf numFmtId="164" fontId="0" fillId="0" borderId="46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164" fontId="8" fillId="0" borderId="22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horizontal="center" vertical="center"/>
    </xf>
    <xf numFmtId="164" fontId="8" fillId="0" borderId="46" xfId="0" applyNumberFormat="1" applyFont="1" applyFill="1" applyBorder="1" applyAlignment="1">
      <alignment horizontal="center" vertical="center"/>
    </xf>
    <xf numFmtId="164" fontId="18" fillId="0" borderId="4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18" fillId="0" borderId="20" xfId="0" applyNumberFormat="1" applyFon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64" fontId="18" fillId="0" borderId="18" xfId="0" applyNumberFormat="1" applyFon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164" fontId="20" fillId="0" borderId="2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9" fillId="0" borderId="23" xfId="0" applyNumberFormat="1" applyFont="1" applyFill="1" applyBorder="1" applyAlignment="1">
      <alignment horizontal="center" vertical="center"/>
    </xf>
    <xf numFmtId="164" fontId="0" fillId="0" borderId="47" xfId="0" applyNumberForma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vertical="center"/>
    </xf>
    <xf numFmtId="164" fontId="8" fillId="12" borderId="21" xfId="0" applyNumberFormat="1" applyFont="1" applyFill="1" applyBorder="1" applyAlignment="1">
      <alignment vertical="center"/>
    </xf>
    <xf numFmtId="164" fontId="8" fillId="12" borderId="12" xfId="0" applyNumberFormat="1" applyFont="1" applyFill="1" applyBorder="1" applyAlignment="1">
      <alignment vertical="center"/>
    </xf>
    <xf numFmtId="164" fontId="8" fillId="12" borderId="18" xfId="0" applyNumberFormat="1" applyFont="1" applyFill="1" applyBorder="1" applyAlignment="1">
      <alignment vertical="center"/>
    </xf>
    <xf numFmtId="164" fontId="4" fillId="0" borderId="54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horizontal="center" vertical="center"/>
    </xf>
    <xf numFmtId="164" fontId="19" fillId="12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8" fillId="0" borderId="8" xfId="0" applyNumberFormat="1" applyFon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64" fontId="20" fillId="0" borderId="22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8" fillId="12" borderId="23" xfId="0" applyNumberFormat="1" applyFont="1" applyFill="1" applyBorder="1" applyAlignment="1">
      <alignment vertical="center"/>
    </xf>
    <xf numFmtId="164" fontId="8" fillId="0" borderId="21" xfId="0" applyNumberFormat="1" applyFont="1" applyFill="1" applyBorder="1" applyAlignment="1">
      <alignment vertical="center"/>
    </xf>
    <xf numFmtId="164" fontId="8" fillId="0" borderId="18" xfId="0" applyNumberFormat="1" applyFont="1" applyFill="1" applyBorder="1" applyAlignment="1">
      <alignment vertical="center"/>
    </xf>
    <xf numFmtId="164" fontId="8" fillId="12" borderId="46" xfId="0" applyNumberFormat="1" applyFont="1" applyFill="1" applyBorder="1" applyAlignment="1">
      <alignment horizontal="center" vertical="center"/>
    </xf>
    <xf numFmtId="164" fontId="18" fillId="12" borderId="46" xfId="0" applyNumberFormat="1" applyFont="1" applyFill="1" applyBorder="1" applyAlignment="1">
      <alignment horizontal="center" vertical="center"/>
    </xf>
    <xf numFmtId="164" fontId="18" fillId="12" borderId="22" xfId="0" applyNumberFormat="1" applyFont="1" applyFill="1" applyBorder="1" applyAlignment="1">
      <alignment horizontal="center" vertical="center"/>
    </xf>
    <xf numFmtId="164" fontId="8" fillId="12" borderId="12" xfId="0" applyNumberFormat="1" applyFont="1" applyFill="1" applyBorder="1" applyAlignment="1">
      <alignment horizontal="center" vertical="center"/>
    </xf>
    <xf numFmtId="164" fontId="18" fillId="12" borderId="12" xfId="0" applyNumberFormat="1" applyFont="1" applyFill="1" applyBorder="1" applyAlignment="1">
      <alignment horizontal="center" vertical="center"/>
    </xf>
    <xf numFmtId="164" fontId="8" fillId="0" borderId="47" xfId="0" applyNumberFormat="1" applyFont="1" applyFill="1" applyBorder="1" applyAlignment="1">
      <alignment vertical="center"/>
    </xf>
    <xf numFmtId="164" fontId="8" fillId="0" borderId="22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left" vertical="center"/>
    </xf>
    <xf numFmtId="164" fontId="3" fillId="8" borderId="22" xfId="0" applyNumberFormat="1" applyFont="1" applyFill="1" applyBorder="1" applyAlignment="1">
      <alignment horizontal="center" vertical="center"/>
    </xf>
    <xf numFmtId="1" fontId="3" fillId="7" borderId="35" xfId="0" applyNumberFormat="1" applyFont="1" applyFill="1" applyBorder="1" applyAlignment="1">
      <alignment horizontal="center" vertical="center"/>
    </xf>
    <xf numFmtId="1" fontId="3" fillId="9" borderId="35" xfId="0" applyNumberFormat="1" applyFont="1" applyFill="1" applyBorder="1" applyAlignment="1">
      <alignment horizontal="center" vertical="center"/>
    </xf>
    <xf numFmtId="1" fontId="3" fillId="10" borderId="35" xfId="0" applyNumberFormat="1" applyFont="1" applyFill="1" applyBorder="1" applyAlignment="1">
      <alignment horizontal="center" vertical="center"/>
    </xf>
    <xf numFmtId="1" fontId="3" fillId="11" borderId="36" xfId="0" applyNumberFormat="1" applyFont="1" applyFill="1" applyBorder="1" applyAlignment="1">
      <alignment horizontal="center" vertical="center"/>
    </xf>
    <xf numFmtId="0" fontId="3" fillId="12" borderId="30" xfId="0" applyNumberFormat="1" applyFont="1" applyFill="1" applyBorder="1" applyAlignment="1">
      <alignment horizontal="center" vertical="center"/>
    </xf>
    <xf numFmtId="0" fontId="4" fillId="8" borderId="19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left" vertical="center"/>
    </xf>
    <xf numFmtId="164" fontId="3" fillId="8" borderId="46" xfId="0" applyNumberFormat="1" applyFont="1" applyFill="1" applyBorder="1" applyAlignment="1">
      <alignment horizontal="center" vertical="center"/>
    </xf>
    <xf numFmtId="1" fontId="3" fillId="8" borderId="55" xfId="0" applyNumberFormat="1" applyFont="1" applyFill="1" applyBorder="1" applyAlignment="1">
      <alignment horizontal="center" vertical="center"/>
    </xf>
    <xf numFmtId="0" fontId="4" fillId="8" borderId="38" xfId="0" applyNumberFormat="1" applyFont="1" applyFill="1" applyBorder="1" applyAlignment="1">
      <alignment horizontal="center" vertical="center"/>
    </xf>
    <xf numFmtId="0" fontId="21" fillId="8" borderId="38" xfId="0" applyNumberFormat="1" applyFont="1" applyFill="1" applyBorder="1" applyAlignment="1">
      <alignment horizontal="center" vertical="center"/>
    </xf>
    <xf numFmtId="0" fontId="21" fillId="9" borderId="56" xfId="0" applyNumberFormat="1" applyFont="1" applyFill="1" applyBorder="1" applyAlignment="1">
      <alignment horizontal="center" vertical="center"/>
    </xf>
    <xf numFmtId="0" fontId="3" fillId="9" borderId="8" xfId="0" applyNumberFormat="1" applyFont="1" applyFill="1" applyBorder="1" applyAlignment="1">
      <alignment horizontal="left" vertical="center"/>
    </xf>
    <xf numFmtId="164" fontId="3" fillId="9" borderId="8" xfId="0" applyNumberFormat="1" applyFont="1" applyFill="1" applyBorder="1" applyAlignment="1">
      <alignment horizontal="center" vertical="center"/>
    </xf>
    <xf numFmtId="1" fontId="3" fillId="9" borderId="57" xfId="0" applyNumberFormat="1" applyFont="1" applyFill="1" applyBorder="1" applyAlignment="1">
      <alignment vertical="center"/>
    </xf>
    <xf numFmtId="164" fontId="22" fillId="0" borderId="46" xfId="0" applyNumberFormat="1" applyFont="1" applyFill="1" applyBorder="1" applyAlignment="1">
      <alignment horizontal="center" vertical="center"/>
    </xf>
    <xf numFmtId="164" fontId="22" fillId="0" borderId="22" xfId="0" applyNumberFormat="1" applyFont="1" applyFill="1" applyBorder="1" applyAlignment="1">
      <alignment horizontal="center" vertical="center"/>
    </xf>
    <xf numFmtId="164" fontId="22" fillId="0" borderId="12" xfId="0" applyNumberFormat="1" applyFont="1" applyFill="1" applyBorder="1" applyAlignment="1">
      <alignment horizontal="center" vertical="center"/>
    </xf>
    <xf numFmtId="164" fontId="22" fillId="0" borderId="23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164" fontId="8" fillId="12" borderId="8" xfId="0" applyNumberFormat="1" applyFont="1" applyFill="1" applyBorder="1" applyAlignment="1">
      <alignment vertical="center"/>
    </xf>
    <xf numFmtId="164" fontId="8" fillId="0" borderId="57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64" fontId="19" fillId="12" borderId="23" xfId="0" applyNumberFormat="1" applyFont="1" applyFill="1" applyBorder="1" applyAlignment="1">
      <alignment horizontal="center" vertical="center"/>
    </xf>
    <xf numFmtId="164" fontId="0" fillId="12" borderId="23" xfId="0" applyNumberForma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19" fillId="12" borderId="12" xfId="0" applyNumberFormat="1" applyFont="1" applyFill="1" applyBorder="1" applyAlignment="1">
      <alignment horizontal="center" vertical="center"/>
    </xf>
    <xf numFmtId="164" fontId="0" fillId="12" borderId="12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8" fillId="12" borderId="7" xfId="0" applyNumberFormat="1" applyFont="1" applyFill="1" applyBorder="1" applyAlignment="1">
      <alignment horizontal="center" vertical="center"/>
    </xf>
    <xf numFmtId="164" fontId="18" fillId="12" borderId="7" xfId="0" applyNumberFormat="1" applyFont="1" applyFill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164" fontId="18" fillId="0" borderId="60" xfId="0" applyNumberFormat="1" applyFont="1" applyFill="1" applyBorder="1" applyAlignment="1">
      <alignment horizontal="center" vertical="center"/>
    </xf>
    <xf numFmtId="164" fontId="19" fillId="12" borderId="46" xfId="0" applyNumberFormat="1" applyFont="1" applyFill="1" applyBorder="1" applyAlignment="1">
      <alignment horizontal="center" vertical="center"/>
    </xf>
    <xf numFmtId="164" fontId="0" fillId="12" borderId="46" xfId="0" applyNumberForma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3" fillId="12" borderId="5" xfId="0" applyNumberFormat="1" applyFont="1" applyFill="1" applyBorder="1" applyAlignment="1">
      <alignment horizontal="center" vertical="center"/>
    </xf>
    <xf numFmtId="0" fontId="4" fillId="4" borderId="38" xfId="0" applyNumberFormat="1" applyFont="1" applyFill="1" applyBorder="1" applyAlignment="1">
      <alignment horizontal="center" vertical="center"/>
    </xf>
    <xf numFmtId="0" fontId="3" fillId="4" borderId="22" xfId="0" applyNumberFormat="1" applyFont="1" applyFill="1" applyBorder="1" applyAlignment="1">
      <alignment horizontal="left" vertical="center"/>
    </xf>
    <xf numFmtId="164" fontId="3" fillId="4" borderId="22" xfId="0" applyNumberFormat="1" applyFont="1" applyFill="1" applyBorder="1" applyAlignment="1">
      <alignment horizontal="center" vertical="center"/>
    </xf>
    <xf numFmtId="0" fontId="21" fillId="4" borderId="38" xfId="0" applyNumberFormat="1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2" fillId="8" borderId="2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54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14" fontId="0" fillId="0" borderId="18" xfId="0" applyNumberFormat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0" fillId="0" borderId="39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164" fontId="0" fillId="0" borderId="45" xfId="0" applyNumberFormat="1" applyFill="1" applyBorder="1" applyAlignment="1">
      <alignment vertical="center"/>
    </xf>
    <xf numFmtId="3" fontId="0" fillId="0" borderId="47" xfId="0" applyNumberFormat="1" applyFill="1" applyBorder="1" applyAlignment="1">
      <alignment vertical="center"/>
    </xf>
    <xf numFmtId="164" fontId="19" fillId="0" borderId="38" xfId="0" applyNumberFormat="1" applyFon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0" fillId="0" borderId="59" xfId="0" applyNumberFormat="1" applyBorder="1" applyAlignment="1">
      <alignment horizontal="center" vertical="center"/>
    </xf>
    <xf numFmtId="164" fontId="0" fillId="0" borderId="65" xfId="0" applyNumberFormat="1" applyBorder="1" applyAlignment="1">
      <alignment horizontal="center" vertical="center"/>
    </xf>
    <xf numFmtId="1" fontId="0" fillId="0" borderId="66" xfId="0" applyNumberFormat="1" applyFill="1" applyBorder="1" applyAlignment="1">
      <alignment horizontal="center" vertical="center"/>
    </xf>
    <xf numFmtId="1" fontId="0" fillId="0" borderId="67" xfId="0" applyNumberFormat="1" applyFill="1" applyBorder="1" applyAlignment="1">
      <alignment horizontal="center" vertical="center"/>
    </xf>
    <xf numFmtId="2" fontId="0" fillId="0" borderId="66" xfId="0" applyNumberFormat="1" applyFill="1" applyBorder="1" applyAlignment="1">
      <alignment horizontal="center" vertical="center"/>
    </xf>
    <xf numFmtId="2" fontId="0" fillId="0" borderId="67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12" borderId="38" xfId="0" applyFont="1" applyFill="1" applyBorder="1" applyAlignment="1">
      <alignment horizontal="center" vertical="center"/>
    </xf>
    <xf numFmtId="3" fontId="0" fillId="0" borderId="0" xfId="0" quotePrefix="1" applyNumberFormat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5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2" fontId="10" fillId="10" borderId="22" xfId="0" applyNumberFormat="1" applyFont="1" applyFill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2" fontId="11" fillId="10" borderId="22" xfId="0" applyNumberFormat="1" applyFont="1" applyFill="1" applyBorder="1" applyAlignment="1">
      <alignment horizontal="center" vertical="center"/>
    </xf>
    <xf numFmtId="0" fontId="20" fillId="10" borderId="35" xfId="0" applyFont="1" applyFill="1" applyBorder="1" applyAlignment="1">
      <alignment vertical="center"/>
    </xf>
    <xf numFmtId="164" fontId="0" fillId="10" borderId="53" xfId="0" applyNumberFormat="1" applyFill="1" applyBorder="1" applyAlignment="1">
      <alignment vertical="center"/>
    </xf>
    <xf numFmtId="3" fontId="0" fillId="10" borderId="53" xfId="0" applyNumberFormat="1" applyFill="1" applyBorder="1" applyAlignment="1">
      <alignment vertical="center"/>
    </xf>
    <xf numFmtId="0" fontId="0" fillId="10" borderId="28" xfId="0" applyFill="1" applyBorder="1" applyAlignment="1">
      <alignment horizontal="center" vertical="center"/>
    </xf>
    <xf numFmtId="0" fontId="11" fillId="10" borderId="58" xfId="0" applyFont="1" applyFill="1" applyBorder="1" applyAlignment="1">
      <alignment vertical="center"/>
    </xf>
    <xf numFmtId="0" fontId="11" fillId="10" borderId="59" xfId="0" applyFont="1" applyFill="1" applyBorder="1" applyAlignment="1">
      <alignment vertical="center"/>
    </xf>
    <xf numFmtId="0" fontId="11" fillId="10" borderId="56" xfId="0" applyFont="1" applyFill="1" applyBorder="1" applyAlignment="1">
      <alignment vertical="center"/>
    </xf>
    <xf numFmtId="0" fontId="11" fillId="10" borderId="59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2" fontId="10" fillId="4" borderId="22" xfId="0" applyNumberFormat="1" applyFont="1" applyFill="1" applyBorder="1" applyAlignment="1">
      <alignment vertical="center"/>
    </xf>
    <xf numFmtId="0" fontId="18" fillId="9" borderId="30" xfId="0" applyFont="1" applyFill="1" applyBorder="1" applyAlignment="1">
      <alignment horizontal="center" vertical="center"/>
    </xf>
    <xf numFmtId="164" fontId="18" fillId="9" borderId="21" xfId="0" applyNumberFormat="1" applyFont="1" applyFill="1" applyBorder="1" applyAlignment="1">
      <alignment horizontal="center" vertical="center"/>
    </xf>
    <xf numFmtId="2" fontId="18" fillId="9" borderId="66" xfId="0" applyNumberFormat="1" applyFont="1" applyFill="1" applyBorder="1" applyAlignment="1">
      <alignment horizontal="center" vertical="center"/>
    </xf>
    <xf numFmtId="0" fontId="6" fillId="10" borderId="59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/>
    </xf>
    <xf numFmtId="168" fontId="0" fillId="0" borderId="22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8" fontId="0" fillId="0" borderId="21" xfId="0" applyNumberForma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8" fontId="0" fillId="0" borderId="46" xfId="0" applyNumberFormat="1" applyBorder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168" fontId="11" fillId="0" borderId="57" xfId="0" applyNumberFormat="1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68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168" fontId="6" fillId="9" borderId="18" xfId="0" applyNumberFormat="1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0" fontId="11" fillId="7" borderId="63" xfId="0" applyFont="1" applyFill="1" applyBorder="1" applyAlignment="1">
      <alignment horizontal="center" vertical="center"/>
    </xf>
    <xf numFmtId="14" fontId="0" fillId="7" borderId="18" xfId="0" applyNumberFormat="1" applyFill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2" fontId="29" fillId="0" borderId="22" xfId="0" applyNumberFormat="1" applyFont="1" applyBorder="1" applyAlignment="1">
      <alignment vertical="center"/>
    </xf>
    <xf numFmtId="167" fontId="29" fillId="0" borderId="22" xfId="0" applyNumberFormat="1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0" fillId="0" borderId="66" xfId="0" applyNumberFormat="1" applyFill="1" applyBorder="1" applyAlignment="1">
      <alignment horizontal="center" vertical="center"/>
    </xf>
    <xf numFmtId="3" fontId="0" fillId="0" borderId="67" xfId="0" applyNumberFormat="1" applyFill="1" applyBorder="1" applyAlignment="1">
      <alignment horizontal="center" vertical="center"/>
    </xf>
    <xf numFmtId="164" fontId="29" fillId="12" borderId="22" xfId="0" applyNumberFormat="1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0" fillId="14" borderId="6" xfId="0" applyNumberFormat="1" applyFont="1" applyFill="1" applyBorder="1" applyAlignment="1">
      <alignment horizontal="center" vertical="center"/>
    </xf>
    <xf numFmtId="0" fontId="3" fillId="14" borderId="0" xfId="0" applyNumberFormat="1" applyFont="1" applyFill="1" applyBorder="1" applyAlignment="1">
      <alignment horizontal="center" vertical="center"/>
    </xf>
    <xf numFmtId="3" fontId="3" fillId="14" borderId="9" xfId="0" applyNumberFormat="1" applyFont="1" applyFill="1" applyBorder="1" applyAlignment="1">
      <alignment horizontal="center" vertical="center"/>
    </xf>
    <xf numFmtId="3" fontId="3" fillId="14" borderId="0" xfId="0" applyNumberFormat="1" applyFont="1" applyFill="1" applyBorder="1" applyAlignment="1">
      <alignment horizontal="center" vertical="center"/>
    </xf>
    <xf numFmtId="164" fontId="3" fillId="14" borderId="9" xfId="0" applyNumberFormat="1" applyFont="1" applyFill="1" applyBorder="1" applyAlignment="1">
      <alignment horizontal="center" vertical="center"/>
    </xf>
    <xf numFmtId="164" fontId="10" fillId="14" borderId="0" xfId="0" applyNumberFormat="1" applyFont="1" applyFill="1" applyBorder="1" applyAlignment="1">
      <alignment horizontal="center" vertical="center"/>
    </xf>
    <xf numFmtId="0" fontId="31" fillId="14" borderId="56" xfId="0" applyNumberFormat="1" applyFont="1" applyFill="1" applyBorder="1" applyAlignment="1">
      <alignment horizontal="center" vertical="center"/>
    </xf>
    <xf numFmtId="0" fontId="32" fillId="14" borderId="8" xfId="0" applyNumberFormat="1" applyFont="1" applyFill="1" applyBorder="1" applyAlignment="1">
      <alignment horizontal="left" vertical="center"/>
    </xf>
    <xf numFmtId="164" fontId="32" fillId="14" borderId="8" xfId="0" applyNumberFormat="1" applyFont="1" applyFill="1" applyBorder="1" applyAlignment="1">
      <alignment horizontal="center" vertical="center"/>
    </xf>
    <xf numFmtId="164" fontId="3" fillId="14" borderId="0" xfId="0" applyNumberFormat="1" applyFont="1" applyFill="1" applyBorder="1" applyAlignment="1">
      <alignment horizontal="center" vertical="center"/>
    </xf>
    <xf numFmtId="0" fontId="31" fillId="14" borderId="6" xfId="0" applyNumberFormat="1" applyFont="1" applyFill="1" applyBorder="1" applyAlignment="1">
      <alignment horizontal="center" vertical="center"/>
    </xf>
    <xf numFmtId="0" fontId="6" fillId="14" borderId="6" xfId="0" applyNumberFormat="1" applyFont="1" applyFill="1" applyBorder="1" applyAlignment="1">
      <alignment horizontal="center" vertical="center"/>
    </xf>
    <xf numFmtId="0" fontId="32" fillId="0" borderId="0" xfId="0" applyNumberFormat="1" applyFont="1" applyAlignment="1">
      <alignment horizontal="left" vertical="center"/>
    </xf>
    <xf numFmtId="0" fontId="3" fillId="14" borderId="5" xfId="0" applyNumberFormat="1" applyFont="1" applyFill="1" applyBorder="1" applyAlignment="1">
      <alignment horizontal="center" vertical="center"/>
    </xf>
    <xf numFmtId="2" fontId="32" fillId="0" borderId="22" xfId="0" applyNumberFormat="1" applyFont="1" applyBorder="1" applyAlignment="1">
      <alignment vertical="center"/>
    </xf>
    <xf numFmtId="169" fontId="0" fillId="15" borderId="33" xfId="0" applyNumberFormat="1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3" fillId="16" borderId="22" xfId="0" applyFont="1" applyFill="1" applyBorder="1" applyAlignment="1">
      <alignment vertical="center"/>
    </xf>
    <xf numFmtId="2" fontId="3" fillId="16" borderId="22" xfId="0" applyNumberFormat="1" applyFont="1" applyFill="1" applyBorder="1" applyAlignment="1">
      <alignment vertical="center"/>
    </xf>
    <xf numFmtId="2" fontId="0" fillId="16" borderId="22" xfId="0" applyNumberForma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166" fontId="0" fillId="16" borderId="22" xfId="0" applyNumberFormat="1" applyFill="1" applyBorder="1" applyAlignment="1">
      <alignment horizontal="center" vertical="center"/>
    </xf>
    <xf numFmtId="164" fontId="3" fillId="16" borderId="22" xfId="0" applyNumberFormat="1" applyFont="1" applyFill="1" applyBorder="1" applyAlignment="1">
      <alignment horizontal="right" vertical="center"/>
    </xf>
    <xf numFmtId="3" fontId="0" fillId="16" borderId="22" xfId="0" applyNumberForma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164" fontId="3" fillId="16" borderId="22" xfId="0" applyNumberFormat="1" applyFont="1" applyFill="1" applyBorder="1" applyAlignment="1">
      <alignment horizontal="center" vertical="center"/>
    </xf>
    <xf numFmtId="164" fontId="0" fillId="16" borderId="0" xfId="0" applyNumberFormat="1" applyFill="1" applyBorder="1" applyAlignment="1">
      <alignment vertical="center"/>
    </xf>
    <xf numFmtId="2" fontId="4" fillId="16" borderId="0" xfId="0" applyNumberFormat="1" applyFont="1" applyFill="1" applyBorder="1" applyAlignment="1">
      <alignment horizontal="center" vertical="center"/>
    </xf>
    <xf numFmtId="2" fontId="3" fillId="16" borderId="0" xfId="0" applyNumberFormat="1" applyFont="1" applyFill="1" applyBorder="1" applyAlignment="1">
      <alignment vertical="center"/>
    </xf>
    <xf numFmtId="2" fontId="0" fillId="16" borderId="0" xfId="0" applyNumberFormat="1" applyFill="1" applyAlignment="1">
      <alignment horizontal="center" vertical="center"/>
    </xf>
    <xf numFmtId="4" fontId="0" fillId="16" borderId="0" xfId="0" applyNumberFormat="1" applyFill="1" applyAlignment="1">
      <alignment horizontal="center" vertical="center"/>
    </xf>
    <xf numFmtId="166" fontId="8" fillId="16" borderId="0" xfId="0" applyNumberFormat="1" applyFont="1" applyFill="1" applyAlignment="1">
      <alignment horizontal="center" vertical="center"/>
    </xf>
    <xf numFmtId="164" fontId="8" fillId="16" borderId="0" xfId="0" applyNumberFormat="1" applyFont="1" applyFill="1" applyAlignment="1">
      <alignment horizontal="right" vertical="center"/>
    </xf>
    <xf numFmtId="164" fontId="3" fillId="16" borderId="0" xfId="0" applyNumberFormat="1" applyFont="1" applyFill="1" applyAlignment="1">
      <alignment horizontal="right" vertical="center"/>
    </xf>
    <xf numFmtId="3" fontId="0" fillId="16" borderId="0" xfId="0" applyNumberFormat="1" applyFill="1" applyAlignment="1">
      <alignment horizontal="center" vertical="center"/>
    </xf>
    <xf numFmtId="3" fontId="4" fillId="16" borderId="0" xfId="0" applyNumberFormat="1" applyFont="1" applyFill="1" applyBorder="1" applyAlignment="1">
      <alignment horizontal="center" vertical="center"/>
    </xf>
    <xf numFmtId="166" fontId="0" fillId="16" borderId="0" xfId="0" applyNumberFormat="1" applyFill="1" applyAlignment="1">
      <alignment horizontal="center" vertical="center"/>
    </xf>
    <xf numFmtId="164" fontId="29" fillId="16" borderId="22" xfId="0" applyNumberFormat="1" applyFont="1" applyFill="1" applyBorder="1" applyAlignment="1">
      <alignment horizontal="center" vertical="center"/>
    </xf>
    <xf numFmtId="2" fontId="33" fillId="0" borderId="0" xfId="0" applyNumberFormat="1" applyFont="1" applyBorder="1" applyAlignment="1">
      <alignment horizontal="left" vertical="center"/>
    </xf>
    <xf numFmtId="43" fontId="0" fillId="0" borderId="0" xfId="1" applyFont="1" applyAlignment="1">
      <alignment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vertical="center"/>
    </xf>
    <xf numFmtId="43" fontId="0" fillId="0" borderId="52" xfId="1" applyFont="1" applyBorder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52" xfId="0" applyNumberFormat="1" applyBorder="1" applyAlignment="1">
      <alignment vertical="center"/>
    </xf>
    <xf numFmtId="43" fontId="0" fillId="0" borderId="0" xfId="0" applyNumberFormat="1" applyAlignment="1">
      <alignment horizontal="center" vertical="center"/>
    </xf>
    <xf numFmtId="43" fontId="0" fillId="0" borderId="52" xfId="0" applyNumberFormat="1" applyBorder="1" applyAlignment="1">
      <alignment horizontal="center" vertic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170" fontId="0" fillId="0" borderId="0" xfId="1" applyNumberFormat="1" applyFont="1"/>
    <xf numFmtId="170" fontId="0" fillId="0" borderId="0" xfId="0" applyNumberFormat="1"/>
    <xf numFmtId="0" fontId="0" fillId="14" borderId="52" xfId="0" applyFill="1" applyBorder="1"/>
    <xf numFmtId="0" fontId="0" fillId="14" borderId="0" xfId="0" applyFill="1" applyBorder="1" applyAlignment="1">
      <alignment horizontal="center"/>
    </xf>
    <xf numFmtId="0" fontId="0" fillId="0" borderId="52" xfId="0" applyBorder="1"/>
    <xf numFmtId="43" fontId="0" fillId="0" borderId="0" xfId="1" applyNumberFormat="1" applyFont="1"/>
    <xf numFmtId="9" fontId="0" fillId="0" borderId="0" xfId="2" applyFont="1"/>
    <xf numFmtId="171" fontId="0" fillId="0" borderId="0" xfId="3" applyNumberFormat="1" applyFont="1"/>
    <xf numFmtId="171" fontId="0" fillId="0" borderId="52" xfId="3" applyNumberFormat="1" applyFont="1" applyBorder="1"/>
    <xf numFmtId="171" fontId="0" fillId="0" borderId="0" xfId="3" applyNumberFormat="1" applyFont="1" applyBorder="1"/>
    <xf numFmtId="171" fontId="1" fillId="14" borderId="0" xfId="3" applyNumberFormat="1" applyFont="1" applyFill="1"/>
    <xf numFmtId="171" fontId="0" fillId="0" borderId="0" xfId="0" applyNumberFormat="1"/>
    <xf numFmtId="171" fontId="0" fillId="17" borderId="0" xfId="0" applyNumberFormat="1" applyFill="1"/>
    <xf numFmtId="0" fontId="0" fillId="0" borderId="0" xfId="0" quotePrefix="1"/>
    <xf numFmtId="0" fontId="0" fillId="14" borderId="0" xfId="0" applyFill="1"/>
    <xf numFmtId="43" fontId="0" fillId="0" borderId="0" xfId="0" applyNumberFormat="1"/>
    <xf numFmtId="169" fontId="0" fillId="0" borderId="0" xfId="2" applyNumberFormat="1" applyFont="1"/>
    <xf numFmtId="2" fontId="12" fillId="0" borderId="23" xfId="0" applyNumberFormat="1" applyFont="1" applyBorder="1" applyAlignment="1">
      <alignment vertic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/>
    </xf>
    <xf numFmtId="43" fontId="0" fillId="0" borderId="0" xfId="1" applyFont="1"/>
    <xf numFmtId="0" fontId="0" fillId="0" borderId="0" xfId="0" applyFill="1"/>
    <xf numFmtId="0" fontId="0" fillId="0" borderId="3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172" fontId="0" fillId="0" borderId="0" xfId="1" applyNumberFormat="1" applyFont="1"/>
    <xf numFmtId="173" fontId="0" fillId="0" borderId="0" xfId="1" applyNumberFormat="1" applyFont="1"/>
    <xf numFmtId="174" fontId="0" fillId="0" borderId="0" xfId="1" applyNumberFormat="1" applyFont="1"/>
    <xf numFmtId="2" fontId="0" fillId="14" borderId="21" xfId="0" applyNumberFormat="1" applyFill="1" applyBorder="1" applyAlignment="1">
      <alignment horizontal="center" vertical="center"/>
    </xf>
    <xf numFmtId="0" fontId="0" fillId="18" borderId="38" xfId="0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0" borderId="52" xfId="0" applyBorder="1" applyAlignment="1">
      <alignment horizontal="center" wrapText="1"/>
    </xf>
    <xf numFmtId="173" fontId="0" fillId="0" borderId="0" xfId="0" applyNumberFormat="1"/>
    <xf numFmtId="173" fontId="0" fillId="0" borderId="27" xfId="1" applyNumberFormat="1" applyFont="1" applyBorder="1"/>
    <xf numFmtId="173" fontId="0" fillId="0" borderId="52" xfId="1" applyNumberFormat="1" applyFont="1" applyBorder="1"/>
    <xf numFmtId="0" fontId="0" fillId="14" borderId="22" xfId="0" applyFill="1" applyBorder="1" applyAlignment="1">
      <alignment horizontal="center" vertical="center" wrapText="1"/>
    </xf>
    <xf numFmtId="0" fontId="34" fillId="0" borderId="0" xfId="0" applyFont="1"/>
    <xf numFmtId="0" fontId="0" fillId="0" borderId="0" xfId="0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53" xfId="0" applyFill="1" applyBorder="1" applyAlignment="1">
      <alignment horizontal="center" wrapText="1"/>
    </xf>
    <xf numFmtId="0" fontId="0" fillId="0" borderId="5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9" xfId="0" applyBorder="1" applyAlignment="1">
      <alignment horizontal="center"/>
    </xf>
    <xf numFmtId="171" fontId="0" fillId="0" borderId="0" xfId="3" applyNumberFormat="1" applyFont="1" applyBorder="1" applyAlignment="1">
      <alignment horizontal="center"/>
    </xf>
    <xf numFmtId="171" fontId="0" fillId="0" borderId="49" xfId="3" applyNumberFormat="1" applyFont="1" applyBorder="1" applyAlignment="1">
      <alignment horizontal="center"/>
    </xf>
    <xf numFmtId="43" fontId="0" fillId="0" borderId="0" xfId="1" applyFont="1" applyFill="1" applyBorder="1"/>
    <xf numFmtId="171" fontId="0" fillId="0" borderId="49" xfId="3" applyNumberFormat="1" applyFont="1" applyBorder="1"/>
    <xf numFmtId="0" fontId="0" fillId="0" borderId="34" xfId="0" applyBorder="1"/>
    <xf numFmtId="43" fontId="0" fillId="0" borderId="0" xfId="1" applyFont="1" applyBorder="1"/>
    <xf numFmtId="173" fontId="0" fillId="0" borderId="34" xfId="1" applyNumberFormat="1" applyFont="1" applyBorder="1"/>
    <xf numFmtId="0" fontId="0" fillId="0" borderId="33" xfId="0" applyBorder="1"/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23" xfId="0" applyBorder="1"/>
    <xf numFmtId="0" fontId="0" fillId="0" borderId="53" xfId="0" applyBorder="1" applyAlignment="1">
      <alignment horizontal="center" wrapText="1"/>
    </xf>
    <xf numFmtId="0" fontId="0" fillId="14" borderId="33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14" fontId="0" fillId="14" borderId="23" xfId="0" applyNumberFormat="1" applyFill="1" applyBorder="1" applyAlignment="1">
      <alignment horizontal="center"/>
    </xf>
    <xf numFmtId="0" fontId="0" fillId="14" borderId="36" xfId="0" applyFill="1" applyBorder="1"/>
    <xf numFmtId="0" fontId="0" fillId="14" borderId="77" xfId="0" applyFill="1" applyBorder="1" applyAlignment="1">
      <alignment horizontal="center"/>
    </xf>
    <xf numFmtId="0" fontId="0" fillId="14" borderId="11" xfId="0" applyFill="1" applyBorder="1"/>
    <xf numFmtId="0" fontId="0" fillId="14" borderId="34" xfId="0" applyFill="1" applyBorder="1"/>
    <xf numFmtId="14" fontId="0" fillId="14" borderId="52" xfId="0" applyNumberFormat="1" applyFill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4" fontId="3" fillId="0" borderId="0" xfId="1" applyNumberFormat="1" applyFont="1" applyAlignment="1">
      <alignment vertical="center"/>
    </xf>
    <xf numFmtId="174" fontId="3" fillId="0" borderId="0" xfId="1" applyNumberFormat="1" applyFont="1" applyBorder="1" applyAlignment="1">
      <alignment vertical="center"/>
    </xf>
    <xf numFmtId="174" fontId="3" fillId="0" borderId="52" xfId="1" applyNumberFormat="1" applyFont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0" fillId="18" borderId="22" xfId="0" applyFill="1" applyBorder="1" applyAlignment="1">
      <alignment horizontal="center"/>
    </xf>
    <xf numFmtId="2" fontId="3" fillId="0" borderId="52" xfId="0" applyNumberFormat="1" applyFont="1" applyBorder="1" applyAlignment="1">
      <alignment vertical="center"/>
    </xf>
    <xf numFmtId="166" fontId="0" fillId="0" borderId="52" xfId="0" applyNumberFormat="1" applyBorder="1" applyAlignment="1">
      <alignment horizontal="center" vertical="center"/>
    </xf>
    <xf numFmtId="43" fontId="3" fillId="0" borderId="0" xfId="1" applyFont="1" applyAlignment="1">
      <alignment horizontal="right" vertical="center"/>
    </xf>
    <xf numFmtId="2" fontId="3" fillId="0" borderId="52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>
      <alignment horizontal="center" vertical="center" wrapText="1"/>
    </xf>
    <xf numFmtId="174" fontId="3" fillId="0" borderId="0" xfId="1" applyNumberFormat="1" applyFont="1" applyAlignment="1">
      <alignment horizontal="right" vertical="center"/>
    </xf>
    <xf numFmtId="0" fontId="0" fillId="14" borderId="0" xfId="0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19" borderId="38" xfId="0" applyFill="1" applyBorder="1" applyAlignment="1">
      <alignment horizontal="center" vertical="center"/>
    </xf>
    <xf numFmtId="173" fontId="0" fillId="19" borderId="0" xfId="0" applyNumberFormat="1" applyFill="1"/>
    <xf numFmtId="0" fontId="36" fillId="0" borderId="0" xfId="15"/>
    <xf numFmtId="0" fontId="36" fillId="0" borderId="0" xfId="15" applyAlignment="1">
      <alignment horizontal="right"/>
    </xf>
    <xf numFmtId="0" fontId="37" fillId="0" borderId="0" xfId="15" applyFont="1"/>
    <xf numFmtId="0" fontId="36" fillId="0" borderId="0" xfId="15" applyBorder="1"/>
    <xf numFmtId="0" fontId="36" fillId="0" borderId="52" xfId="15" applyBorder="1"/>
    <xf numFmtId="0" fontId="36" fillId="0" borderId="52" xfId="15" applyBorder="1" applyAlignment="1">
      <alignment horizontal="center"/>
    </xf>
    <xf numFmtId="0" fontId="36" fillId="0" borderId="0" xfId="15" applyBorder="1" applyAlignment="1">
      <alignment horizontal="fill"/>
    </xf>
    <xf numFmtId="10" fontId="36" fillId="0" borderId="0" xfId="15" applyNumberFormat="1" applyProtection="1"/>
    <xf numFmtId="5" fontId="36" fillId="0" borderId="0" xfId="15" applyNumberFormat="1" applyProtection="1"/>
    <xf numFmtId="7" fontId="36" fillId="0" borderId="0" xfId="15" applyNumberFormat="1"/>
    <xf numFmtId="43" fontId="36" fillId="0" borderId="0" xfId="5" applyFont="1"/>
    <xf numFmtId="0" fontId="38" fillId="0" borderId="0" xfId="15" applyFont="1"/>
    <xf numFmtId="175" fontId="36" fillId="0" borderId="0" xfId="15" applyNumberFormat="1" applyProtection="1"/>
    <xf numFmtId="176" fontId="36" fillId="0" borderId="0" xfId="15" applyNumberFormat="1" applyProtection="1"/>
    <xf numFmtId="0" fontId="36" fillId="0" borderId="0" xfId="15" applyBorder="1" applyAlignment="1">
      <alignment horizontal="center"/>
    </xf>
    <xf numFmtId="0" fontId="36" fillId="0" borderId="0" xfId="15" applyAlignment="1">
      <alignment horizontal="center"/>
    </xf>
    <xf numFmtId="43" fontId="36" fillId="4" borderId="0" xfId="5" applyFont="1" applyFill="1"/>
    <xf numFmtId="10" fontId="36" fillId="5" borderId="0" xfId="15" applyNumberFormat="1" applyFill="1" applyProtection="1"/>
    <xf numFmtId="10" fontId="36" fillId="4" borderId="0" xfId="15" applyNumberFormat="1" applyFill="1" applyProtection="1"/>
    <xf numFmtId="5" fontId="36" fillId="4" borderId="0" xfId="15" applyNumberFormat="1" applyFill="1" applyProtection="1"/>
    <xf numFmtId="43" fontId="36" fillId="4" borderId="0" xfId="5" applyFont="1" applyFill="1" applyProtection="1"/>
    <xf numFmtId="43" fontId="36" fillId="0" borderId="0" xfId="5" applyFont="1" applyProtection="1"/>
    <xf numFmtId="5" fontId="36" fillId="5" borderId="0" xfId="15" applyNumberFormat="1" applyFill="1" applyProtection="1"/>
    <xf numFmtId="5" fontId="36" fillId="0" borderId="0" xfId="15" applyNumberFormat="1" applyAlignment="1" applyProtection="1">
      <alignment horizontal="right"/>
    </xf>
    <xf numFmtId="10" fontId="36" fillId="0" borderId="0" xfId="15" applyNumberFormat="1"/>
    <xf numFmtId="5" fontId="36" fillId="0" borderId="0" xfId="15" applyNumberFormat="1"/>
    <xf numFmtId="169" fontId="36" fillId="0" borderId="0" xfId="6" applyNumberFormat="1" applyFont="1"/>
    <xf numFmtId="5" fontId="36" fillId="0" borderId="52" xfId="15" applyNumberFormat="1" applyBorder="1"/>
    <xf numFmtId="169" fontId="36" fillId="0" borderId="52" xfId="6" applyNumberFormat="1" applyFont="1" applyBorder="1"/>
    <xf numFmtId="169" fontId="36" fillId="0" borderId="0" xfId="15" applyNumberFormat="1"/>
    <xf numFmtId="0" fontId="36" fillId="0" borderId="35" xfId="15" applyBorder="1"/>
    <xf numFmtId="0" fontId="36" fillId="0" borderId="28" xfId="15" applyBorder="1"/>
    <xf numFmtId="0" fontId="36" fillId="0" borderId="52" xfId="15" applyBorder="1" applyAlignment="1">
      <alignment horizontal="right"/>
    </xf>
    <xf numFmtId="174" fontId="3" fillId="0" borderId="0" xfId="1" applyNumberFormat="1" applyFont="1"/>
    <xf numFmtId="43" fontId="36" fillId="0" borderId="0" xfId="15" applyNumberFormat="1"/>
    <xf numFmtId="174" fontId="3" fillId="0" borderId="52" xfId="1" applyNumberFormat="1" applyFont="1" applyBorder="1"/>
    <xf numFmtId="164" fontId="3" fillId="19" borderId="22" xfId="0" applyNumberFormat="1" applyFont="1" applyFill="1" applyBorder="1" applyAlignment="1">
      <alignment horizontal="center" vertical="center"/>
    </xf>
    <xf numFmtId="174" fontId="0" fillId="0" borderId="0" xfId="1" applyNumberFormat="1" applyFont="1" applyAlignment="1">
      <alignment horizontal="center" vertical="center"/>
    </xf>
    <xf numFmtId="0" fontId="0" fillId="0" borderId="0" xfId="0" applyFill="1" applyBorder="1"/>
    <xf numFmtId="0" fontId="0" fillId="0" borderId="52" xfId="0" applyFill="1" applyBorder="1"/>
    <xf numFmtId="171" fontId="0" fillId="0" borderId="0" xfId="3" applyNumberFormat="1" applyFont="1" applyFill="1"/>
    <xf numFmtId="171" fontId="0" fillId="0" borderId="0" xfId="3" applyNumberFormat="1" applyFont="1" applyFill="1" applyBorder="1"/>
    <xf numFmtId="171" fontId="0" fillId="0" borderId="52" xfId="3" applyNumberFormat="1" applyFont="1" applyFill="1" applyBorder="1"/>
    <xf numFmtId="0" fontId="0" fillId="0" borderId="0" xfId="0" applyAlignment="1">
      <alignment wrapText="1"/>
    </xf>
    <xf numFmtId="178" fontId="0" fillId="0" borderId="0" xfId="0" applyNumberFormat="1" applyFill="1"/>
    <xf numFmtId="0" fontId="0" fillId="14" borderId="22" xfId="0" applyFill="1" applyBorder="1" applyAlignment="1">
      <alignment horizontal="center"/>
    </xf>
    <xf numFmtId="173" fontId="0" fillId="0" borderId="52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center"/>
    </xf>
    <xf numFmtId="173" fontId="0" fillId="0" borderId="0" xfId="1" applyNumberFormat="1" applyFont="1" applyBorder="1" applyAlignment="1">
      <alignment horizontal="right"/>
    </xf>
    <xf numFmtId="0" fontId="0" fillId="18" borderId="0" xfId="0" applyFill="1" applyBorder="1" applyAlignment="1">
      <alignment horizontal="center" vertical="center"/>
    </xf>
    <xf numFmtId="173" fontId="0" fillId="0" borderId="35" xfId="1" applyNumberFormat="1" applyFont="1" applyBorder="1" applyAlignment="1">
      <alignment horizontal="center"/>
    </xf>
    <xf numFmtId="173" fontId="0" fillId="0" borderId="11" xfId="1" applyNumberFormat="1" applyFont="1" applyBorder="1"/>
    <xf numFmtId="43" fontId="0" fillId="0" borderId="49" xfId="1" applyFont="1" applyFill="1" applyBorder="1"/>
    <xf numFmtId="43" fontId="0" fillId="14" borderId="49" xfId="1" applyFont="1" applyFill="1" applyBorder="1"/>
    <xf numFmtId="43" fontId="0" fillId="0" borderId="27" xfId="1" applyFont="1" applyFill="1" applyBorder="1"/>
    <xf numFmtId="173" fontId="0" fillId="0" borderId="53" xfId="1" applyNumberFormat="1" applyFont="1" applyBorder="1" applyAlignment="1">
      <alignment horizontal="center" wrapText="1"/>
    </xf>
    <xf numFmtId="173" fontId="0" fillId="0" borderId="53" xfId="1" applyNumberFormat="1" applyFont="1" applyBorder="1" applyAlignment="1">
      <alignment horizontal="center"/>
    </xf>
    <xf numFmtId="173" fontId="0" fillId="0" borderId="0" xfId="1" applyNumberFormat="1" applyFont="1" applyBorder="1"/>
    <xf numFmtId="43" fontId="0" fillId="0" borderId="49" xfId="1" applyFont="1" applyBorder="1"/>
    <xf numFmtId="173" fontId="0" fillId="19" borderId="0" xfId="1" applyNumberFormat="1" applyFont="1" applyFill="1" applyBorder="1"/>
    <xf numFmtId="43" fontId="0" fillId="19" borderId="49" xfId="1" applyFont="1" applyFill="1" applyBorder="1"/>
    <xf numFmtId="43" fontId="0" fillId="0" borderId="52" xfId="1" applyFont="1" applyBorder="1"/>
    <xf numFmtId="0" fontId="0" fillId="14" borderId="0" xfId="0" applyFill="1" applyBorder="1" applyAlignment="1">
      <alignment horizontal="center" vertical="center"/>
    </xf>
    <xf numFmtId="173" fontId="0" fillId="14" borderId="11" xfId="1" applyNumberFormat="1" applyFont="1" applyFill="1" applyBorder="1"/>
    <xf numFmtId="0" fontId="0" fillId="14" borderId="11" xfId="0" applyFill="1" applyBorder="1" applyAlignment="1">
      <alignment horizontal="center"/>
    </xf>
    <xf numFmtId="43" fontId="0" fillId="14" borderId="0" xfId="1" applyFont="1" applyFill="1" applyBorder="1"/>
    <xf numFmtId="173" fontId="0" fillId="14" borderId="0" xfId="1" applyNumberFormat="1" applyFont="1" applyFill="1" applyBorder="1"/>
    <xf numFmtId="173" fontId="0" fillId="0" borderId="0" xfId="1" applyNumberFormat="1" applyFont="1" applyBorder="1" applyAlignment="1">
      <alignment horizontal="center"/>
    </xf>
    <xf numFmtId="173" fontId="0" fillId="0" borderId="0" xfId="1" applyNumberFormat="1" applyFont="1" applyBorder="1" applyAlignment="1">
      <alignment horizontal="center" wrapText="1"/>
    </xf>
    <xf numFmtId="43" fontId="0" fillId="17" borderId="49" xfId="1" applyFont="1" applyFill="1" applyBorder="1"/>
    <xf numFmtId="0" fontId="0" fillId="0" borderId="0" xfId="0" applyAlignment="1">
      <alignment horizontal="center" wrapText="1"/>
    </xf>
    <xf numFmtId="0" fontId="0" fillId="0" borderId="0" xfId="0" applyFill="1" applyBorder="1" applyAlignment="1"/>
    <xf numFmtId="43" fontId="0" fillId="0" borderId="0" xfId="0" applyNumberFormat="1" applyBorder="1" applyAlignment="1">
      <alignment horizontal="center"/>
    </xf>
    <xf numFmtId="43" fontId="0" fillId="0" borderId="0" xfId="1" applyNumberFormat="1" applyFont="1" applyBorder="1"/>
    <xf numFmtId="43" fontId="0" fillId="19" borderId="0" xfId="1" applyNumberFormat="1" applyFont="1" applyFill="1" applyBorder="1"/>
    <xf numFmtId="43" fontId="0" fillId="0" borderId="52" xfId="1" applyNumberFormat="1" applyFont="1" applyBorder="1"/>
    <xf numFmtId="43" fontId="0" fillId="0" borderId="0" xfId="1" applyNumberFormat="1" applyFont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2" xfId="0" applyFont="1" applyBorder="1"/>
    <xf numFmtId="0" fontId="3" fillId="0" borderId="5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4" fontId="3" fillId="0" borderId="0" xfId="0" applyNumberFormat="1" applyFont="1"/>
    <xf numFmtId="0" fontId="39" fillId="0" borderId="0" xfId="4" applyFont="1"/>
    <xf numFmtId="174" fontId="39" fillId="0" borderId="0" xfId="5" applyNumberFormat="1" applyFont="1"/>
    <xf numFmtId="174" fontId="39" fillId="0" borderId="52" xfId="5" applyNumberFormat="1" applyFont="1" applyBorder="1"/>
    <xf numFmtId="174" fontId="39" fillId="0" borderId="0" xfId="4" applyNumberFormat="1" applyFont="1"/>
    <xf numFmtId="0" fontId="3" fillId="0" borderId="0" xfId="0" quotePrefix="1" applyFont="1" applyAlignment="1">
      <alignment horizontal="center"/>
    </xf>
    <xf numFmtId="174" fontId="3" fillId="0" borderId="0" xfId="5" applyNumberFormat="1" applyFont="1" applyFill="1"/>
    <xf numFmtId="174" fontId="39" fillId="0" borderId="0" xfId="5" applyNumberFormat="1" applyFont="1" applyFill="1"/>
    <xf numFmtId="174" fontId="3" fillId="0" borderId="52" xfId="5" applyNumberFormat="1" applyFont="1" applyBorder="1"/>
    <xf numFmtId="169" fontId="3" fillId="0" borderId="0" xfId="6" applyNumberFormat="1" applyFont="1"/>
    <xf numFmtId="174" fontId="3" fillId="0" borderId="0" xfId="5" applyNumberFormat="1" applyFont="1"/>
    <xf numFmtId="174" fontId="3" fillId="0" borderId="52" xfId="5" applyNumberFormat="1" applyFont="1" applyFill="1" applyBorder="1"/>
    <xf numFmtId="174" fontId="39" fillId="0" borderId="52" xfId="5" applyNumberFormat="1" applyFont="1" applyFill="1" applyBorder="1"/>
    <xf numFmtId="174" fontId="3" fillId="17" borderId="0" xfId="0" applyNumberFormat="1" applyFont="1" applyFill="1"/>
    <xf numFmtId="0" fontId="28" fillId="0" borderId="0" xfId="4" applyFont="1" applyBorder="1"/>
    <xf numFmtId="0" fontId="3" fillId="0" borderId="0" xfId="4" quotePrefix="1" applyFont="1" applyBorder="1"/>
    <xf numFmtId="43" fontId="0" fillId="0" borderId="0" xfId="1" applyNumberFormat="1" applyFont="1" applyFill="1"/>
    <xf numFmtId="43" fontId="0" fillId="0" borderId="0" xfId="0" applyNumberFormat="1" applyFill="1"/>
    <xf numFmtId="0" fontId="0" fillId="14" borderId="35" xfId="0" applyFill="1" applyBorder="1" applyAlignment="1">
      <alignment horizontal="center" wrapText="1"/>
    </xf>
    <xf numFmtId="14" fontId="0" fillId="14" borderId="27" xfId="0" applyNumberFormat="1" applyFill="1" applyBorder="1" applyAlignment="1">
      <alignment horizontal="center"/>
    </xf>
    <xf numFmtId="0" fontId="3" fillId="14" borderId="33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14" fontId="3" fillId="14" borderId="23" xfId="0" applyNumberFormat="1" applyFont="1" applyFill="1" applyBorder="1" applyAlignment="1">
      <alignment horizontal="center"/>
    </xf>
    <xf numFmtId="0" fontId="0" fillId="14" borderId="22" xfId="0" applyFill="1" applyBorder="1"/>
    <xf numFmtId="0" fontId="40" fillId="0" borderId="0" xfId="0" applyFont="1"/>
    <xf numFmtId="0" fontId="40" fillId="0" borderId="0" xfId="15" applyFont="1"/>
    <xf numFmtId="8" fontId="40" fillId="0" borderId="0" xfId="15" applyNumberFormat="1" applyFont="1"/>
    <xf numFmtId="0" fontId="40" fillId="0" borderId="52" xfId="15" applyFont="1" applyBorder="1"/>
    <xf numFmtId="0" fontId="40" fillId="0" borderId="52" xfId="15" applyFont="1" applyBorder="1" applyAlignment="1">
      <alignment horizontal="center"/>
    </xf>
    <xf numFmtId="0" fontId="40" fillId="0" borderId="0" xfId="15" applyFont="1" applyAlignment="1">
      <alignment horizontal="fill"/>
    </xf>
    <xf numFmtId="10" fontId="40" fillId="0" borderId="0" xfId="15" applyNumberFormat="1" applyFont="1" applyProtection="1"/>
    <xf numFmtId="174" fontId="40" fillId="0" borderId="0" xfId="1" applyNumberFormat="1" applyFont="1"/>
    <xf numFmtId="7" fontId="40" fillId="0" borderId="0" xfId="15" applyNumberFormat="1" applyFont="1" applyProtection="1"/>
    <xf numFmtId="177" fontId="40" fillId="0" borderId="0" xfId="2" applyNumberFormat="1" applyFont="1" applyProtection="1"/>
    <xf numFmtId="5" fontId="40" fillId="0" borderId="0" xfId="15" applyNumberFormat="1" applyFont="1" applyProtection="1"/>
    <xf numFmtId="7" fontId="40" fillId="0" borderId="0" xfId="15" applyNumberFormat="1" applyFont="1"/>
    <xf numFmtId="37" fontId="40" fillId="0" borderId="52" xfId="15" applyNumberFormat="1" applyFont="1" applyBorder="1" applyAlignment="1" applyProtection="1">
      <alignment horizontal="fill"/>
    </xf>
    <xf numFmtId="169" fontId="40" fillId="0" borderId="0" xfId="15" applyNumberFormat="1" applyFont="1" applyProtection="1"/>
    <xf numFmtId="169" fontId="40" fillId="0" borderId="0" xfId="6" applyNumberFormat="1" applyFont="1" applyProtection="1"/>
    <xf numFmtId="37" fontId="40" fillId="0" borderId="0" xfId="15" applyNumberFormat="1" applyFont="1" applyProtection="1"/>
    <xf numFmtId="0" fontId="2" fillId="0" borderId="0" xfId="15" applyFont="1"/>
    <xf numFmtId="171" fontId="3" fillId="14" borderId="0" xfId="3" applyNumberFormat="1" applyFont="1" applyFill="1"/>
    <xf numFmtId="173" fontId="0" fillId="0" borderId="11" xfId="1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49" xfId="0" applyFill="1" applyBorder="1" applyAlignment="1">
      <alignment horizontal="center" vertical="center" wrapText="1"/>
    </xf>
    <xf numFmtId="9" fontId="0" fillId="0" borderId="0" xfId="2" applyFont="1" applyFill="1"/>
    <xf numFmtId="169" fontId="0" fillId="0" borderId="0" xfId="0" applyNumberFormat="1" applyFill="1"/>
    <xf numFmtId="0" fontId="41" fillId="0" borderId="13" xfId="0" applyFont="1" applyBorder="1" applyAlignment="1">
      <alignment horizontal="center"/>
    </xf>
    <xf numFmtId="174" fontId="3" fillId="0" borderId="52" xfId="0" applyNumberFormat="1" applyFont="1" applyBorder="1"/>
    <xf numFmtId="0" fontId="0" fillId="14" borderId="11" xfId="0" applyFill="1" applyBorder="1" applyAlignment="1">
      <alignment horizontal="center"/>
    </xf>
    <xf numFmtId="167" fontId="7" fillId="11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/>
    </xf>
    <xf numFmtId="2" fontId="0" fillId="0" borderId="0" xfId="0" applyNumberFormat="1"/>
    <xf numFmtId="43" fontId="0" fillId="14" borderId="0" xfId="0" applyNumberFormat="1" applyFill="1"/>
    <xf numFmtId="0" fontId="0" fillId="14" borderId="22" xfId="0" applyFill="1" applyBorder="1" applyAlignment="1">
      <alignment horizontal="center" vertical="center"/>
    </xf>
    <xf numFmtId="43" fontId="0" fillId="0" borderId="0" xfId="1" applyNumberFormat="1" applyFont="1" applyFill="1" applyBorder="1"/>
    <xf numFmtId="0" fontId="1" fillId="0" borderId="0" xfId="0" applyFont="1"/>
    <xf numFmtId="174" fontId="1" fillId="0" borderId="0" xfId="0" applyNumberFormat="1" applyFont="1"/>
    <xf numFmtId="0" fontId="1" fillId="4" borderId="9" xfId="0" applyFont="1" applyFill="1" applyBorder="1" applyAlignment="1">
      <alignment horizontal="center"/>
    </xf>
    <xf numFmtId="173" fontId="0" fillId="0" borderId="28" xfId="1" applyNumberFormat="1" applyFont="1" applyBorder="1" applyAlignment="1">
      <alignment horizontal="center" wrapText="1"/>
    </xf>
    <xf numFmtId="0" fontId="0" fillId="0" borderId="22" xfId="0" applyFill="1" applyBorder="1" applyAlignment="1">
      <alignment horizontal="center" vertical="center" wrapText="1"/>
    </xf>
    <xf numFmtId="0" fontId="4" fillId="0" borderId="0" xfId="16" applyFont="1"/>
    <xf numFmtId="0" fontId="1" fillId="0" borderId="0" xfId="16"/>
    <xf numFmtId="0" fontId="1" fillId="0" borderId="0" xfId="16" applyFont="1"/>
    <xf numFmtId="0" fontId="1" fillId="0" borderId="0" xfId="16" applyFont="1" applyAlignment="1">
      <alignment horizontal="right"/>
    </xf>
    <xf numFmtId="0" fontId="1" fillId="0" borderId="36" xfId="16" applyBorder="1" applyAlignment="1">
      <alignment horizontal="center"/>
    </xf>
    <xf numFmtId="0" fontId="1" fillId="0" borderId="77" xfId="16" applyBorder="1" applyAlignment="1">
      <alignment horizontal="center"/>
    </xf>
    <xf numFmtId="0" fontId="1" fillId="0" borderId="77" xfId="16" applyFont="1" applyBorder="1" applyAlignment="1">
      <alignment horizontal="center"/>
    </xf>
    <xf numFmtId="0" fontId="1" fillId="0" borderId="32" xfId="16" applyBorder="1" applyAlignment="1">
      <alignment horizontal="center"/>
    </xf>
    <xf numFmtId="0" fontId="1" fillId="0" borderId="0" xfId="16" applyBorder="1" applyAlignment="1">
      <alignment horizontal="center"/>
    </xf>
    <xf numFmtId="0" fontId="1" fillId="0" borderId="34" xfId="16" applyBorder="1" applyAlignment="1">
      <alignment horizontal="center"/>
    </xf>
    <xf numFmtId="0" fontId="1" fillId="0" borderId="52" xfId="16" applyBorder="1" applyAlignment="1">
      <alignment horizontal="center"/>
    </xf>
    <xf numFmtId="0" fontId="1" fillId="0" borderId="52" xfId="16" applyFont="1" applyBorder="1" applyAlignment="1">
      <alignment horizontal="center"/>
    </xf>
    <xf numFmtId="0" fontId="1" fillId="0" borderId="27" xfId="16" applyBorder="1" applyAlignment="1">
      <alignment horizontal="center"/>
    </xf>
    <xf numFmtId="0" fontId="1" fillId="0" borderId="0" xfId="16" applyFill="1"/>
    <xf numFmtId="0" fontId="1" fillId="14" borderId="22" xfId="16" applyFill="1" applyBorder="1"/>
    <xf numFmtId="0" fontId="1" fillId="0" borderId="0" xfId="16" applyFill="1" applyBorder="1" applyAlignment="1">
      <alignment horizontal="center"/>
    </xf>
    <xf numFmtId="0" fontId="1" fillId="0" borderId="52" xfId="16" applyBorder="1"/>
    <xf numFmtId="0" fontId="1" fillId="0" borderId="0" xfId="16" applyBorder="1"/>
    <xf numFmtId="43" fontId="1" fillId="0" borderId="0" xfId="16" applyNumberFormat="1"/>
    <xf numFmtId="0" fontId="1" fillId="0" borderId="22" xfId="16" applyFont="1" applyBorder="1" applyAlignment="1">
      <alignment horizontal="center"/>
    </xf>
    <xf numFmtId="0" fontId="42" fillId="0" borderId="22" xfId="16" applyFont="1" applyBorder="1" applyAlignment="1">
      <alignment horizontal="center"/>
    </xf>
    <xf numFmtId="0" fontId="2" fillId="0" borderId="22" xfId="16" applyFont="1" applyBorder="1" applyAlignment="1">
      <alignment horizontal="center"/>
    </xf>
    <xf numFmtId="0" fontId="1" fillId="18" borderId="22" xfId="16" applyFill="1" applyBorder="1" applyAlignment="1">
      <alignment horizontal="center"/>
    </xf>
    <xf numFmtId="9" fontId="1" fillId="0" borderId="0" xfId="16" applyNumberFormat="1"/>
    <xf numFmtId="171" fontId="42" fillId="0" borderId="0" xfId="3" applyNumberFormat="1" applyFont="1"/>
    <xf numFmtId="171" fontId="2" fillId="0" borderId="0" xfId="3" applyNumberFormat="1" applyFont="1"/>
    <xf numFmtId="0" fontId="1" fillId="0" borderId="0" xfId="16" applyFont="1" applyFill="1" applyBorder="1" applyAlignment="1">
      <alignment horizontal="center"/>
    </xf>
    <xf numFmtId="171" fontId="30" fillId="14" borderId="0" xfId="3" applyNumberFormat="1" applyFont="1" applyFill="1"/>
    <xf numFmtId="174" fontId="43" fillId="0" borderId="0" xfId="1" applyNumberFormat="1" applyFont="1"/>
    <xf numFmtId="0" fontId="43" fillId="0" borderId="0" xfId="16" applyFont="1"/>
    <xf numFmtId="9" fontId="43" fillId="0" borderId="0" xfId="2" applyFont="1"/>
    <xf numFmtId="171" fontId="21" fillId="0" borderId="0" xfId="3" applyNumberFormat="1" applyFont="1" applyFill="1"/>
    <xf numFmtId="171" fontId="21" fillId="0" borderId="0" xfId="3" applyNumberFormat="1" applyFont="1"/>
    <xf numFmtId="171" fontId="42" fillId="0" borderId="52" xfId="3" applyNumberFormat="1" applyFont="1" applyBorder="1"/>
    <xf numFmtId="0" fontId="4" fillId="0" borderId="0" xfId="16" applyFont="1" applyAlignment="1">
      <alignment horizontal="right"/>
    </xf>
    <xf numFmtId="171" fontId="42" fillId="0" borderId="0" xfId="16" applyNumberFormat="1" applyFont="1"/>
    <xf numFmtId="171" fontId="2" fillId="0" borderId="0" xfId="16" applyNumberFormat="1" applyFont="1"/>
    <xf numFmtId="171" fontId="1" fillId="0" borderId="0" xfId="16" applyNumberFormat="1"/>
    <xf numFmtId="9" fontId="1" fillId="0" borderId="0" xfId="2"/>
    <xf numFmtId="169" fontId="0" fillId="14" borderId="0" xfId="2" applyNumberFormat="1" applyFont="1" applyFill="1"/>
    <xf numFmtId="172" fontId="0" fillId="14" borderId="0" xfId="1" applyNumberFormat="1" applyFont="1" applyFill="1"/>
    <xf numFmtId="43" fontId="1" fillId="0" borderId="0" xfId="1"/>
    <xf numFmtId="169" fontId="1" fillId="14" borderId="0" xfId="2" applyNumberFormat="1" applyFont="1" applyFill="1"/>
    <xf numFmtId="9" fontId="0" fillId="14" borderId="0" xfId="2" applyFont="1" applyFill="1"/>
    <xf numFmtId="174" fontId="0" fillId="0" borderId="52" xfId="1" applyNumberFormat="1" applyFont="1" applyBorder="1"/>
    <xf numFmtId="174" fontId="1" fillId="0" borderId="0" xfId="16" applyNumberFormat="1"/>
    <xf numFmtId="171" fontId="0" fillId="14" borderId="0" xfId="3" applyNumberFormat="1" applyFont="1" applyFill="1"/>
    <xf numFmtId="171" fontId="42" fillId="14" borderId="0" xfId="3" applyNumberFormat="1" applyFont="1" applyFill="1"/>
    <xf numFmtId="171" fontId="2" fillId="14" borderId="0" xfId="3" applyNumberFormat="1" applyFont="1" applyFill="1"/>
    <xf numFmtId="171" fontId="1" fillId="14" borderId="0" xfId="16" applyNumberFormat="1" applyFill="1"/>
    <xf numFmtId="174" fontId="0" fillId="14" borderId="0" xfId="1" applyNumberFormat="1" applyFont="1" applyFill="1"/>
    <xf numFmtId="0" fontId="0" fillId="18" borderId="0" xfId="0" applyFill="1"/>
    <xf numFmtId="170" fontId="0" fillId="18" borderId="0" xfId="1" applyNumberFormat="1" applyFont="1" applyFill="1"/>
    <xf numFmtId="43" fontId="0" fillId="18" borderId="0" xfId="1" applyFont="1" applyFill="1"/>
    <xf numFmtId="169" fontId="0" fillId="18" borderId="0" xfId="2" applyNumberFormat="1" applyFont="1" applyFill="1"/>
    <xf numFmtId="14" fontId="1" fillId="4" borderId="23" xfId="0" applyNumberFormat="1" applyFont="1" applyFill="1" applyBorder="1" applyAlignment="1">
      <alignment horizontal="center"/>
    </xf>
    <xf numFmtId="174" fontId="3" fillId="14" borderId="0" xfId="5" applyNumberFormat="1" applyFont="1" applyFill="1"/>
    <xf numFmtId="174" fontId="39" fillId="14" borderId="0" xfId="5" applyNumberFormat="1" applyFont="1" applyFill="1"/>
    <xf numFmtId="174" fontId="39" fillId="18" borderId="52" xfId="5" applyNumberFormat="1" applyFont="1" applyFill="1" applyBorder="1"/>
    <xf numFmtId="174" fontId="3" fillId="18" borderId="0" xfId="1" applyNumberFormat="1" applyFont="1" applyFill="1"/>
    <xf numFmtId="174" fontId="3" fillId="0" borderId="0" xfId="1" applyNumberFormat="1" applyFont="1" applyFill="1"/>
    <xf numFmtId="0" fontId="1" fillId="0" borderId="0" xfId="0" applyFont="1" applyAlignment="1">
      <alignment horizontal="center"/>
    </xf>
    <xf numFmtId="0" fontId="1" fillId="0" borderId="0" xfId="4" applyFont="1" applyFill="1"/>
    <xf numFmtId="0" fontId="0" fillId="0" borderId="53" xfId="0" applyBorder="1"/>
    <xf numFmtId="0" fontId="0" fillId="14" borderId="22" xfId="0" applyFill="1" applyBorder="1" applyAlignment="1">
      <alignment horizontal="center" wrapText="1"/>
    </xf>
    <xf numFmtId="43" fontId="3" fillId="0" borderId="0" xfId="0" applyNumberFormat="1" applyFont="1"/>
    <xf numFmtId="43" fontId="0" fillId="17" borderId="0" xfId="0" applyNumberFormat="1" applyFill="1" applyBorder="1" applyAlignment="1">
      <alignment horizontal="center"/>
    </xf>
    <xf numFmtId="174" fontId="0" fillId="0" borderId="0" xfId="0" applyNumberFormat="1"/>
    <xf numFmtId="0" fontId="0" fillId="17" borderId="0" xfId="0" applyFill="1" applyAlignment="1">
      <alignment horizontal="center"/>
    </xf>
    <xf numFmtId="0" fontId="0" fillId="17" borderId="0" xfId="0" applyFill="1"/>
    <xf numFmtId="173" fontId="0" fillId="17" borderId="0" xfId="1" applyNumberFormat="1" applyFont="1" applyFill="1"/>
    <xf numFmtId="173" fontId="0" fillId="14" borderId="0" xfId="1" applyNumberFormat="1" applyFont="1" applyFill="1"/>
    <xf numFmtId="174" fontId="0" fillId="14" borderId="0" xfId="0" applyNumberFormat="1" applyFill="1"/>
    <xf numFmtId="0" fontId="1" fillId="0" borderId="0" xfId="0" applyFont="1" applyFill="1"/>
    <xf numFmtId="171" fontId="3" fillId="0" borderId="0" xfId="3" applyNumberFormat="1" applyFont="1" applyFill="1"/>
    <xf numFmtId="43" fontId="0" fillId="14" borderId="0" xfId="1" applyFont="1" applyFill="1"/>
    <xf numFmtId="0" fontId="0" fillId="17" borderId="0" xfId="0" applyFill="1" applyAlignment="1">
      <alignment horizontal="center" wrapText="1"/>
    </xf>
    <xf numFmtId="9" fontId="3" fillId="0" borderId="0" xfId="2" applyFont="1"/>
    <xf numFmtId="0" fontId="4" fillId="7" borderId="69" xfId="0" applyFont="1" applyFill="1" applyBorder="1" applyAlignment="1">
      <alignment horizontal="center" vertical="center"/>
    </xf>
    <xf numFmtId="0" fontId="0" fillId="7" borderId="37" xfId="0" applyFill="1" applyBorder="1" applyAlignment="1">
      <alignment horizontal="left" vertical="center"/>
    </xf>
    <xf numFmtId="0" fontId="0" fillId="7" borderId="54" xfId="0" applyFill="1" applyBorder="1" applyAlignment="1">
      <alignment horizontal="left" vertical="center"/>
    </xf>
    <xf numFmtId="0" fontId="0" fillId="7" borderId="70" xfId="0" applyFill="1" applyBorder="1" applyAlignment="1">
      <alignment horizontal="left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14" fontId="0" fillId="0" borderId="48" xfId="0" applyNumberForma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14" fontId="0" fillId="0" borderId="57" xfId="0" applyNumberForma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14" fontId="0" fillId="0" borderId="48" xfId="0" applyNumberForma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0" fillId="0" borderId="37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70" xfId="0" applyFill="1" applyBorder="1" applyAlignment="1">
      <alignment horizontal="left" vertical="center"/>
    </xf>
    <xf numFmtId="164" fontId="10" fillId="0" borderId="22" xfId="0" applyNumberFormat="1" applyFont="1" applyBorder="1" applyAlignment="1">
      <alignment horizontal="center" vertical="center"/>
    </xf>
    <xf numFmtId="2" fontId="30" fillId="8" borderId="33" xfId="0" applyNumberFormat="1" applyFont="1" applyFill="1" applyBorder="1" applyAlignment="1">
      <alignment horizontal="center" vertical="center"/>
    </xf>
    <xf numFmtId="2" fontId="30" fillId="8" borderId="9" xfId="0" applyNumberFormat="1" applyFont="1" applyFill="1" applyBorder="1" applyAlignment="1">
      <alignment horizontal="center" vertical="center"/>
    </xf>
    <xf numFmtId="2" fontId="30" fillId="8" borderId="23" xfId="0" applyNumberFormat="1" applyFont="1" applyFill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2" fontId="29" fillId="8" borderId="53" xfId="0" applyNumberFormat="1" applyFont="1" applyFill="1" applyBorder="1" applyAlignment="1">
      <alignment horizontal="center" vertical="center"/>
    </xf>
    <xf numFmtId="2" fontId="29" fillId="8" borderId="28" xfId="0" applyNumberFormat="1" applyFont="1" applyFill="1" applyBorder="1" applyAlignment="1">
      <alignment horizontal="center" vertical="center"/>
    </xf>
    <xf numFmtId="2" fontId="3" fillId="0" borderId="35" xfId="0" applyNumberFormat="1" applyFont="1" applyBorder="1" applyAlignment="1">
      <alignment horizontal="left" vertical="center"/>
    </xf>
    <xf numFmtId="2" fontId="3" fillId="0" borderId="28" xfId="0" applyNumberFormat="1" applyFont="1" applyBorder="1" applyAlignment="1">
      <alignment horizontal="left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4" fontId="0" fillId="12" borderId="22" xfId="0" applyNumberFormat="1" applyFill="1" applyBorder="1" applyAlignment="1">
      <alignment horizontal="center" vertical="center"/>
    </xf>
    <xf numFmtId="2" fontId="4" fillId="9" borderId="22" xfId="0" applyNumberFormat="1" applyFont="1" applyFill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2" fontId="4" fillId="16" borderId="22" xfId="0" applyNumberFormat="1" applyFon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2" fontId="0" fillId="16" borderId="22" xfId="0" applyNumberFormat="1" applyFill="1" applyBorder="1" applyAlignment="1">
      <alignment horizontal="center" vertical="center"/>
    </xf>
    <xf numFmtId="164" fontId="4" fillId="16" borderId="22" xfId="0" applyNumberFormat="1" applyFont="1" applyFill="1" applyBorder="1" applyAlignment="1">
      <alignment horizontal="center" vertical="center"/>
    </xf>
    <xf numFmtId="164" fontId="0" fillId="16" borderId="22" xfId="0" applyNumberFormat="1" applyFill="1" applyBorder="1" applyAlignment="1">
      <alignment horizontal="center" vertical="center"/>
    </xf>
    <xf numFmtId="2" fontId="6" fillId="9" borderId="33" xfId="0" applyNumberFormat="1" applyFont="1" applyFill="1" applyBorder="1" applyAlignment="1">
      <alignment horizontal="center" vertical="center"/>
    </xf>
    <xf numFmtId="2" fontId="6" fillId="9" borderId="9" xfId="0" applyNumberFormat="1" applyFont="1" applyFill="1" applyBorder="1" applyAlignment="1">
      <alignment horizontal="center" vertical="center"/>
    </xf>
    <xf numFmtId="2" fontId="6" fillId="9" borderId="23" xfId="0" applyNumberFormat="1" applyFont="1" applyFill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49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horizontal="center" vertical="center"/>
    </xf>
    <xf numFmtId="2" fontId="6" fillId="8" borderId="22" xfId="0" applyNumberFormat="1" applyFont="1" applyFill="1" applyBorder="1" applyAlignment="1">
      <alignment horizontal="center" vertical="center"/>
    </xf>
    <xf numFmtId="164" fontId="7" fillId="7" borderId="22" xfId="0" applyNumberFormat="1" applyFont="1" applyFill="1" applyBorder="1" applyAlignment="1">
      <alignment horizontal="center" vertical="center" wrapText="1"/>
    </xf>
    <xf numFmtId="2" fontId="6" fillId="10" borderId="33" xfId="0" applyNumberFormat="1" applyFont="1" applyFill="1" applyBorder="1" applyAlignment="1">
      <alignment horizontal="center" vertical="center"/>
    </xf>
    <xf numFmtId="2" fontId="6" fillId="10" borderId="9" xfId="0" applyNumberFormat="1" applyFont="1" applyFill="1" applyBorder="1" applyAlignment="1">
      <alignment horizontal="center" vertical="center"/>
    </xf>
    <xf numFmtId="2" fontId="6" fillId="10" borderId="23" xfId="0" applyNumberFormat="1" applyFont="1" applyFill="1" applyBorder="1" applyAlignment="1">
      <alignment horizontal="center" vertical="center"/>
    </xf>
    <xf numFmtId="4" fontId="0" fillId="0" borderId="33" xfId="0" applyNumberForma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4" fontId="0" fillId="0" borderId="23" xfId="0" applyNumberForma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0" fillId="14" borderId="35" xfId="0" applyFill="1" applyBorder="1" applyAlignment="1">
      <alignment horizontal="center"/>
    </xf>
    <xf numFmtId="0" fontId="0" fillId="14" borderId="53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6" xfId="0" applyFill="1" applyBorder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14" fontId="0" fillId="14" borderId="34" xfId="0" applyNumberFormat="1" applyFill="1" applyBorder="1" applyAlignment="1">
      <alignment horizontal="center"/>
    </xf>
    <xf numFmtId="14" fontId="0" fillId="14" borderId="27" xfId="0" applyNumberFormat="1" applyFill="1" applyBorder="1" applyAlignment="1">
      <alignment horizontal="center"/>
    </xf>
    <xf numFmtId="0" fontId="0" fillId="14" borderId="22" xfId="0" applyFill="1" applyBorder="1" applyAlignment="1">
      <alignment horizontal="center"/>
    </xf>
    <xf numFmtId="0" fontId="0" fillId="14" borderId="77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14" fontId="0" fillId="14" borderId="52" xfId="0" applyNumberFormat="1" applyFill="1" applyBorder="1" applyAlignment="1">
      <alignment horizontal="center"/>
    </xf>
    <xf numFmtId="0" fontId="1" fillId="14" borderId="35" xfId="16" applyFont="1" applyFill="1" applyBorder="1" applyAlignment="1">
      <alignment horizontal="center"/>
    </xf>
    <xf numFmtId="0" fontId="1" fillId="14" borderId="53" xfId="16" applyFont="1" applyFill="1" applyBorder="1" applyAlignment="1">
      <alignment horizontal="center"/>
    </xf>
    <xf numFmtId="0" fontId="1" fillId="14" borderId="28" xfId="16" applyFont="1" applyFill="1" applyBorder="1" applyAlignment="1">
      <alignment horizontal="center"/>
    </xf>
    <xf numFmtId="0" fontId="1" fillId="17" borderId="35" xfId="16" applyFont="1" applyFill="1" applyBorder="1" applyAlignment="1">
      <alignment horizontal="center"/>
    </xf>
    <xf numFmtId="0" fontId="1" fillId="17" borderId="53" xfId="16" applyFont="1" applyFill="1" applyBorder="1" applyAlignment="1">
      <alignment horizontal="center"/>
    </xf>
    <xf numFmtId="0" fontId="1" fillId="17" borderId="28" xfId="16" applyFont="1" applyFill="1" applyBorder="1" applyAlignment="1">
      <alignment horizontal="center"/>
    </xf>
    <xf numFmtId="0" fontId="1" fillId="14" borderId="36" xfId="16" applyFill="1" applyBorder="1" applyAlignment="1">
      <alignment horizontal="center" vertical="center"/>
    </xf>
    <xf numFmtId="0" fontId="1" fillId="14" borderId="32" xfId="16" applyFill="1" applyBorder="1" applyAlignment="1">
      <alignment horizontal="center" vertical="center"/>
    </xf>
    <xf numFmtId="0" fontId="1" fillId="14" borderId="34" xfId="16" applyFill="1" applyBorder="1" applyAlignment="1">
      <alignment horizontal="center" vertical="center"/>
    </xf>
    <xf numFmtId="0" fontId="1" fillId="14" borderId="27" xfId="16" applyFill="1" applyBorder="1" applyAlignment="1">
      <alignment horizontal="center" vertical="center"/>
    </xf>
    <xf numFmtId="0" fontId="1" fillId="14" borderId="35" xfId="16" applyFill="1" applyBorder="1" applyAlignment="1">
      <alignment horizontal="center"/>
    </xf>
    <xf numFmtId="0" fontId="1" fillId="14" borderId="53" xfId="16" applyFill="1" applyBorder="1" applyAlignment="1">
      <alignment horizontal="center"/>
    </xf>
    <xf numFmtId="0" fontId="1" fillId="14" borderId="28" xfId="16" applyFill="1" applyBorder="1" applyAlignment="1">
      <alignment horizontal="center"/>
    </xf>
    <xf numFmtId="0" fontId="3" fillId="12" borderId="31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/>
    </xf>
    <xf numFmtId="0" fontId="3" fillId="12" borderId="29" xfId="0" applyNumberFormat="1" applyFont="1" applyFill="1" applyBorder="1" applyAlignment="1">
      <alignment horizontal="center" vertical="center"/>
    </xf>
    <xf numFmtId="1" fontId="3" fillId="8" borderId="48" xfId="0" applyNumberFormat="1" applyFont="1" applyFill="1" applyBorder="1" applyAlignment="1">
      <alignment horizontal="center" vertical="center"/>
    </xf>
    <xf numFmtId="1" fontId="3" fillId="8" borderId="65" xfId="0" applyNumberFormat="1" applyFont="1" applyFill="1" applyBorder="1" applyAlignment="1">
      <alignment horizontal="center" vertical="center"/>
    </xf>
    <xf numFmtId="1" fontId="3" fillId="8" borderId="57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71" xfId="0" applyNumberFormat="1" applyFont="1" applyFill="1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55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3" fillId="0" borderId="5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55" xfId="0" applyNumberFormat="1" applyFont="1" applyBorder="1" applyAlignment="1">
      <alignment horizontal="center" vertical="center"/>
    </xf>
    <xf numFmtId="0" fontId="3" fillId="0" borderId="69" xfId="0" applyNumberFormat="1" applyFont="1" applyBorder="1" applyAlignment="1">
      <alignment horizontal="center" vertical="center"/>
    </xf>
    <xf numFmtId="0" fontId="3" fillId="0" borderId="72" xfId="0" applyNumberFormat="1" applyFont="1" applyBorder="1" applyAlignment="1">
      <alignment horizontal="center" vertical="center"/>
    </xf>
    <xf numFmtId="164" fontId="6" fillId="9" borderId="10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6" fillId="9" borderId="4" xfId="0" applyNumberFormat="1" applyFont="1" applyFill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7" borderId="40" xfId="0" applyNumberFormat="1" applyFont="1" applyFill="1" applyBorder="1" applyAlignment="1">
      <alignment horizontal="center" vertical="center"/>
    </xf>
    <xf numFmtId="0" fontId="4" fillId="7" borderId="15" xfId="0" applyNumberFormat="1" applyFont="1" applyFill="1" applyBorder="1" applyAlignment="1">
      <alignment horizontal="center" vertical="center"/>
    </xf>
    <xf numFmtId="0" fontId="4" fillId="7" borderId="26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164" fontId="6" fillId="9" borderId="16" xfId="0" applyNumberFormat="1" applyFont="1" applyFill="1" applyBorder="1" applyAlignment="1">
      <alignment horizontal="center" vertical="center"/>
    </xf>
    <xf numFmtId="164" fontId="6" fillId="9" borderId="15" xfId="0" applyNumberFormat="1" applyFont="1" applyFill="1" applyBorder="1" applyAlignment="1">
      <alignment horizontal="center" vertical="center"/>
    </xf>
    <xf numFmtId="164" fontId="6" fillId="9" borderId="17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0" fontId="3" fillId="8" borderId="73" xfId="0" applyNumberFormat="1" applyFont="1" applyFill="1" applyBorder="1" applyAlignment="1">
      <alignment horizontal="center" vertical="center"/>
    </xf>
    <xf numFmtId="0" fontId="3" fillId="8" borderId="74" xfId="0" applyNumberFormat="1" applyFont="1" applyFill="1" applyBorder="1" applyAlignment="1">
      <alignment horizontal="center" vertical="center"/>
    </xf>
    <xf numFmtId="0" fontId="3" fillId="8" borderId="41" xfId="0" applyNumberFormat="1" applyFont="1" applyFill="1" applyBorder="1" applyAlignment="1">
      <alignment horizontal="center" vertical="center"/>
    </xf>
    <xf numFmtId="0" fontId="3" fillId="8" borderId="27" xfId="0" applyNumberFormat="1" applyFont="1" applyFill="1" applyBorder="1" applyAlignment="1">
      <alignment horizontal="center" vertical="center"/>
    </xf>
    <xf numFmtId="3" fontId="3" fillId="0" borderId="75" xfId="0" applyNumberFormat="1" applyFont="1" applyBorder="1" applyAlignment="1">
      <alignment horizontal="center" vertical="center"/>
    </xf>
    <xf numFmtId="3" fontId="3" fillId="0" borderId="70" xfId="0" applyNumberFormat="1" applyFont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3" fillId="8" borderId="76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center" vertical="center"/>
    </xf>
    <xf numFmtId="164" fontId="3" fillId="0" borderId="70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3" fontId="3" fillId="8" borderId="46" xfId="0" applyNumberFormat="1" applyFont="1" applyFill="1" applyBorder="1" applyAlignment="1">
      <alignment horizontal="center" vertical="center"/>
    </xf>
    <xf numFmtId="3" fontId="3" fillId="8" borderId="55" xfId="0" applyNumberFormat="1" applyFont="1" applyFill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3" fontId="3" fillId="8" borderId="22" xfId="0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64" fontId="4" fillId="8" borderId="40" xfId="0" applyNumberFormat="1" applyFont="1" applyFill="1" applyBorder="1" applyAlignment="1">
      <alignment horizontal="center" vertical="center"/>
    </xf>
    <xf numFmtId="164" fontId="4" fillId="8" borderId="17" xfId="0" applyNumberFormat="1" applyFont="1" applyFill="1" applyBorder="1" applyAlignment="1">
      <alignment horizontal="center" vertical="center"/>
    </xf>
    <xf numFmtId="164" fontId="0" fillId="0" borderId="61" xfId="0" applyNumberFormat="1" applyFill="1" applyBorder="1" applyAlignment="1">
      <alignment horizontal="center" vertical="center"/>
    </xf>
    <xf numFmtId="164" fontId="0" fillId="0" borderId="7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9" borderId="5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60" xfId="0" applyFont="1" applyFill="1" applyBorder="1" applyAlignment="1">
      <alignment horizontal="center" vertical="center"/>
    </xf>
    <xf numFmtId="164" fontId="6" fillId="9" borderId="24" xfId="0" applyNumberFormat="1" applyFont="1" applyFill="1" applyBorder="1" applyAlignment="1">
      <alignment horizontal="center" vertical="center"/>
    </xf>
    <xf numFmtId="164" fontId="6" fillId="9" borderId="25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4" fillId="0" borderId="76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0" fontId="4" fillId="12" borderId="73" xfId="0" applyFont="1" applyFill="1" applyBorder="1" applyAlignment="1">
      <alignment horizontal="center" vertical="center"/>
    </xf>
    <xf numFmtId="0" fontId="4" fillId="12" borderId="62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12" borderId="48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9" borderId="65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0" fontId="0" fillId="10" borderId="48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0" fontId="0" fillId="12" borderId="47" xfId="0" applyFill="1" applyBorder="1" applyAlignment="1">
      <alignment horizontal="center" vertical="center"/>
    </xf>
    <xf numFmtId="2" fontId="29" fillId="8" borderId="35" xfId="0" applyNumberFormat="1" applyFont="1" applyFill="1" applyBorder="1" applyAlignment="1">
      <alignment horizontal="center" vertical="center"/>
    </xf>
  </cellXfs>
  <cellStyles count="17">
    <cellStyle name="Comma" xfId="1" builtinId="3"/>
    <cellStyle name="Comma 2" xfId="5"/>
    <cellStyle name="Comma 3" xfId="7"/>
    <cellStyle name="Currency" xfId="3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 4" xfId="16"/>
    <cellStyle name="Normal_BNDSIZ01 Template ver 2.0" xfId="15"/>
    <cellStyle name="Normal_Equivalence_drainage_taz2 ver 2" xfId="4"/>
    <cellStyle name="Percent" xfId="2" builtinId="5"/>
    <cellStyle name="Percent 2" xfId="6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33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918210</xdr:colOff>
      <xdr:row>0</xdr:row>
      <xdr:rowOff>104775</xdr:rowOff>
    </xdr:from>
    <xdr:to>
      <xdr:col>4</xdr:col>
      <xdr:colOff>417187</xdr:colOff>
      <xdr:row>4</xdr:row>
      <xdr:rowOff>0</xdr:rowOff>
    </xdr:to>
    <xdr:sp macro="" textlink="">
      <xdr:nvSpPr>
        <xdr:cNvPr id="7169" name="Rectangle 1"/>
        <xdr:cNvSpPr>
          <a:spLocks noChangeArrowheads="1"/>
        </xdr:cNvSpPr>
      </xdr:nvSpPr>
      <xdr:spPr bwMode="auto">
        <a:xfrm>
          <a:off x="1562100" y="104775"/>
          <a:ext cx="3495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FUTURE DRAINAGE IMPROVEMENT PROJECTS</a:t>
          </a:r>
        </a:p>
      </xdr:txBody>
    </xdr:sp>
    <xdr:clientData/>
  </xdr:twoCellAnchor>
  <xdr:twoCellAnchor>
    <xdr:from>
      <xdr:col>1</xdr:col>
      <xdr:colOff>114300</xdr:colOff>
      <xdr:row>0</xdr:row>
      <xdr:rowOff>7620</xdr:rowOff>
    </xdr:from>
    <xdr:to>
      <xdr:col>1</xdr:col>
      <xdr:colOff>784860</xdr:colOff>
      <xdr:row>4</xdr:row>
      <xdr:rowOff>91440</xdr:rowOff>
    </xdr:to>
    <xdr:pic>
      <xdr:nvPicPr>
        <xdr:cNvPr id="7353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"/>
          <a:ext cx="67056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737256</xdr:colOff>
      <xdr:row>4</xdr:row>
      <xdr:rowOff>64787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NORTH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3247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744882</xdr:colOff>
      <xdr:row>4</xdr:row>
      <xdr:rowOff>64787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SOUTH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4269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133350</xdr:rowOff>
    </xdr:from>
    <xdr:to>
      <xdr:col>4</xdr:col>
      <xdr:colOff>558174</xdr:colOff>
      <xdr:row>3</xdr:row>
      <xdr:rowOff>57150</xdr:rowOff>
    </xdr:to>
    <xdr:sp macro="" textlink="">
      <xdr:nvSpPr>
        <xdr:cNvPr id="9217" name="Rectangle 1"/>
        <xdr:cNvSpPr>
          <a:spLocks noChangeArrowheads="1"/>
        </xdr:cNvSpPr>
      </xdr:nvSpPr>
      <xdr:spPr bwMode="auto">
        <a:xfrm>
          <a:off x="923925" y="133350"/>
          <a:ext cx="300990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80"/>
              </a:solidFill>
              <a:latin typeface="Arial"/>
              <a:cs typeface="Arial"/>
            </a:rPr>
            <a:t>Land Use and PFF Fees (Austin Shed D)</a:t>
          </a:r>
        </a:p>
      </xdr:txBody>
    </xdr:sp>
    <xdr:clientData/>
  </xdr:twoCellAnchor>
  <xdr:twoCellAnchor>
    <xdr:from>
      <xdr:col>0</xdr:col>
      <xdr:colOff>274320</xdr:colOff>
      <xdr:row>0</xdr:row>
      <xdr:rowOff>0</xdr:rowOff>
    </xdr:from>
    <xdr:to>
      <xdr:col>1</xdr:col>
      <xdr:colOff>7620</xdr:colOff>
      <xdr:row>3</xdr:row>
      <xdr:rowOff>76200</xdr:rowOff>
    </xdr:to>
    <xdr:pic>
      <xdr:nvPicPr>
        <xdr:cNvPr id="9384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0"/>
          <a:ext cx="6019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1306830</xdr:colOff>
      <xdr:row>0</xdr:row>
      <xdr:rowOff>104775</xdr:rowOff>
    </xdr:from>
    <xdr:to>
      <xdr:col>5</xdr:col>
      <xdr:colOff>481943</xdr:colOff>
      <xdr:row>4</xdr:row>
      <xdr:rowOff>0</xdr:rowOff>
    </xdr:to>
    <xdr:sp macro="" textlink="">
      <xdr:nvSpPr>
        <xdr:cNvPr id="6145" name="Rectangle 1"/>
        <xdr:cNvSpPr>
          <a:spLocks noChangeArrowheads="1"/>
        </xdr:cNvSpPr>
      </xdr:nvSpPr>
      <xdr:spPr bwMode="auto">
        <a:xfrm>
          <a:off x="1276350" y="104775"/>
          <a:ext cx="37528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TRAILS OF MANTECA DRAINAGE SYSTEM QUANTITIES</a:t>
          </a:r>
        </a:p>
      </xdr:txBody>
    </xdr:sp>
    <xdr:clientData/>
  </xdr:twoCellAnchor>
  <xdr:twoCellAnchor>
    <xdr:from>
      <xdr:col>0</xdr:col>
      <xdr:colOff>518160</xdr:colOff>
      <xdr:row>0</xdr:row>
      <xdr:rowOff>0</xdr:rowOff>
    </xdr:from>
    <xdr:to>
      <xdr:col>0</xdr:col>
      <xdr:colOff>1188720</xdr:colOff>
      <xdr:row>5</xdr:row>
      <xdr:rowOff>91440</xdr:rowOff>
    </xdr:to>
    <xdr:pic>
      <xdr:nvPicPr>
        <xdr:cNvPr id="6312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0"/>
          <a:ext cx="67056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142875</xdr:rowOff>
    </xdr:from>
    <xdr:to>
      <xdr:col>5</xdr:col>
      <xdr:colOff>93356</xdr:colOff>
      <xdr:row>4</xdr:row>
      <xdr:rowOff>38100</xdr:rowOff>
    </xdr:to>
    <xdr:sp macro="" textlink="">
      <xdr:nvSpPr>
        <xdr:cNvPr id="5121" name="Rectangle 1"/>
        <xdr:cNvSpPr>
          <a:spLocks noChangeArrowheads="1"/>
        </xdr:cNvSpPr>
      </xdr:nvSpPr>
      <xdr:spPr bwMode="auto">
        <a:xfrm>
          <a:off x="781050" y="142875"/>
          <a:ext cx="3876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LEVEE &amp; MONITORING WELLS CALCULATION</a:t>
          </a:r>
        </a:p>
      </xdr:txBody>
    </xdr:sp>
    <xdr:clientData/>
  </xdr:twoCellAnchor>
  <xdr:twoCellAnchor>
    <xdr:from>
      <xdr:col>0</xdr:col>
      <xdr:colOff>114300</xdr:colOff>
      <xdr:row>0</xdr:row>
      <xdr:rowOff>7620</xdr:rowOff>
    </xdr:from>
    <xdr:to>
      <xdr:col>1</xdr:col>
      <xdr:colOff>99060</xdr:colOff>
      <xdr:row>4</xdr:row>
      <xdr:rowOff>99060</xdr:rowOff>
    </xdr:to>
    <xdr:pic>
      <xdr:nvPicPr>
        <xdr:cNvPr id="5288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"/>
          <a:ext cx="609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28575</xdr:rowOff>
    </xdr:from>
    <xdr:to>
      <xdr:col>4</xdr:col>
      <xdr:colOff>520065</xdr:colOff>
      <xdr:row>4</xdr:row>
      <xdr:rowOff>85725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1162050" y="190500"/>
          <a:ext cx="3114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DESCRIPTION FOR LAND USE</a:t>
          </a:r>
        </a:p>
      </xdr:txBody>
    </xdr:sp>
    <xdr:clientData/>
  </xdr:twoCellAnchor>
  <xdr:twoCellAnchor>
    <xdr:from>
      <xdr:col>1</xdr:col>
      <xdr:colOff>45720</xdr:colOff>
      <xdr:row>0</xdr:row>
      <xdr:rowOff>129540</xdr:rowOff>
    </xdr:from>
    <xdr:to>
      <xdr:col>1</xdr:col>
      <xdr:colOff>716280</xdr:colOff>
      <xdr:row>5</xdr:row>
      <xdr:rowOff>7620</xdr:rowOff>
    </xdr:to>
    <xdr:pic>
      <xdr:nvPicPr>
        <xdr:cNvPr id="10409" name="Picture 3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29540"/>
          <a:ext cx="6705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ich6769/Documents/INS%20Files%20(2012.12.15)/INS%20Files/GMR%20Record%20Files/Proposals/Manteca%202011/Work%20Files/Sewer%20Fee%20Calcs/Sewer%20Fee%20Calcs%20v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E22">
            <v>2600000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2:J44"/>
  <sheetViews>
    <sheetView view="pageBreakPreview" topLeftCell="A13" zoomScaleNormal="100" workbookViewId="0">
      <selection activeCell="K42" sqref="K42"/>
    </sheetView>
  </sheetViews>
  <sheetFormatPr defaultColWidth="9.140625" defaultRowHeight="12.75" x14ac:dyDescent="0.2"/>
  <cols>
    <col min="1" max="1" width="9.140625" style="46"/>
    <col min="2" max="2" width="4.85546875" style="46" customWidth="1"/>
    <col min="3" max="9" width="9.140625" style="45"/>
    <col min="10" max="10" width="11.140625" style="46" customWidth="1"/>
    <col min="11" max="16384" width="9.140625" style="45"/>
  </cols>
  <sheetData>
    <row r="2" spans="1:10" ht="18" x14ac:dyDescent="0.2">
      <c r="C2" s="266" t="s">
        <v>515</v>
      </c>
    </row>
    <row r="3" spans="1:10" ht="13.5" thickBot="1" x14ac:dyDescent="0.25"/>
    <row r="4" spans="1:10" ht="21" customHeight="1" x14ac:dyDescent="0.2">
      <c r="A4" s="430" t="s">
        <v>516</v>
      </c>
      <c r="B4" s="431" t="s">
        <v>208</v>
      </c>
      <c r="C4" s="897"/>
      <c r="D4" s="897"/>
      <c r="E4" s="897"/>
      <c r="F4" s="897"/>
      <c r="G4" s="897"/>
      <c r="H4" s="897"/>
      <c r="I4" s="897"/>
      <c r="J4" s="432" t="s">
        <v>251</v>
      </c>
    </row>
    <row r="5" spans="1:10" ht="13.5" thickBot="1" x14ac:dyDescent="0.25">
      <c r="A5" s="518" t="s">
        <v>340</v>
      </c>
      <c r="B5" s="433">
        <v>1</v>
      </c>
      <c r="C5" s="898" t="s">
        <v>341</v>
      </c>
      <c r="D5" s="899"/>
      <c r="E5" s="899"/>
      <c r="F5" s="899"/>
      <c r="G5" s="899"/>
      <c r="H5" s="899"/>
      <c r="I5" s="900"/>
      <c r="J5" s="519">
        <v>41052</v>
      </c>
    </row>
    <row r="6" spans="1:10" ht="13.5" thickBot="1" x14ac:dyDescent="0.25">
      <c r="A6" s="529"/>
      <c r="B6" s="530"/>
      <c r="C6" s="531"/>
      <c r="D6" s="531"/>
      <c r="E6" s="531"/>
      <c r="F6" s="531"/>
      <c r="G6" s="531"/>
      <c r="H6" s="531"/>
      <c r="I6" s="531"/>
      <c r="J6" s="517"/>
    </row>
    <row r="7" spans="1:10" ht="21" customHeight="1" x14ac:dyDescent="0.2">
      <c r="A7" s="466" t="s">
        <v>516</v>
      </c>
      <c r="B7" s="467" t="s">
        <v>208</v>
      </c>
      <c r="C7" s="907"/>
      <c r="D7" s="907"/>
      <c r="E7" s="907"/>
      <c r="F7" s="907"/>
      <c r="G7" s="907"/>
      <c r="H7" s="907"/>
      <c r="I7" s="907"/>
      <c r="J7" s="446" t="s">
        <v>251</v>
      </c>
    </row>
    <row r="8" spans="1:10" ht="13.5" thickBot="1" x14ac:dyDescent="0.25">
      <c r="A8" s="527" t="s">
        <v>328</v>
      </c>
      <c r="B8" s="471">
        <v>1</v>
      </c>
      <c r="C8" s="912" t="s">
        <v>517</v>
      </c>
      <c r="D8" s="913"/>
      <c r="E8" s="913"/>
      <c r="F8" s="913"/>
      <c r="G8" s="913"/>
      <c r="H8" s="913"/>
      <c r="I8" s="914"/>
      <c r="J8" s="528">
        <v>40862</v>
      </c>
    </row>
    <row r="9" spans="1:10" ht="13.5" thickBot="1" x14ac:dyDescent="0.25">
      <c r="A9" s="529"/>
      <c r="B9" s="530"/>
      <c r="C9" s="531"/>
      <c r="D9" s="531"/>
      <c r="E9" s="531"/>
      <c r="F9" s="531"/>
      <c r="G9" s="531"/>
      <c r="H9" s="531"/>
      <c r="I9" s="531"/>
      <c r="J9" s="517"/>
    </row>
    <row r="10" spans="1:10" ht="21" customHeight="1" x14ac:dyDescent="0.2">
      <c r="A10" s="466" t="s">
        <v>516</v>
      </c>
      <c r="B10" s="467" t="s">
        <v>208</v>
      </c>
      <c r="C10" s="907"/>
      <c r="D10" s="907"/>
      <c r="E10" s="907"/>
      <c r="F10" s="907"/>
      <c r="G10" s="907"/>
      <c r="H10" s="907"/>
      <c r="I10" s="907"/>
      <c r="J10" s="446" t="s">
        <v>251</v>
      </c>
    </row>
    <row r="11" spans="1:10" ht="13.5" thickBot="1" x14ac:dyDescent="0.25">
      <c r="A11" s="527" t="s">
        <v>326</v>
      </c>
      <c r="B11" s="471">
        <v>1</v>
      </c>
      <c r="C11" s="912" t="s">
        <v>327</v>
      </c>
      <c r="D11" s="913"/>
      <c r="E11" s="913"/>
      <c r="F11" s="913"/>
      <c r="G11" s="913"/>
      <c r="H11" s="913"/>
      <c r="I11" s="914"/>
      <c r="J11" s="528">
        <v>40611</v>
      </c>
    </row>
    <row r="12" spans="1:10" x14ac:dyDescent="0.2">
      <c r="A12" s="421"/>
      <c r="B12" s="422"/>
      <c r="C12" s="423"/>
      <c r="D12" s="423"/>
      <c r="E12" s="423"/>
      <c r="F12" s="423"/>
      <c r="G12" s="423"/>
      <c r="H12" s="423"/>
      <c r="I12" s="423"/>
      <c r="J12" s="424"/>
    </row>
    <row r="13" spans="1:10" ht="13.5" thickBot="1" x14ac:dyDescent="0.25"/>
    <row r="14" spans="1:10" ht="21" customHeight="1" x14ac:dyDescent="0.2">
      <c r="A14" s="466" t="s">
        <v>516</v>
      </c>
      <c r="B14" s="467" t="s">
        <v>208</v>
      </c>
      <c r="C14" s="907"/>
      <c r="D14" s="907"/>
      <c r="E14" s="907"/>
      <c r="F14" s="907"/>
      <c r="G14" s="907"/>
      <c r="H14" s="907"/>
      <c r="I14" s="907"/>
      <c r="J14" s="446" t="s">
        <v>251</v>
      </c>
    </row>
    <row r="15" spans="1:10" ht="13.5" thickBot="1" x14ac:dyDescent="0.25">
      <c r="A15" s="527" t="s">
        <v>322</v>
      </c>
      <c r="B15" s="471">
        <v>1</v>
      </c>
      <c r="C15" s="912" t="s">
        <v>518</v>
      </c>
      <c r="D15" s="913"/>
      <c r="E15" s="913"/>
      <c r="F15" s="913"/>
      <c r="G15" s="913"/>
      <c r="H15" s="913"/>
      <c r="I15" s="914"/>
      <c r="J15" s="528">
        <v>40610</v>
      </c>
    </row>
    <row r="16" spans="1:10" x14ac:dyDescent="0.2">
      <c r="A16" s="421"/>
      <c r="B16" s="422"/>
      <c r="C16" s="423"/>
      <c r="D16" s="423"/>
      <c r="E16" s="423"/>
      <c r="F16" s="423"/>
      <c r="G16" s="423"/>
      <c r="H16" s="423"/>
      <c r="I16" s="423"/>
      <c r="J16" s="424"/>
    </row>
    <row r="17" spans="1:10" ht="13.5" thickBot="1" x14ac:dyDescent="0.25"/>
    <row r="18" spans="1:10" ht="21" customHeight="1" x14ac:dyDescent="0.2">
      <c r="A18" s="466" t="s">
        <v>516</v>
      </c>
      <c r="B18" s="467" t="s">
        <v>208</v>
      </c>
      <c r="C18" s="907"/>
      <c r="D18" s="907"/>
      <c r="E18" s="907"/>
      <c r="F18" s="907"/>
      <c r="G18" s="907"/>
      <c r="H18" s="907"/>
      <c r="I18" s="907"/>
      <c r="J18" s="446" t="s">
        <v>251</v>
      </c>
    </row>
    <row r="19" spans="1:10" x14ac:dyDescent="0.2">
      <c r="A19" s="901" t="s">
        <v>303</v>
      </c>
      <c r="B19" s="468">
        <v>1</v>
      </c>
      <c r="C19" s="469" t="s">
        <v>519</v>
      </c>
      <c r="D19" s="470"/>
      <c r="E19" s="470"/>
      <c r="F19" s="470"/>
      <c r="G19" s="470"/>
      <c r="H19" s="470"/>
      <c r="I19" s="470"/>
      <c r="J19" s="904">
        <v>40610</v>
      </c>
    </row>
    <row r="20" spans="1:10" x14ac:dyDescent="0.2">
      <c r="A20" s="902"/>
      <c r="B20" s="468">
        <v>2</v>
      </c>
      <c r="C20" s="469" t="s">
        <v>520</v>
      </c>
      <c r="D20" s="470"/>
      <c r="E20" s="470"/>
      <c r="F20" s="470"/>
      <c r="G20" s="470"/>
      <c r="H20" s="470"/>
      <c r="I20" s="470"/>
      <c r="J20" s="905"/>
    </row>
    <row r="21" spans="1:10" ht="13.5" thickBot="1" x14ac:dyDescent="0.25">
      <c r="A21" s="903"/>
      <c r="B21" s="471">
        <v>3</v>
      </c>
      <c r="C21" s="472"/>
      <c r="D21" s="473"/>
      <c r="E21" s="473"/>
      <c r="F21" s="473"/>
      <c r="G21" s="473"/>
      <c r="H21" s="473"/>
      <c r="I21" s="473"/>
      <c r="J21" s="906"/>
    </row>
    <row r="22" spans="1:10" x14ac:dyDescent="0.2">
      <c r="B22" s="422"/>
      <c r="C22" s="423"/>
      <c r="D22" s="423"/>
      <c r="E22" s="423"/>
      <c r="F22" s="423"/>
      <c r="G22" s="423"/>
      <c r="H22" s="423"/>
      <c r="I22" s="423"/>
      <c r="J22" s="424"/>
    </row>
    <row r="23" spans="1:10" ht="13.5" thickBot="1" x14ac:dyDescent="0.25"/>
    <row r="24" spans="1:10" ht="21" customHeight="1" x14ac:dyDescent="0.2">
      <c r="A24" s="466" t="s">
        <v>516</v>
      </c>
      <c r="B24" s="467" t="s">
        <v>208</v>
      </c>
      <c r="C24" s="907"/>
      <c r="D24" s="907"/>
      <c r="E24" s="907"/>
      <c r="F24" s="907"/>
      <c r="G24" s="907"/>
      <c r="H24" s="907"/>
      <c r="I24" s="907"/>
      <c r="J24" s="446" t="s">
        <v>251</v>
      </c>
    </row>
    <row r="25" spans="1:10" x14ac:dyDescent="0.2">
      <c r="A25" s="901" t="s">
        <v>290</v>
      </c>
      <c r="B25" s="468">
        <v>1</v>
      </c>
      <c r="C25" s="469" t="s">
        <v>521</v>
      </c>
      <c r="D25" s="470"/>
      <c r="E25" s="470"/>
      <c r="F25" s="470"/>
      <c r="G25" s="470"/>
      <c r="H25" s="470"/>
      <c r="I25" s="470"/>
      <c r="J25" s="904">
        <v>40609</v>
      </c>
    </row>
    <row r="26" spans="1:10" x14ac:dyDescent="0.2">
      <c r="A26" s="902"/>
      <c r="B26" s="468">
        <v>2</v>
      </c>
      <c r="C26" s="469" t="s">
        <v>522</v>
      </c>
      <c r="D26" s="470"/>
      <c r="E26" s="470"/>
      <c r="F26" s="470"/>
      <c r="G26" s="470"/>
      <c r="H26" s="470"/>
      <c r="I26" s="470"/>
      <c r="J26" s="905"/>
    </row>
    <row r="27" spans="1:10" ht="13.5" thickBot="1" x14ac:dyDescent="0.25">
      <c r="A27" s="903"/>
      <c r="B27" s="471">
        <v>3</v>
      </c>
      <c r="C27" s="472" t="s">
        <v>523</v>
      </c>
      <c r="D27" s="473"/>
      <c r="E27" s="473"/>
      <c r="F27" s="473"/>
      <c r="G27" s="473"/>
      <c r="H27" s="473"/>
      <c r="I27" s="473"/>
      <c r="J27" s="906"/>
    </row>
    <row r="28" spans="1:10" x14ac:dyDescent="0.2">
      <c r="B28" s="422"/>
      <c r="C28" s="423"/>
      <c r="D28" s="423"/>
      <c r="E28" s="423"/>
      <c r="F28" s="423"/>
      <c r="G28" s="423"/>
      <c r="H28" s="423"/>
      <c r="I28" s="423"/>
      <c r="J28" s="424"/>
    </row>
    <row r="29" spans="1:10" ht="13.5" thickBot="1" x14ac:dyDescent="0.25"/>
    <row r="30" spans="1:10" ht="21" customHeight="1" x14ac:dyDescent="0.2">
      <c r="A30" s="403" t="s">
        <v>516</v>
      </c>
      <c r="B30" s="413" t="s">
        <v>208</v>
      </c>
      <c r="C30" s="911"/>
      <c r="D30" s="911"/>
      <c r="E30" s="911"/>
      <c r="F30" s="911"/>
      <c r="G30" s="911"/>
      <c r="H30" s="911"/>
      <c r="I30" s="911"/>
      <c r="J30" s="414" t="s">
        <v>251</v>
      </c>
    </row>
    <row r="31" spans="1:10" ht="13.5" thickBot="1" x14ac:dyDescent="0.25">
      <c r="A31" s="425" t="s">
        <v>289</v>
      </c>
      <c r="B31" s="426">
        <v>1</v>
      </c>
      <c r="C31" s="427" t="s">
        <v>524</v>
      </c>
      <c r="D31" s="428"/>
      <c r="E31" s="428"/>
      <c r="F31" s="428"/>
      <c r="G31" s="428"/>
      <c r="H31" s="428"/>
      <c r="I31" s="428"/>
      <c r="J31" s="429">
        <v>40597</v>
      </c>
    </row>
    <row r="32" spans="1:10" x14ac:dyDescent="0.2">
      <c r="A32" s="421"/>
      <c r="B32" s="422"/>
      <c r="C32" s="423"/>
      <c r="D32" s="423"/>
      <c r="E32" s="423"/>
      <c r="F32" s="423"/>
      <c r="G32" s="423"/>
      <c r="H32" s="423"/>
      <c r="I32" s="423"/>
      <c r="J32" s="424"/>
    </row>
    <row r="33" spans="1:10" ht="13.5" thickBot="1" x14ac:dyDescent="0.25"/>
    <row r="34" spans="1:10" ht="21" customHeight="1" x14ac:dyDescent="0.2">
      <c r="A34" s="403" t="s">
        <v>516</v>
      </c>
      <c r="B34" s="413" t="s">
        <v>208</v>
      </c>
      <c r="C34" s="911"/>
      <c r="D34" s="911"/>
      <c r="E34" s="911"/>
      <c r="F34" s="911"/>
      <c r="G34" s="911"/>
      <c r="H34" s="911"/>
      <c r="I34" s="911"/>
      <c r="J34" s="414" t="s">
        <v>251</v>
      </c>
    </row>
    <row r="35" spans="1:10" x14ac:dyDescent="0.2">
      <c r="A35" s="415" t="s">
        <v>249</v>
      </c>
      <c r="B35" s="267">
        <v>1</v>
      </c>
      <c r="C35" s="268" t="s">
        <v>525</v>
      </c>
      <c r="D35" s="269"/>
      <c r="E35" s="269"/>
      <c r="F35" s="269"/>
      <c r="G35" s="269"/>
      <c r="H35" s="269"/>
      <c r="I35" s="269"/>
      <c r="J35" s="908">
        <v>40407</v>
      </c>
    </row>
    <row r="36" spans="1:10" x14ac:dyDescent="0.2">
      <c r="A36" s="416"/>
      <c r="B36" s="270">
        <f>B35+1</f>
        <v>2</v>
      </c>
      <c r="C36" s="271" t="s">
        <v>526</v>
      </c>
      <c r="D36" s="272"/>
      <c r="E36" s="272"/>
      <c r="F36" s="272"/>
      <c r="G36" s="272"/>
      <c r="H36" s="272"/>
      <c r="I36" s="272"/>
      <c r="J36" s="909"/>
    </row>
    <row r="37" spans="1:10" x14ac:dyDescent="0.2">
      <c r="A37" s="416"/>
      <c r="B37" s="270">
        <f t="shared" ref="B37:B44" si="0">B36+1</f>
        <v>3</v>
      </c>
      <c r="C37" s="271" t="s">
        <v>527</v>
      </c>
      <c r="D37" s="272"/>
      <c r="E37" s="272"/>
      <c r="F37" s="272"/>
      <c r="G37" s="272"/>
      <c r="H37" s="272"/>
      <c r="I37" s="272"/>
      <c r="J37" s="909"/>
    </row>
    <row r="38" spans="1:10" x14ac:dyDescent="0.2">
      <c r="A38" s="416"/>
      <c r="B38" s="270">
        <f t="shared" si="0"/>
        <v>4</v>
      </c>
      <c r="C38" s="271" t="s">
        <v>528</v>
      </c>
      <c r="D38" s="272"/>
      <c r="E38" s="272"/>
      <c r="F38" s="272"/>
      <c r="G38" s="272"/>
      <c r="H38" s="272"/>
      <c r="I38" s="272"/>
      <c r="J38" s="909"/>
    </row>
    <row r="39" spans="1:10" x14ac:dyDescent="0.2">
      <c r="A39" s="416"/>
      <c r="B39" s="270">
        <f t="shared" si="0"/>
        <v>5</v>
      </c>
      <c r="C39" s="271" t="s">
        <v>250</v>
      </c>
      <c r="D39" s="272"/>
      <c r="E39" s="272"/>
      <c r="F39" s="272"/>
      <c r="G39" s="272"/>
      <c r="H39" s="272"/>
      <c r="I39" s="272"/>
      <c r="J39" s="909"/>
    </row>
    <row r="40" spans="1:10" x14ac:dyDescent="0.2">
      <c r="A40" s="416"/>
      <c r="B40" s="270">
        <f t="shared" si="0"/>
        <v>6</v>
      </c>
      <c r="C40" s="271" t="s">
        <v>529</v>
      </c>
      <c r="D40" s="272"/>
      <c r="E40" s="272"/>
      <c r="F40" s="272"/>
      <c r="G40" s="272"/>
      <c r="H40" s="272"/>
      <c r="I40" s="272"/>
      <c r="J40" s="909"/>
    </row>
    <row r="41" spans="1:10" x14ac:dyDescent="0.2">
      <c r="A41" s="416"/>
      <c r="B41" s="270">
        <f t="shared" si="0"/>
        <v>7</v>
      </c>
      <c r="C41" s="271" t="s">
        <v>530</v>
      </c>
      <c r="D41" s="272"/>
      <c r="E41" s="272"/>
      <c r="F41" s="272"/>
      <c r="G41" s="272"/>
      <c r="H41" s="272"/>
      <c r="I41" s="272"/>
      <c r="J41" s="909"/>
    </row>
    <row r="42" spans="1:10" x14ac:dyDescent="0.2">
      <c r="A42" s="416"/>
      <c r="B42" s="270">
        <f t="shared" si="0"/>
        <v>8</v>
      </c>
      <c r="C42" s="271" t="s">
        <v>531</v>
      </c>
      <c r="D42" s="272"/>
      <c r="E42" s="272"/>
      <c r="F42" s="272"/>
      <c r="G42" s="272"/>
      <c r="H42" s="272"/>
      <c r="I42" s="272"/>
      <c r="J42" s="909"/>
    </row>
    <row r="43" spans="1:10" x14ac:dyDescent="0.2">
      <c r="A43" s="416"/>
      <c r="B43" s="270">
        <f t="shared" si="0"/>
        <v>9</v>
      </c>
      <c r="C43" s="271" t="s">
        <v>532</v>
      </c>
      <c r="D43" s="272"/>
      <c r="E43" s="272"/>
      <c r="F43" s="272"/>
      <c r="G43" s="272"/>
      <c r="H43" s="272"/>
      <c r="I43" s="272"/>
      <c r="J43" s="909"/>
    </row>
    <row r="44" spans="1:10" ht="13.5" thickBot="1" x14ac:dyDescent="0.25">
      <c r="A44" s="417"/>
      <c r="B44" s="418">
        <f t="shared" si="0"/>
        <v>10</v>
      </c>
      <c r="C44" s="419"/>
      <c r="D44" s="420"/>
      <c r="E44" s="420"/>
      <c r="F44" s="420"/>
      <c r="G44" s="420"/>
      <c r="H44" s="420"/>
      <c r="I44" s="420"/>
      <c r="J44" s="910"/>
    </row>
  </sheetData>
  <mergeCells count="17">
    <mergeCell ref="J35:J44"/>
    <mergeCell ref="C34:I34"/>
    <mergeCell ref="C30:I30"/>
    <mergeCell ref="C18:I18"/>
    <mergeCell ref="C7:I7"/>
    <mergeCell ref="C8:I8"/>
    <mergeCell ref="C10:I10"/>
    <mergeCell ref="C11:I11"/>
    <mergeCell ref="C15:I15"/>
    <mergeCell ref="C4:I4"/>
    <mergeCell ref="C5:I5"/>
    <mergeCell ref="A19:A21"/>
    <mergeCell ref="J19:J21"/>
    <mergeCell ref="J25:J27"/>
    <mergeCell ref="A25:A27"/>
    <mergeCell ref="C24:I24"/>
    <mergeCell ref="C14:I14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6"/>
  <sheetViews>
    <sheetView workbookViewId="0">
      <pane xSplit="2" ySplit="12" topLeftCell="C31" activePane="bottomRight" state="frozen"/>
      <selection pane="topRight" activeCell="C1" sqref="C1"/>
      <selection pane="bottomLeft" activeCell="A14" sqref="A14"/>
      <selection pane="bottomRight" activeCell="D47" sqref="D47"/>
    </sheetView>
  </sheetViews>
  <sheetFormatPr defaultRowHeight="12.75" x14ac:dyDescent="0.2"/>
  <cols>
    <col min="1" max="1" width="3" customWidth="1"/>
    <col min="2" max="2" width="28.85546875" customWidth="1"/>
    <col min="3" max="3" width="3.28515625" customWidth="1"/>
    <col min="4" max="4" width="22.42578125" customWidth="1"/>
    <col min="5" max="5" width="3.7109375" customWidth="1"/>
  </cols>
  <sheetData>
    <row r="1" spans="1:5" x14ac:dyDescent="0.2">
      <c r="A1" s="814" t="s">
        <v>596</v>
      </c>
    </row>
    <row r="2" spans="1:5" x14ac:dyDescent="0.2">
      <c r="A2" s="581" t="s">
        <v>406</v>
      </c>
    </row>
    <row r="3" spans="1:5" x14ac:dyDescent="0.2">
      <c r="A3" s="814" t="s">
        <v>549</v>
      </c>
    </row>
    <row r="4" spans="1:5" x14ac:dyDescent="0.2">
      <c r="A4" s="581"/>
    </row>
    <row r="10" spans="1:5" x14ac:dyDescent="0.2">
      <c r="D10" s="583"/>
    </row>
    <row r="11" spans="1:5" x14ac:dyDescent="0.2">
      <c r="E11" s="608"/>
    </row>
    <row r="12" spans="1:5" ht="34.9" customHeight="1" x14ac:dyDescent="0.2">
      <c r="B12" s="781" t="s">
        <v>129</v>
      </c>
      <c r="C12" s="882"/>
      <c r="D12" s="883" t="s">
        <v>597</v>
      </c>
      <c r="E12" s="608"/>
    </row>
    <row r="13" spans="1:5" ht="34.9" customHeight="1" x14ac:dyDescent="0.2">
      <c r="E13" s="608"/>
    </row>
    <row r="14" spans="1:5" x14ac:dyDescent="0.2">
      <c r="B14" t="s">
        <v>229</v>
      </c>
      <c r="D14" s="591">
        <f>SUM('5. Vacant Land + Dev Summary'!D14:M14)</f>
        <v>3692.8002999999999</v>
      </c>
      <c r="E14" s="608"/>
    </row>
    <row r="15" spans="1:5" x14ac:dyDescent="0.2">
      <c r="B15" t="s">
        <v>149</v>
      </c>
      <c r="D15" s="591">
        <f>SUM('5. Vacant Land + Dev Summary'!D15:M15)</f>
        <v>179.98419999999999</v>
      </c>
      <c r="E15" s="608"/>
    </row>
    <row r="16" spans="1:5" x14ac:dyDescent="0.2">
      <c r="B16" t="s">
        <v>144</v>
      </c>
      <c r="D16" s="591">
        <f>SUM('5. Vacant Land + Dev Summary'!D16:M16)</f>
        <v>1</v>
      </c>
      <c r="E16" s="608"/>
    </row>
    <row r="17" spans="2:5" x14ac:dyDescent="0.2">
      <c r="B17" t="s">
        <v>142</v>
      </c>
      <c r="D17" s="591">
        <f>SUM('5. Vacant Land + Dev Summary'!D17:M17)</f>
        <v>229.43540000000002</v>
      </c>
      <c r="E17" s="608"/>
    </row>
    <row r="18" spans="2:5" x14ac:dyDescent="0.2">
      <c r="B18" t="s">
        <v>143</v>
      </c>
      <c r="D18" s="591">
        <f>SUM('5. Vacant Land + Dev Summary'!D18:M18)</f>
        <v>291.55719999999997</v>
      </c>
      <c r="E18" s="608"/>
    </row>
    <row r="19" spans="2:5" x14ac:dyDescent="0.2">
      <c r="B19" t="s">
        <v>139</v>
      </c>
      <c r="D19" s="591">
        <f>SUM('5. Vacant Land + Dev Summary'!D19:M19)</f>
        <v>127.25630000000001</v>
      </c>
      <c r="E19" s="608"/>
    </row>
    <row r="20" spans="2:5" x14ac:dyDescent="0.2">
      <c r="B20" t="s">
        <v>146</v>
      </c>
      <c r="D20" s="591">
        <f>SUM('5. Vacant Land + Dev Summary'!D20:M20)</f>
        <v>484.99980000000005</v>
      </c>
      <c r="E20" s="608"/>
    </row>
    <row r="21" spans="2:5" x14ac:dyDescent="0.2">
      <c r="B21" t="s">
        <v>135</v>
      </c>
      <c r="D21" s="591">
        <f>SUM('5. Vacant Land + Dev Summary'!D21:M21)</f>
        <v>3401.4443000000001</v>
      </c>
      <c r="E21" s="608"/>
    </row>
    <row r="22" spans="2:5" x14ac:dyDescent="0.2">
      <c r="B22" t="s">
        <v>148</v>
      </c>
      <c r="D22" s="591">
        <f>SUM('5. Vacant Land + Dev Summary'!D22:M22)</f>
        <v>750.3723</v>
      </c>
      <c r="E22" s="608"/>
    </row>
    <row r="23" spans="2:5" x14ac:dyDescent="0.2">
      <c r="B23" t="s">
        <v>137</v>
      </c>
      <c r="D23" s="591">
        <f>SUM('5. Vacant Land + Dev Summary'!D23:M23)</f>
        <v>218.69449999999998</v>
      </c>
      <c r="E23" s="608"/>
    </row>
    <row r="24" spans="2:5" x14ac:dyDescent="0.2">
      <c r="B24" t="s">
        <v>145</v>
      </c>
      <c r="D24" s="591">
        <f>SUM('5. Vacant Land + Dev Summary'!D24:M24)</f>
        <v>56.162000000000006</v>
      </c>
      <c r="E24" s="608"/>
    </row>
    <row r="25" spans="2:5" x14ac:dyDescent="0.2">
      <c r="B25" s="870" t="s">
        <v>140</v>
      </c>
      <c r="D25" s="591">
        <f>SUM('5. Vacant Land + Dev Summary'!D25:M25)</f>
        <v>444.7595</v>
      </c>
      <c r="E25" s="608"/>
    </row>
    <row r="26" spans="2:5" x14ac:dyDescent="0.2">
      <c r="B26" s="870" t="s">
        <v>134</v>
      </c>
      <c r="D26" s="591">
        <f>SUM('5. Vacant Land + Dev Summary'!D26:M26)</f>
        <v>94.760500000000008</v>
      </c>
      <c r="E26" s="608"/>
    </row>
    <row r="27" spans="2:5" x14ac:dyDescent="0.2">
      <c r="B27" s="870" t="s">
        <v>136</v>
      </c>
      <c r="D27" s="591">
        <f>SUM('5. Vacant Land + Dev Summary'!D27:M27)</f>
        <v>216.01719999999997</v>
      </c>
      <c r="E27" s="608"/>
    </row>
    <row r="28" spans="2:5" x14ac:dyDescent="0.2">
      <c r="B28" t="s">
        <v>147</v>
      </c>
      <c r="D28" s="591">
        <f>SUM('5. Vacant Land + Dev Summary'!D28:M28)</f>
        <v>1709.1194</v>
      </c>
      <c r="E28" s="608"/>
    </row>
    <row r="29" spans="2:5" x14ac:dyDescent="0.2">
      <c r="B29" t="s">
        <v>230</v>
      </c>
      <c r="D29" s="591">
        <f>SUM('5. Vacant Land + Dev Summary'!D29:M29)</f>
        <v>1613.7525999999998</v>
      </c>
      <c r="E29" s="608"/>
    </row>
    <row r="30" spans="2:5" x14ac:dyDescent="0.2">
      <c r="B30" t="s">
        <v>157</v>
      </c>
      <c r="D30" s="591">
        <f>SUM('5. Vacant Land + Dev Summary'!D30:M30)</f>
        <v>408.69909999999999</v>
      </c>
      <c r="E30" s="608"/>
    </row>
    <row r="31" spans="2:5" x14ac:dyDescent="0.2">
      <c r="B31" t="s">
        <v>150</v>
      </c>
      <c r="D31" s="591">
        <f>SUM('5. Vacant Land + Dev Summary'!D31:M31)</f>
        <v>415.14265599999999</v>
      </c>
      <c r="E31" s="608"/>
    </row>
    <row r="32" spans="2:5" x14ac:dyDescent="0.2">
      <c r="B32" t="s">
        <v>151</v>
      </c>
      <c r="D32" s="591">
        <f>SUM('5. Vacant Land + Dev Summary'!D32:M32)</f>
        <v>40.434600000000003</v>
      </c>
      <c r="E32" s="608"/>
    </row>
    <row r="33" spans="2:5" x14ac:dyDescent="0.2">
      <c r="B33" t="s">
        <v>153</v>
      </c>
      <c r="D33" s="591">
        <f>SUM('5. Vacant Land + Dev Summary'!D33:M33)</f>
        <v>1381.3548000000001</v>
      </c>
      <c r="E33" s="608"/>
    </row>
    <row r="34" spans="2:5" x14ac:dyDescent="0.2">
      <c r="B34" t="s">
        <v>159</v>
      </c>
      <c r="D34" s="591">
        <f>SUM('5. Vacant Land + Dev Summary'!D34:M34)</f>
        <v>114.449</v>
      </c>
      <c r="E34" s="608"/>
    </row>
    <row r="35" spans="2:5" x14ac:dyDescent="0.2">
      <c r="B35" t="s">
        <v>154</v>
      </c>
      <c r="D35" s="591">
        <f>SUM('5. Vacant Land + Dev Summary'!D35:M35)</f>
        <v>19.7361</v>
      </c>
      <c r="E35" s="608"/>
    </row>
    <row r="36" spans="2:5" x14ac:dyDescent="0.2">
      <c r="B36" s="870" t="s">
        <v>155</v>
      </c>
      <c r="D36" s="591">
        <f>SUM('5. Vacant Land + Dev Summary'!D36:M36)</f>
        <v>67.5154</v>
      </c>
      <c r="E36" s="608"/>
    </row>
    <row r="37" spans="2:5" x14ac:dyDescent="0.2">
      <c r="B37" s="870" t="s">
        <v>156</v>
      </c>
      <c r="D37" s="591">
        <f>SUM('5. Vacant Land + Dev Summary'!D37:M37)</f>
        <v>11.652799999999999</v>
      </c>
      <c r="E37" s="608"/>
    </row>
    <row r="38" spans="2:5" x14ac:dyDescent="0.2">
      <c r="B38" t="s">
        <v>152</v>
      </c>
      <c r="D38" s="591">
        <f>SUM('5. Vacant Land + Dev Summary'!D38:M38)</f>
        <v>746.6336</v>
      </c>
      <c r="E38" s="608"/>
    </row>
    <row r="39" spans="2:5" x14ac:dyDescent="0.2">
      <c r="B39" t="s">
        <v>133</v>
      </c>
      <c r="D39" s="591">
        <f>SUM('5. Vacant Land + Dev Summary'!D39:M39)</f>
        <v>659.50749999999994</v>
      </c>
      <c r="E39" s="608"/>
    </row>
    <row r="40" spans="2:5" x14ac:dyDescent="0.2">
      <c r="D40" s="583"/>
      <c r="E40" s="608"/>
    </row>
    <row r="41" spans="2:5" x14ac:dyDescent="0.2">
      <c r="D41" s="590"/>
      <c r="E41" s="608"/>
    </row>
    <row r="42" spans="2:5" x14ac:dyDescent="0.2">
      <c r="E42" s="608"/>
    </row>
    <row r="43" spans="2:5" x14ac:dyDescent="0.2">
      <c r="B43" t="s">
        <v>0</v>
      </c>
      <c r="D43" s="601">
        <f t="shared" ref="D43" si="0">SUM(D14:D41)</f>
        <v>17377.241055999999</v>
      </c>
      <c r="E43" s="608"/>
    </row>
    <row r="44" spans="2:5" x14ac:dyDescent="0.2">
      <c r="E44" s="608"/>
    </row>
    <row r="45" spans="2:5" x14ac:dyDescent="0.2">
      <c r="E45" s="608"/>
    </row>
    <row r="46" spans="2:5" x14ac:dyDescent="0.2">
      <c r="C46" s="744"/>
      <c r="D46" s="744"/>
    </row>
  </sheetData>
  <pageMargins left="0.45" right="0.45" top="0.75" bottom="0.75" header="0.3" footer="0.3"/>
  <pageSetup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72"/>
  <sheetViews>
    <sheetView topLeftCell="A242" workbookViewId="0">
      <selection activeCell="A183" sqref="A183"/>
    </sheetView>
  </sheetViews>
  <sheetFormatPr defaultColWidth="8.85546875" defaultRowHeight="12.75" x14ac:dyDescent="0.2"/>
  <cols>
    <col min="1" max="1" width="1.5703125" style="820" customWidth="1"/>
    <col min="2" max="2" width="9.5703125" style="820" customWidth="1"/>
    <col min="3" max="3" width="5.7109375" style="820" bestFit="1" customWidth="1"/>
    <col min="4" max="4" width="9.7109375" style="820" customWidth="1"/>
    <col min="5" max="10" width="10.7109375" style="820" customWidth="1"/>
    <col min="11" max="11" width="9.7109375" style="820" customWidth="1"/>
    <col min="12" max="12" width="9.42578125" style="820" customWidth="1"/>
    <col min="13" max="13" width="2.5703125" style="820" customWidth="1"/>
    <col min="14" max="14" width="5.7109375" style="820" bestFit="1" customWidth="1"/>
    <col min="15" max="16" width="7.7109375" style="820" bestFit="1" customWidth="1"/>
    <col min="17" max="23" width="5.85546875" style="820" bestFit="1" customWidth="1"/>
    <col min="24" max="25" width="7.7109375" style="820" bestFit="1" customWidth="1"/>
    <col min="26" max="26" width="5.85546875" style="820" bestFit="1" customWidth="1"/>
    <col min="27" max="27" width="2.140625" style="820" customWidth="1"/>
    <col min="28" max="28" width="2.7109375" style="820" customWidth="1"/>
    <col min="29" max="16384" width="8.85546875" style="820"/>
  </cols>
  <sheetData>
    <row r="1" spans="1:14" x14ac:dyDescent="0.2">
      <c r="A1" s="819" t="s">
        <v>570</v>
      </c>
      <c r="D1" s="821" t="s">
        <v>438</v>
      </c>
      <c r="I1" s="822" t="s">
        <v>541</v>
      </c>
      <c r="K1" s="991" t="str">
        <f>'1. Storm Drainage Fee Calc Sum'!$J$1</f>
        <v>Internal</v>
      </c>
      <c r="L1" s="992"/>
    </row>
    <row r="2" spans="1:14" x14ac:dyDescent="0.2">
      <c r="K2" s="993"/>
      <c r="L2" s="994"/>
    </row>
    <row r="3" spans="1:14" x14ac:dyDescent="0.2">
      <c r="D3" s="823" t="s">
        <v>203</v>
      </c>
      <c r="E3" s="824" t="s">
        <v>203</v>
      </c>
      <c r="F3" s="825" t="s">
        <v>571</v>
      </c>
      <c r="G3" s="824" t="s">
        <v>203</v>
      </c>
      <c r="H3" s="824" t="s">
        <v>203</v>
      </c>
      <c r="I3" s="824" t="s">
        <v>203</v>
      </c>
      <c r="J3" s="824" t="s">
        <v>203</v>
      </c>
      <c r="K3" s="824" t="s">
        <v>203</v>
      </c>
      <c r="L3" s="826" t="s">
        <v>203</v>
      </c>
      <c r="M3" s="827"/>
    </row>
    <row r="4" spans="1:14" x14ac:dyDescent="0.2">
      <c r="D4" s="828">
        <v>30</v>
      </c>
      <c r="E4" s="829">
        <v>31</v>
      </c>
      <c r="F4" s="830" t="s">
        <v>572</v>
      </c>
      <c r="G4" s="829">
        <v>32</v>
      </c>
      <c r="H4" s="829">
        <v>33</v>
      </c>
      <c r="I4" s="829">
        <v>34</v>
      </c>
      <c r="J4" s="829">
        <v>35</v>
      </c>
      <c r="K4" s="829">
        <v>36</v>
      </c>
      <c r="L4" s="831">
        <v>39</v>
      </c>
      <c r="M4" s="827"/>
    </row>
    <row r="5" spans="1:14" ht="5.25" customHeight="1" x14ac:dyDescent="0.2">
      <c r="N5" s="832"/>
    </row>
    <row r="6" spans="1:14" x14ac:dyDescent="0.2">
      <c r="B6" s="833" t="s">
        <v>129</v>
      </c>
      <c r="D6" s="995" t="s">
        <v>549</v>
      </c>
      <c r="E6" s="996"/>
      <c r="F6" s="996"/>
      <c r="G6" s="996"/>
      <c r="H6" s="996"/>
      <c r="I6" s="996"/>
      <c r="J6" s="996"/>
      <c r="K6" s="996"/>
      <c r="L6" s="997"/>
      <c r="M6" s="834"/>
      <c r="N6" s="832"/>
    </row>
    <row r="7" spans="1:14" ht="5.25" customHeight="1" x14ac:dyDescent="0.2">
      <c r="N7" s="832"/>
    </row>
    <row r="8" spans="1:14" x14ac:dyDescent="0.2">
      <c r="B8" s="820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2"/>
    </row>
    <row r="9" spans="1:14" x14ac:dyDescent="0.2">
      <c r="B9" s="820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2"/>
    </row>
    <row r="10" spans="1:14" x14ac:dyDescent="0.2">
      <c r="B10" s="820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2"/>
    </row>
    <row r="11" spans="1:14" x14ac:dyDescent="0.2">
      <c r="B11" s="820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2"/>
    </row>
    <row r="12" spans="1:14" x14ac:dyDescent="0.2">
      <c r="B12" s="820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2"/>
    </row>
    <row r="13" spans="1:14" x14ac:dyDescent="0.2">
      <c r="B13" s="820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2"/>
    </row>
    <row r="14" spans="1:14" x14ac:dyDescent="0.2">
      <c r="B14" s="820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2"/>
    </row>
    <row r="15" spans="1:14" x14ac:dyDescent="0.2">
      <c r="B15" s="820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2"/>
    </row>
    <row r="16" spans="1:14" x14ac:dyDescent="0.2">
      <c r="B16" s="820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2"/>
    </row>
    <row r="17" spans="2:14" x14ac:dyDescent="0.2">
      <c r="B17" s="820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2"/>
    </row>
    <row r="18" spans="2:14" x14ac:dyDescent="0.2">
      <c r="B18" s="820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2"/>
    </row>
    <row r="19" spans="2:14" x14ac:dyDescent="0.2">
      <c r="B19" s="820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2"/>
    </row>
    <row r="20" spans="2:14" x14ac:dyDescent="0.2">
      <c r="B20" s="820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2"/>
    </row>
    <row r="21" spans="2:14" x14ac:dyDescent="0.2">
      <c r="B21" s="820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2"/>
    </row>
    <row r="22" spans="2:14" x14ac:dyDescent="0.2">
      <c r="B22" s="820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2"/>
    </row>
    <row r="23" spans="2:14" x14ac:dyDescent="0.2">
      <c r="B23" s="820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2"/>
    </row>
    <row r="24" spans="2:14" x14ac:dyDescent="0.2">
      <c r="B24" s="820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2"/>
    </row>
    <row r="25" spans="2:14" x14ac:dyDescent="0.2">
      <c r="B25" s="820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2"/>
    </row>
    <row r="26" spans="2:14" x14ac:dyDescent="0.2">
      <c r="B26" s="820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2"/>
    </row>
    <row r="27" spans="2:14" x14ac:dyDescent="0.2">
      <c r="B27" s="820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2"/>
    </row>
    <row r="28" spans="2:14" x14ac:dyDescent="0.2">
      <c r="B28" s="820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2"/>
    </row>
    <row r="29" spans="2:14" x14ac:dyDescent="0.2">
      <c r="B29" s="820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2"/>
    </row>
    <row r="30" spans="2:14" x14ac:dyDescent="0.2">
      <c r="B30" s="820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2"/>
    </row>
    <row r="31" spans="2:14" x14ac:dyDescent="0.2">
      <c r="B31" s="820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2"/>
    </row>
    <row r="32" spans="2:14" x14ac:dyDescent="0.2">
      <c r="B32" s="820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2"/>
    </row>
    <row r="33" spans="2:26" x14ac:dyDescent="0.2">
      <c r="B33" s="820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2"/>
    </row>
    <row r="34" spans="2:26" ht="5.25" customHeight="1" x14ac:dyDescent="0.2">
      <c r="D34" s="835"/>
      <c r="E34" s="835"/>
      <c r="F34" s="835"/>
      <c r="G34" s="835"/>
      <c r="H34" s="835"/>
      <c r="I34" s="835"/>
      <c r="J34" s="835"/>
      <c r="K34" s="835"/>
      <c r="L34" s="835"/>
      <c r="M34" s="836"/>
      <c r="N34" s="832"/>
    </row>
    <row r="35" spans="2:26" hidden="1" x14ac:dyDescent="0.2">
      <c r="N35" s="832"/>
    </row>
    <row r="36" spans="2:26" x14ac:dyDescent="0.2">
      <c r="B36" s="820" t="s">
        <v>0</v>
      </c>
      <c r="D36" s="837">
        <f t="shared" ref="D36:L36" si="1">SUM(D8:D34)</f>
        <v>5161.1941999999999</v>
      </c>
      <c r="E36" s="837">
        <f t="shared" si="1"/>
        <v>2187.6359000000002</v>
      </c>
      <c r="F36" s="837">
        <f t="shared" si="1"/>
        <v>3285.2278999999999</v>
      </c>
      <c r="G36" s="837">
        <f t="shared" si="1"/>
        <v>1097.5920000000001</v>
      </c>
      <c r="H36" s="837">
        <f t="shared" si="1"/>
        <v>253.02780000000004</v>
      </c>
      <c r="I36" s="837">
        <f t="shared" si="1"/>
        <v>351.22140000000002</v>
      </c>
      <c r="J36" s="837">
        <f t="shared" si="1"/>
        <v>431.279</v>
      </c>
      <c r="K36" s="837">
        <f t="shared" si="1"/>
        <v>5724.6829500000003</v>
      </c>
      <c r="L36" s="837">
        <f t="shared" si="1"/>
        <v>2170.607806</v>
      </c>
      <c r="M36" s="837"/>
      <c r="N36" s="832"/>
    </row>
    <row r="37" spans="2:26" x14ac:dyDescent="0.2">
      <c r="N37" s="832"/>
      <c r="Q37" s="820" t="s">
        <v>203</v>
      </c>
      <c r="R37" s="820" t="s">
        <v>203</v>
      </c>
      <c r="S37" s="820" t="s">
        <v>203</v>
      </c>
      <c r="T37" s="820" t="s">
        <v>203</v>
      </c>
      <c r="U37" s="820" t="s">
        <v>203</v>
      </c>
      <c r="V37" s="820" t="s">
        <v>203</v>
      </c>
      <c r="W37" s="820" t="s">
        <v>203</v>
      </c>
      <c r="X37" s="820" t="s">
        <v>203</v>
      </c>
      <c r="Y37" s="820" t="s">
        <v>203</v>
      </c>
      <c r="Z37" s="820" t="s">
        <v>203</v>
      </c>
    </row>
    <row r="38" spans="2:26" hidden="1" x14ac:dyDescent="0.2">
      <c r="D38" s="837">
        <f>+D36+E36+G36+H36+I36+J36+K36+L36</f>
        <v>17377.241055999999</v>
      </c>
      <c r="N38" s="832"/>
      <c r="Q38" s="820">
        <v>30</v>
      </c>
      <c r="R38" s="820">
        <v>31</v>
      </c>
      <c r="S38" s="820">
        <v>32</v>
      </c>
      <c r="T38" s="820">
        <v>33</v>
      </c>
      <c r="U38" s="820">
        <v>34</v>
      </c>
      <c r="V38" s="820">
        <v>35</v>
      </c>
      <c r="W38" s="820">
        <v>36</v>
      </c>
      <c r="X38" s="820">
        <v>37</v>
      </c>
      <c r="Y38" s="820">
        <v>38</v>
      </c>
      <c r="Z38" s="820">
        <v>39</v>
      </c>
    </row>
    <row r="39" spans="2:26" hidden="1" x14ac:dyDescent="0.2">
      <c r="N39" s="832"/>
    </row>
    <row r="40" spans="2:26" hidden="1" x14ac:dyDescent="0.2">
      <c r="D40" s="823" t="s">
        <v>203</v>
      </c>
      <c r="E40" s="824" t="s">
        <v>203</v>
      </c>
      <c r="F40" s="824"/>
      <c r="G40" s="824" t="s">
        <v>203</v>
      </c>
      <c r="H40" s="824" t="s">
        <v>203</v>
      </c>
      <c r="I40" s="824" t="s">
        <v>203</v>
      </c>
      <c r="J40" s="824" t="s">
        <v>203</v>
      </c>
      <c r="K40" s="824" t="s">
        <v>203</v>
      </c>
      <c r="L40" s="826" t="s">
        <v>203</v>
      </c>
      <c r="N40" s="832"/>
    </row>
    <row r="41" spans="2:26" hidden="1" x14ac:dyDescent="0.2">
      <c r="D41" s="828">
        <v>30</v>
      </c>
      <c r="E41" s="829">
        <v>31</v>
      </c>
      <c r="F41" s="829"/>
      <c r="G41" s="829">
        <v>32</v>
      </c>
      <c r="H41" s="829">
        <v>33</v>
      </c>
      <c r="I41" s="829">
        <v>34</v>
      </c>
      <c r="J41" s="829">
        <v>35</v>
      </c>
      <c r="K41" s="829">
        <v>36</v>
      </c>
      <c r="L41" s="831">
        <v>39</v>
      </c>
      <c r="N41" s="832"/>
    </row>
    <row r="42" spans="2:26" hidden="1" x14ac:dyDescent="0.2">
      <c r="N42" s="832"/>
    </row>
    <row r="43" spans="2:26" x14ac:dyDescent="0.2">
      <c r="B43" s="833" t="s">
        <v>129</v>
      </c>
      <c r="D43" s="995" t="s">
        <v>380</v>
      </c>
      <c r="E43" s="996"/>
      <c r="F43" s="996"/>
      <c r="G43" s="996"/>
      <c r="H43" s="996"/>
      <c r="I43" s="996"/>
      <c r="J43" s="996"/>
      <c r="K43" s="996"/>
      <c r="L43" s="997"/>
      <c r="N43" s="832"/>
      <c r="Q43" s="820">
        <v>30</v>
      </c>
      <c r="R43" s="820">
        <v>31</v>
      </c>
      <c r="S43" s="820">
        <v>32</v>
      </c>
      <c r="T43" s="820">
        <v>33</v>
      </c>
      <c r="U43" s="820">
        <v>34</v>
      </c>
      <c r="V43" s="820">
        <v>35</v>
      </c>
      <c r="W43" s="820">
        <v>36</v>
      </c>
      <c r="X43" s="820">
        <v>37</v>
      </c>
      <c r="Y43" s="820">
        <v>38</v>
      </c>
      <c r="Z43" s="820">
        <v>39</v>
      </c>
    </row>
    <row r="44" spans="2:26" x14ac:dyDescent="0.2">
      <c r="N44" s="832"/>
    </row>
    <row r="45" spans="2:26" x14ac:dyDescent="0.2">
      <c r="B45" s="820" t="s">
        <v>229</v>
      </c>
      <c r="D45" s="858">
        <v>0.1</v>
      </c>
      <c r="E45" s="858">
        <v>0.1</v>
      </c>
      <c r="F45" s="858"/>
      <c r="G45" s="859">
        <f>IF(ISNA(VLOOKUP($B8,'PFF-Zones (Combined)'!$B$34:$W$47,21,FALSE)),0,VLOOKUP($B8,'PFF-Zones (Combined)'!$B$34:$W$47,21,FALSE))</f>
        <v>0</v>
      </c>
      <c r="H45" s="859">
        <f>IF(ISNA(VLOOKUP($B8,'PFF-Zones (Combined)'!$B$50:$W$56,21,FALSE)),0,VLOOKUP($B8,'PFF-Zones (Combined)'!$B$50:$W$56,21,FALSE))</f>
        <v>0</v>
      </c>
      <c r="I45" s="859">
        <f>IF(ISNA(VLOOKUP($B8,'PFF-Zones (Combined)'!$B$61:$W$71,21,FALSE)),0,VLOOKUP($B8,'PFF-Zones (Combined)'!$B$61:$W$71,21,FALSE))</f>
        <v>0</v>
      </c>
      <c r="J45" s="859">
        <f>IF(ISNA(VLOOKUP($B8,'PFF-Zones (Combined)'!$B$75:$W$81,21,FALSE)),0,VLOOKUP($B8,'PFF-Zones (Combined)'!$B$75:$W$81,21,FALSE))</f>
        <v>0</v>
      </c>
      <c r="K45" s="858">
        <v>0.1</v>
      </c>
      <c r="L45" s="858">
        <v>0.1</v>
      </c>
      <c r="N45" s="832"/>
      <c r="O45" t="s">
        <v>229</v>
      </c>
      <c r="P45" s="820" t="str">
        <f>IF(EXACT(O45,B45),"ok","help")</f>
        <v>ok</v>
      </c>
      <c r="Q45" s="860">
        <v>0.42499999999999999</v>
      </c>
      <c r="R45" s="860">
        <v>0.42499999999999999</v>
      </c>
      <c r="S45" s="860">
        <v>0</v>
      </c>
      <c r="T45" s="860">
        <v>0</v>
      </c>
      <c r="U45" s="860">
        <v>0</v>
      </c>
      <c r="V45" s="860">
        <v>0</v>
      </c>
      <c r="W45" s="860">
        <v>0.42499999999999999</v>
      </c>
      <c r="X45" s="860"/>
      <c r="Y45" s="860"/>
      <c r="Z45" s="860">
        <v>0.42499999999999999</v>
      </c>
    </row>
    <row r="46" spans="2:26" x14ac:dyDescent="0.2">
      <c r="B46" s="820" t="s">
        <v>149</v>
      </c>
      <c r="D46" s="614">
        <f>IF(ISNA(VLOOKUP($B9,'PFF-Zones (Combined)'!$B$3:$W$11,21,FALSE)),0,VLOOKUP($B9,'PFF-Zones (Combined)'!$B$3:$W$11,21,FALSE))</f>
        <v>0</v>
      </c>
      <c r="E46" s="614">
        <f>IF(ISNA(VLOOKUP($B9,'PFF-Zones (Combined)'!$B$15:$W$31,21,FALSE)),0,VLOOKUP($B9,'PFF-Zones (Combined)'!$B$15:$W$31,21,FALSE))</f>
        <v>0</v>
      </c>
      <c r="F46" s="614"/>
      <c r="G46" s="614">
        <f>IF(ISNA(VLOOKUP($B9,'PFF-Zones (Combined)'!$B$34:$W$47,21,FALSE)),0,VLOOKUP($B9,'PFF-Zones (Combined)'!$B$34:$W$47,21,FALSE))</f>
        <v>0</v>
      </c>
      <c r="H46" s="614">
        <f>IF(ISNA(VLOOKUP($B9,'PFF-Zones (Combined)'!$B$50:$W$56,21,FALSE)),0,VLOOKUP($B9,'PFF-Zones (Combined)'!$B$50:$W$56,21,FALSE))</f>
        <v>0</v>
      </c>
      <c r="I46" s="614">
        <f>IF(ISNA(VLOOKUP($B9,'PFF-Zones (Combined)'!$B$61:$W$71,21,FALSE)),0,VLOOKUP($B9,'PFF-Zones (Combined)'!$B$61:$W$71,21,FALSE))</f>
        <v>0</v>
      </c>
      <c r="J46" s="614">
        <f>IF(ISNA(VLOOKUP($B9,'PFF-Zones (Combined)'!$B$75:$W$81,21,FALSE)),0,VLOOKUP($B9,'PFF-Zones (Combined)'!$B$75:$W$81,21,FALSE))</f>
        <v>0</v>
      </c>
      <c r="K46" s="614">
        <f>IF(ISNA(VLOOKUP($B9,'PFF-Zones (Combined)'!$B$87:$W$105,21,FALSE)),0,VLOOKUP($B9,'PFF-Zones (Combined)'!$B$87:$W$105,21,FALSE))</f>
        <v>0</v>
      </c>
      <c r="L46" s="602">
        <f>IF(ISNA(VLOOKUP($B9,'PFF-Zones (Combined)'!$B$109:$W$120,21,FALSE)),0,VLOOKUP($B9,'PFF-Zones (Combined)'!$B$109:$W$120,21,FALSE))</f>
        <v>0.85</v>
      </c>
      <c r="N46" s="832"/>
      <c r="O46" t="s">
        <v>149</v>
      </c>
      <c r="P46" s="820" t="str">
        <f t="shared" ref="P46:P70" si="2">IF(EXACT(O46,B46),"ok","help")</f>
        <v>ok</v>
      </c>
      <c r="Q46" s="860">
        <v>0</v>
      </c>
      <c r="R46" s="860">
        <v>0</v>
      </c>
      <c r="S46" s="860">
        <v>0</v>
      </c>
      <c r="T46" s="860">
        <v>0</v>
      </c>
      <c r="U46" s="860">
        <v>0</v>
      </c>
      <c r="V46" s="860">
        <v>0</v>
      </c>
      <c r="W46" s="860">
        <v>0</v>
      </c>
      <c r="X46" s="860"/>
      <c r="Y46" s="860"/>
      <c r="Z46" s="860">
        <v>0.85</v>
      </c>
    </row>
    <row r="47" spans="2:26" x14ac:dyDescent="0.2">
      <c r="B47" s="820" t="s">
        <v>144</v>
      </c>
      <c r="D47" s="614">
        <f>IF(ISNA(VLOOKUP($B10,'PFF-Zones (Combined)'!$B$3:$W$11,21,FALSE)),0,VLOOKUP($B10,'PFF-Zones (Combined)'!$B$3:$W$11,21,FALSE))</f>
        <v>0</v>
      </c>
      <c r="E47" s="614">
        <f>IF(ISNA(VLOOKUP($B10,'PFF-Zones (Combined)'!$B$15:$W$31,21,FALSE)),0,VLOOKUP($B10,'PFF-Zones (Combined)'!$B$15:$W$31,21,FALSE))</f>
        <v>0</v>
      </c>
      <c r="F47" s="614"/>
      <c r="G47" s="614">
        <f>IF(ISNA(VLOOKUP($B10,'PFF-Zones (Combined)'!$B$34:$W$47,21,FALSE)),0,VLOOKUP($B10,'PFF-Zones (Combined)'!$B$34:$W$47,21,FALSE))</f>
        <v>0</v>
      </c>
      <c r="H47" s="614">
        <f>IF(ISNA(VLOOKUP($B10,'PFF-Zones (Combined)'!$B$50:$W$56,21,FALSE)),0,VLOOKUP($B10,'PFF-Zones (Combined)'!$B$50:$W$56,21,FALSE))</f>
        <v>0</v>
      </c>
      <c r="I47" s="602">
        <f>IF(ISNA(VLOOKUP($B10,'PFF-Zones (Combined)'!$B$61:$W$71,21,FALSE)),0,VLOOKUP($B10,'PFF-Zones (Combined)'!$B$61:$W$71,21,FALSE))</f>
        <v>0.85</v>
      </c>
      <c r="J47" s="614">
        <f>IF(ISNA(VLOOKUP($B10,'PFF-Zones (Combined)'!$B$75:$W$81,21,FALSE)),0,VLOOKUP($B10,'PFF-Zones (Combined)'!$B$75:$W$81,21,FALSE))</f>
        <v>0</v>
      </c>
      <c r="K47" s="614">
        <f>IF(ISNA(VLOOKUP($B10,'PFF-Zones (Combined)'!$B$87:$W$105,21,FALSE)),0,VLOOKUP($B10,'PFF-Zones (Combined)'!$B$87:$W$105,21,FALSE))</f>
        <v>0</v>
      </c>
      <c r="L47" s="614">
        <f>IF(ISNA(VLOOKUP($B10,'PFF-Zones (Combined)'!$B$109:$W$120,21,FALSE)),0,VLOOKUP($B10,'PFF-Zones (Combined)'!$B$109:$W$120,21,FALSE))</f>
        <v>0</v>
      </c>
      <c r="N47" s="832"/>
      <c r="O47" t="s">
        <v>144</v>
      </c>
      <c r="P47" s="820" t="str">
        <f t="shared" si="2"/>
        <v>ok</v>
      </c>
      <c r="Q47" s="860">
        <v>0</v>
      </c>
      <c r="R47" s="860">
        <v>0</v>
      </c>
      <c r="S47" s="860">
        <v>0</v>
      </c>
      <c r="T47" s="860">
        <v>0</v>
      </c>
      <c r="U47" s="860">
        <v>0.85</v>
      </c>
      <c r="V47" s="860">
        <v>0</v>
      </c>
      <c r="W47" s="860">
        <v>0</v>
      </c>
      <c r="X47" s="860"/>
      <c r="Y47" s="860"/>
      <c r="Z47" s="860">
        <v>0</v>
      </c>
    </row>
    <row r="48" spans="2:26" x14ac:dyDescent="0.2">
      <c r="B48" s="820" t="s">
        <v>142</v>
      </c>
      <c r="D48" s="614">
        <f>IF(ISNA(VLOOKUP($B11,'PFF-Zones (Combined)'!$B$3:$W$11,21,FALSE)),0,VLOOKUP($B11,'PFF-Zones (Combined)'!$B$3:$W$11,21,FALSE))</f>
        <v>0</v>
      </c>
      <c r="E48" s="602">
        <f>IF(ISNA(VLOOKUP($B11,'PFF-Zones (Combined)'!$B$15:$W$31,21,FALSE)),0,VLOOKUP($B11,'PFF-Zones (Combined)'!$B$15:$W$31,21,FALSE))</f>
        <v>0.85</v>
      </c>
      <c r="F48" s="602"/>
      <c r="G48" s="602">
        <f>IF(ISNA(VLOOKUP($B11,'PFF-Zones (Combined)'!$B$34:$W$47,21,FALSE)),0,VLOOKUP($B11,'PFF-Zones (Combined)'!$B$34:$W$47,21,FALSE))</f>
        <v>0.85</v>
      </c>
      <c r="H48" s="602">
        <f>IF(ISNA(VLOOKUP($B11,'PFF-Zones (Combined)'!$B$50:$W$56,21,FALSE)),0,VLOOKUP($B11,'PFF-Zones (Combined)'!$B$50:$W$56,21,FALSE))</f>
        <v>0.85</v>
      </c>
      <c r="I48" s="602">
        <f>IF(ISNA(VLOOKUP($B11,'PFF-Zones (Combined)'!$B$61:$W$71,21,FALSE)),0,VLOOKUP($B11,'PFF-Zones (Combined)'!$B$61:$W$71,21,FALSE))</f>
        <v>0.85</v>
      </c>
      <c r="J48" s="602">
        <f>IF(ISNA(VLOOKUP($B11,'PFF-Zones (Combined)'!$B$75:$W$81,21,FALSE)),0,VLOOKUP($B11,'PFF-Zones (Combined)'!$B$75:$W$81,21,FALSE))</f>
        <v>0.85</v>
      </c>
      <c r="K48" s="602">
        <f>IF(ISNA(VLOOKUP($B11,'PFF-Zones (Combined)'!$B$87:$W$105,21,FALSE)),0,VLOOKUP($B11,'PFF-Zones (Combined)'!$B$87:$W$105,21,FALSE))</f>
        <v>0.85</v>
      </c>
      <c r="L48" s="602">
        <f>IF(ISNA(VLOOKUP($B11,'PFF-Zones (Combined)'!$B$109:$W$120,21,FALSE)),0,VLOOKUP($B11,'PFF-Zones (Combined)'!$B$109:$W$120,21,FALSE))</f>
        <v>0.85</v>
      </c>
      <c r="N48" s="832"/>
      <c r="O48" t="s">
        <v>142</v>
      </c>
      <c r="P48" s="820" t="str">
        <f t="shared" si="2"/>
        <v>ok</v>
      </c>
      <c r="Q48" s="860">
        <v>0</v>
      </c>
      <c r="R48" s="860">
        <v>0.85</v>
      </c>
      <c r="S48" s="860">
        <v>0.85</v>
      </c>
      <c r="T48" s="860">
        <v>0.85</v>
      </c>
      <c r="U48" s="860">
        <v>0.85</v>
      </c>
      <c r="V48" s="860">
        <v>0.85</v>
      </c>
      <c r="W48" s="860">
        <v>0.85</v>
      </c>
      <c r="X48" s="860"/>
      <c r="Y48" s="860"/>
      <c r="Z48" s="860">
        <v>0.85</v>
      </c>
    </row>
    <row r="49" spans="2:26" x14ac:dyDescent="0.2">
      <c r="B49" s="820" t="s">
        <v>143</v>
      </c>
      <c r="D49" s="614">
        <f>IF(ISNA(VLOOKUP($B12,'PFF-Zones (Combined)'!$B$3:$W$11,21,FALSE)),0,VLOOKUP($B12,'PFF-Zones (Combined)'!$B$3:$W$11,21,FALSE))</f>
        <v>0</v>
      </c>
      <c r="E49" s="602">
        <f>IF(ISNA(VLOOKUP($B12,'PFF-Zones (Combined)'!$B$15:$W$31,21,FALSE)),0,VLOOKUP($B12,'PFF-Zones (Combined)'!$B$15:$W$31,21,FALSE))</f>
        <v>0.85</v>
      </c>
      <c r="F49" s="602"/>
      <c r="G49" s="602">
        <f>IF(ISNA(VLOOKUP($B12,'PFF-Zones (Combined)'!$B$34:$W$47,21,FALSE)),0,VLOOKUP($B12,'PFF-Zones (Combined)'!$B$34:$W$47,21,FALSE))</f>
        <v>0.85</v>
      </c>
      <c r="H49" s="602">
        <f>IF(ISNA(VLOOKUP($B12,'PFF-Zones (Combined)'!$B$50:$W$56,21,FALSE)),0,VLOOKUP($B12,'PFF-Zones (Combined)'!$B$50:$W$56,21,FALSE))</f>
        <v>0.85</v>
      </c>
      <c r="I49" s="602">
        <f>IF(ISNA(VLOOKUP($B12,'PFF-Zones (Combined)'!$B$61:$W$71,21,FALSE)),0,VLOOKUP($B12,'PFF-Zones (Combined)'!$B$61:$W$71,21,FALSE))</f>
        <v>0.85</v>
      </c>
      <c r="J49" s="602">
        <f>IF(ISNA(VLOOKUP($B12,'PFF-Zones (Combined)'!$B$75:$W$81,21,FALSE)),0,VLOOKUP($B12,'PFF-Zones (Combined)'!$B$75:$W$81,21,FALSE))</f>
        <v>0.85</v>
      </c>
      <c r="K49" s="602">
        <f>IF(ISNA(VLOOKUP($B12,'PFF-Zones (Combined)'!$B$87:$W$105,21,FALSE)),0,VLOOKUP($B12,'PFF-Zones (Combined)'!$B$87:$W$105,21,FALSE))</f>
        <v>0.85</v>
      </c>
      <c r="L49" s="602">
        <f>IF(ISNA(VLOOKUP($B12,'PFF-Zones (Combined)'!$B$109:$W$120,21,FALSE)),0,VLOOKUP($B12,'PFF-Zones (Combined)'!$B$109:$W$120,21,FALSE))</f>
        <v>0.85</v>
      </c>
      <c r="N49" s="832"/>
      <c r="O49" t="s">
        <v>143</v>
      </c>
      <c r="P49" s="820" t="str">
        <f t="shared" si="2"/>
        <v>ok</v>
      </c>
      <c r="Q49" s="860">
        <v>0</v>
      </c>
      <c r="R49" s="860">
        <v>0.85</v>
      </c>
      <c r="S49" s="860">
        <v>0.85</v>
      </c>
      <c r="T49" s="860">
        <v>0.85</v>
      </c>
      <c r="U49" s="860">
        <v>0.85</v>
      </c>
      <c r="V49" s="860">
        <v>0.85</v>
      </c>
      <c r="W49" s="860">
        <v>0.85</v>
      </c>
      <c r="X49" s="860"/>
      <c r="Y49" s="860"/>
      <c r="Z49" s="860">
        <v>0.85</v>
      </c>
    </row>
    <row r="50" spans="2:26" x14ac:dyDescent="0.2">
      <c r="B50" s="820" t="s">
        <v>139</v>
      </c>
      <c r="D50" s="614">
        <f>IF(ISNA(VLOOKUP($B13,'PFF-Zones (Combined)'!$B$3:$W$11,21,FALSE)),0,VLOOKUP($B13,'PFF-Zones (Combined)'!$B$3:$W$11,21,FALSE))</f>
        <v>0</v>
      </c>
      <c r="E50" s="614">
        <f>IF(ISNA(VLOOKUP($B13,'PFF-Zones (Combined)'!$B$15:$W$31,21,FALSE)),0,VLOOKUP($B13,'PFF-Zones (Combined)'!$B$15:$W$31,21,FALSE))</f>
        <v>0</v>
      </c>
      <c r="F50" s="614"/>
      <c r="G50" s="602">
        <f>IF(ISNA(VLOOKUP($B13,'PFF-Zones (Combined)'!$B$34:$W$47,21,FALSE)),0,VLOOKUP($B13,'PFF-Zones (Combined)'!$B$34:$W$47,21,FALSE))</f>
        <v>0.85</v>
      </c>
      <c r="H50" s="614">
        <f>IF(ISNA(VLOOKUP($B13,'PFF-Zones (Combined)'!$B$50:$W$56,21,FALSE)),0,VLOOKUP($B13,'PFF-Zones (Combined)'!$B$50:$W$56,21,FALSE))</f>
        <v>0</v>
      </c>
      <c r="I50" s="602">
        <f>IF(ISNA(VLOOKUP($B13,'PFF-Zones (Combined)'!$B$61:$W$71,21,FALSE)),0,VLOOKUP($B13,'PFF-Zones (Combined)'!$B$61:$W$71,21,FALSE))</f>
        <v>0.85</v>
      </c>
      <c r="J50" s="614">
        <f>IF(ISNA(VLOOKUP($B13,'PFF-Zones (Combined)'!$B$75:$W$81,21,FALSE)),0,VLOOKUP($B13,'PFF-Zones (Combined)'!$B$75:$W$81,21,FALSE))</f>
        <v>0</v>
      </c>
      <c r="K50" s="602">
        <f>IF(ISNA(VLOOKUP($B13,'PFF-Zones (Combined)'!$B$87:$W$105,21,FALSE)),0,VLOOKUP($B13,'PFF-Zones (Combined)'!$B$87:$W$105,21,FALSE))</f>
        <v>0.85</v>
      </c>
      <c r="L50" s="602">
        <f>IF(ISNA(VLOOKUP($B13,'PFF-Zones (Combined)'!$B$109:$W$120,21,FALSE)),0,VLOOKUP($B13,'PFF-Zones (Combined)'!$B$109:$W$120,21,FALSE))</f>
        <v>0.85</v>
      </c>
      <c r="N50" s="832"/>
      <c r="O50" t="s">
        <v>139</v>
      </c>
      <c r="P50" s="820" t="str">
        <f t="shared" si="2"/>
        <v>ok</v>
      </c>
      <c r="Q50" s="860">
        <v>0</v>
      </c>
      <c r="R50" s="860">
        <v>0</v>
      </c>
      <c r="S50" s="860">
        <v>0.85</v>
      </c>
      <c r="T50" s="860">
        <v>0</v>
      </c>
      <c r="U50" s="860">
        <v>0.85</v>
      </c>
      <c r="V50" s="860">
        <v>0</v>
      </c>
      <c r="W50" s="860">
        <v>0.85</v>
      </c>
      <c r="X50" s="860"/>
      <c r="Y50" s="860"/>
      <c r="Z50" s="860">
        <v>0.85</v>
      </c>
    </row>
    <row r="51" spans="2:26" x14ac:dyDescent="0.2">
      <c r="B51" s="820" t="s">
        <v>146</v>
      </c>
      <c r="D51" s="602">
        <f>IF(ISNA(VLOOKUP($B14,'PFF-Zones (Combined)'!$B$3:$W$11,21,FALSE)),0,VLOOKUP($B14,'PFF-Zones (Combined)'!$B$3:$W$11,21,FALSE))</f>
        <v>0.85</v>
      </c>
      <c r="E51" s="614">
        <f>IF(ISNA(VLOOKUP($B14,'PFF-Zones (Combined)'!$B$15:$W$31,21,FALSE)),0,VLOOKUP($B14,'PFF-Zones (Combined)'!$B$15:$W$31,21,FALSE))</f>
        <v>0</v>
      </c>
      <c r="F51" s="614"/>
      <c r="G51" s="614">
        <f>IF(ISNA(VLOOKUP($B14,'PFF-Zones (Combined)'!$B$34:$W$47,21,FALSE)),0,VLOOKUP($B14,'PFF-Zones (Combined)'!$B$34:$W$47,21,FALSE))</f>
        <v>0</v>
      </c>
      <c r="H51" s="602">
        <f>IF(ISNA(VLOOKUP($B14,'PFF-Zones (Combined)'!$B$50:$W$56,21,FALSE)),0,VLOOKUP($B14,'PFF-Zones (Combined)'!$B$50:$W$56,21,FALSE))</f>
        <v>0.85</v>
      </c>
      <c r="I51" s="602">
        <f>IF(ISNA(VLOOKUP($B14,'PFF-Zones (Combined)'!$B$61:$W$71,21,FALSE)),0,VLOOKUP($B14,'PFF-Zones (Combined)'!$B$61:$W$71,21,FALSE))</f>
        <v>0.85</v>
      </c>
      <c r="J51" s="602">
        <f>IF(ISNA(VLOOKUP($B14,'PFF-Zones (Combined)'!$B$75:$W$81,21,FALSE)),0,VLOOKUP($B14,'PFF-Zones (Combined)'!$B$75:$W$81,21,FALSE))</f>
        <v>0.85</v>
      </c>
      <c r="K51" s="602">
        <v>1</v>
      </c>
      <c r="L51" s="614">
        <f>IF(ISNA(VLOOKUP($B14,'PFF-Zones (Combined)'!$B$109:$W$120,21,FALSE)),0,VLOOKUP($B14,'PFF-Zones (Combined)'!$B$109:$W$120,21,FALSE))</f>
        <v>0</v>
      </c>
      <c r="N51" s="832"/>
      <c r="O51" t="s">
        <v>146</v>
      </c>
      <c r="P51" s="820" t="str">
        <f t="shared" si="2"/>
        <v>ok</v>
      </c>
      <c r="Q51" s="860">
        <v>0.85</v>
      </c>
      <c r="R51" s="860">
        <v>0</v>
      </c>
      <c r="S51" s="860">
        <v>0</v>
      </c>
      <c r="T51" s="860">
        <v>0.85</v>
      </c>
      <c r="U51" s="860">
        <v>0.85</v>
      </c>
      <c r="V51" s="860">
        <v>0.85</v>
      </c>
      <c r="W51" s="860">
        <v>0.85</v>
      </c>
      <c r="X51" s="860"/>
      <c r="Y51" s="860"/>
      <c r="Z51" s="860">
        <v>0</v>
      </c>
    </row>
    <row r="52" spans="2:26" x14ac:dyDescent="0.2">
      <c r="B52" s="820" t="s">
        <v>135</v>
      </c>
      <c r="D52" s="602">
        <f>IF(ISNA(VLOOKUP($B15,'PFF-Zones (Combined)'!$B$3:$W$11,21,FALSE)),0,VLOOKUP($B15,'PFF-Zones (Combined)'!$B$3:$W$11,21,FALSE))</f>
        <v>0.85</v>
      </c>
      <c r="E52" s="592">
        <f>IF(ISNA(VLOOKUP($B15,'PFF-Zones (Combined)'!$B$15:$W$31,21,FALSE)),0,VLOOKUP($B15,'PFF-Zones (Combined)'!$B$15:$W$31,21,FALSE))</f>
        <v>0.85</v>
      </c>
      <c r="F52" s="592"/>
      <c r="G52" s="602">
        <f>IF(ISNA(VLOOKUP($B15,'PFF-Zones (Combined)'!$B$34:$W$47,21,FALSE)),0,VLOOKUP($B15,'PFF-Zones (Combined)'!$B$34:$W$47,21,FALSE))</f>
        <v>0.85</v>
      </c>
      <c r="H52" s="602">
        <f>IF(ISNA(VLOOKUP($B15,'PFF-Zones (Combined)'!$B$50:$W$56,21,FALSE)),0,VLOOKUP($B15,'PFF-Zones (Combined)'!$B$50:$W$56,21,FALSE))</f>
        <v>0.85</v>
      </c>
      <c r="I52" s="602">
        <f>IF(ISNA(VLOOKUP($B15,'PFF-Zones (Combined)'!$B$61:$W$71,21,FALSE)),0,VLOOKUP($B15,'PFF-Zones (Combined)'!$B$61:$W$71,21,FALSE))</f>
        <v>0.85</v>
      </c>
      <c r="J52" s="602">
        <f>IF(ISNA(VLOOKUP($B15,'PFF-Zones (Combined)'!$B$75:$W$81,21,FALSE)),0,VLOOKUP($B15,'PFF-Zones (Combined)'!$B$75:$W$81,21,FALSE))</f>
        <v>0.85</v>
      </c>
      <c r="K52" s="602">
        <f>IF(ISNA(VLOOKUP($B15,'PFF-Zones (Combined)'!$B$87:$W$105,21,FALSE)),0,VLOOKUP($B15,'PFF-Zones (Combined)'!$B$87:$W$105,21,FALSE))</f>
        <v>0.85</v>
      </c>
      <c r="L52" s="602">
        <f>IF(ISNA(VLOOKUP($B15,'PFF-Zones (Combined)'!$B$109:$W$120,21,FALSE)),0,VLOOKUP($B15,'PFF-Zones (Combined)'!$B$109:$W$120,21,FALSE))</f>
        <v>0.85</v>
      </c>
      <c r="N52" s="832"/>
      <c r="O52" t="s">
        <v>135</v>
      </c>
      <c r="P52" s="820" t="str">
        <f t="shared" si="2"/>
        <v>ok</v>
      </c>
      <c r="Q52" s="860">
        <v>0.85</v>
      </c>
      <c r="R52" s="860">
        <v>0.85</v>
      </c>
      <c r="S52" s="860">
        <v>0.85</v>
      </c>
      <c r="T52" s="860">
        <v>0.85</v>
      </c>
      <c r="U52" s="860">
        <v>0.85</v>
      </c>
      <c r="V52" s="860">
        <v>0.85</v>
      </c>
      <c r="W52" s="860">
        <v>0.85</v>
      </c>
      <c r="X52" s="860"/>
      <c r="Y52" s="860"/>
      <c r="Z52" s="860">
        <v>0.85</v>
      </c>
    </row>
    <row r="53" spans="2:26" x14ac:dyDescent="0.2">
      <c r="B53" s="820" t="s">
        <v>148</v>
      </c>
      <c r="D53" s="602">
        <f>IF(ISNA(VLOOKUP($B16,'PFF-Zones (Combined)'!$B$3:$W$11,21,FALSE)),0,VLOOKUP($B16,'PFF-Zones (Combined)'!$B$3:$W$11,21,FALSE))</f>
        <v>0.85</v>
      </c>
      <c r="E53" s="614">
        <f>IF(ISNA(VLOOKUP($B16,'PFF-Zones (Combined)'!$B$15:$W$31,21,FALSE)),0,VLOOKUP($B16,'PFF-Zones (Combined)'!$B$15:$W$31,21,FALSE))</f>
        <v>0</v>
      </c>
      <c r="F53" s="614"/>
      <c r="G53" s="602">
        <f>IF(ISNA(VLOOKUP($B16,'PFF-Zones (Combined)'!$B$34:$W$47,21,FALSE)),0,VLOOKUP($B16,'PFF-Zones (Combined)'!$B$34:$W$47,21,FALSE))</f>
        <v>0.85</v>
      </c>
      <c r="H53" s="602">
        <f>IF(ISNA(VLOOKUP($B16,'PFF-Zones (Combined)'!$B$50:$W$56,21,FALSE)),0,VLOOKUP($B16,'PFF-Zones (Combined)'!$B$50:$W$56,21,FALSE))</f>
        <v>0.85</v>
      </c>
      <c r="I53" s="602">
        <f>IF(ISNA(VLOOKUP($B16,'PFF-Zones (Combined)'!$B$61:$W$71,21,FALSE)),0,VLOOKUP($B16,'PFF-Zones (Combined)'!$B$61:$W$71,21,FALSE))</f>
        <v>0.85</v>
      </c>
      <c r="J53" s="602">
        <f>IF(ISNA(VLOOKUP($B16,'PFF-Zones (Combined)'!$B$75:$W$81,21,FALSE)),0,VLOOKUP($B16,'PFF-Zones (Combined)'!$B$75:$W$81,21,FALSE))</f>
        <v>0.85</v>
      </c>
      <c r="K53" s="602">
        <v>1</v>
      </c>
      <c r="L53" s="614">
        <f>IF(ISNA(VLOOKUP($B16,'PFF-Zones (Combined)'!$B$109:$W$120,21,FALSE)),0,VLOOKUP($B16,'PFF-Zones (Combined)'!$B$109:$W$120,21,FALSE))</f>
        <v>0</v>
      </c>
      <c r="N53" s="832"/>
      <c r="O53" t="s">
        <v>148</v>
      </c>
      <c r="P53" s="820" t="str">
        <f t="shared" si="2"/>
        <v>ok</v>
      </c>
      <c r="Q53" s="860">
        <v>0.85</v>
      </c>
      <c r="R53" s="860">
        <v>0</v>
      </c>
      <c r="S53" s="860">
        <v>0.85</v>
      </c>
      <c r="T53" s="860">
        <v>0.85</v>
      </c>
      <c r="U53" s="860">
        <v>0.85</v>
      </c>
      <c r="V53" s="860">
        <v>0.85</v>
      </c>
      <c r="W53" s="860">
        <v>0.85</v>
      </c>
      <c r="X53" s="860"/>
      <c r="Y53" s="860"/>
      <c r="Z53" s="860">
        <v>0</v>
      </c>
    </row>
    <row r="54" spans="2:26" x14ac:dyDescent="0.2">
      <c r="B54" s="820" t="s">
        <v>137</v>
      </c>
      <c r="D54" s="614">
        <f>IF(ISNA(VLOOKUP($B17,'PFF-Zones (Combined)'!$B$3:$W$11,21,FALSE)),0,VLOOKUP($B17,'PFF-Zones (Combined)'!$B$3:$W$11,21,FALSE))</f>
        <v>0</v>
      </c>
      <c r="E54" s="614">
        <f>IF(ISNA(VLOOKUP($B17,'PFF-Zones (Combined)'!$B$15:$W$31,21,FALSE)),0,VLOOKUP($B17,'PFF-Zones (Combined)'!$B$15:$W$31,21,FALSE))</f>
        <v>0</v>
      </c>
      <c r="F54" s="614"/>
      <c r="G54" s="602">
        <f>IF(ISNA(VLOOKUP($B17,'PFF-Zones (Combined)'!$B$34:$W$47,21,FALSE)),0,VLOOKUP($B17,'PFF-Zones (Combined)'!$B$34:$W$47,21,FALSE))</f>
        <v>0.85</v>
      </c>
      <c r="H54" s="602">
        <f>IF(ISNA(VLOOKUP($B17,'PFF-Zones (Combined)'!$B$50:$W$56,21,FALSE)),0,VLOOKUP($B17,'PFF-Zones (Combined)'!$B$50:$W$56,21,FALSE))</f>
        <v>0.85</v>
      </c>
      <c r="I54" s="602">
        <f>IF(ISNA(VLOOKUP($B17,'PFF-Zones (Combined)'!$B$61:$W$71,21,FALSE)),0,VLOOKUP($B17,'PFF-Zones (Combined)'!$B$61:$W$71,21,FALSE))</f>
        <v>0.85</v>
      </c>
      <c r="J54" s="614">
        <f>IF(ISNA(VLOOKUP($B17,'PFF-Zones (Combined)'!$B$75:$W$81,21,FALSE)),0,VLOOKUP($B17,'PFF-Zones (Combined)'!$B$75:$W$81,21,FALSE))</f>
        <v>0</v>
      </c>
      <c r="K54" s="602">
        <f>IF(ISNA(VLOOKUP($B17,'PFF-Zones (Combined)'!$B$87:$W$105,21,FALSE)),0,VLOOKUP($B17,'PFF-Zones (Combined)'!$B$87:$W$105,21,FALSE))</f>
        <v>0.85</v>
      </c>
      <c r="L54" s="592">
        <f>IF(ISNA(VLOOKUP($B17,'PFF-Zones (Combined)'!$B$109:$W$120,21,FALSE)),0,VLOOKUP($B17,'PFF-Zones (Combined)'!$B$109:$W$120,21,FALSE))</f>
        <v>0.85</v>
      </c>
      <c r="N54" s="832"/>
      <c r="O54" t="s">
        <v>137</v>
      </c>
      <c r="P54" s="820" t="str">
        <f t="shared" si="2"/>
        <v>ok</v>
      </c>
      <c r="Q54" s="860">
        <v>0</v>
      </c>
      <c r="R54" s="860">
        <v>0</v>
      </c>
      <c r="S54" s="860">
        <v>0.85</v>
      </c>
      <c r="T54" s="860">
        <v>0.85</v>
      </c>
      <c r="U54" s="860">
        <v>0.85</v>
      </c>
      <c r="V54" s="860">
        <v>0</v>
      </c>
      <c r="W54" s="860">
        <v>0.85</v>
      </c>
      <c r="X54" s="860"/>
      <c r="Y54" s="860"/>
      <c r="Z54" s="860">
        <v>0.85</v>
      </c>
    </row>
    <row r="55" spans="2:26" x14ac:dyDescent="0.2">
      <c r="B55" s="820" t="s">
        <v>145</v>
      </c>
      <c r="D55" s="614">
        <f>IF(ISNA(VLOOKUP($B18,'PFF-Zones (Combined)'!$B$3:$W$11,21,FALSE)),0,VLOOKUP($B18,'PFF-Zones (Combined)'!$B$3:$W$11,21,FALSE))</f>
        <v>0</v>
      </c>
      <c r="E55" s="614">
        <f>IF(ISNA(VLOOKUP($B18,'PFF-Zones (Combined)'!$B$15:$W$31,21,FALSE)),0,VLOOKUP($B18,'PFF-Zones (Combined)'!$B$15:$W$31,21,FALSE))</f>
        <v>0</v>
      </c>
      <c r="F55" s="614"/>
      <c r="G55" s="602">
        <f>IF(ISNA(VLOOKUP($B18,'PFF-Zones (Combined)'!$B$34:$W$47,21,FALSE)),0,VLOOKUP($B18,'PFF-Zones (Combined)'!$B$34:$W$47,21,FALSE))</f>
        <v>0.85</v>
      </c>
      <c r="H55" s="602">
        <f>IF(ISNA(VLOOKUP($B18,'PFF-Zones (Combined)'!$B$50:$W$56,21,FALSE)),0,VLOOKUP($B18,'PFF-Zones (Combined)'!$B$50:$W$56,21,FALSE))</f>
        <v>0.85</v>
      </c>
      <c r="I55" s="602">
        <f>IF(ISNA(VLOOKUP($B18,'PFF-Zones (Combined)'!$B$61:$W$71,21,FALSE)),0,VLOOKUP($B18,'PFF-Zones (Combined)'!$B$61:$W$71,21,FALSE))</f>
        <v>0.85</v>
      </c>
      <c r="J55" s="602">
        <f>IF(ISNA(VLOOKUP($B18,'PFF-Zones (Combined)'!$B$75:$W$81,21,FALSE)),0,VLOOKUP($B18,'PFF-Zones (Combined)'!$B$75:$W$81,21,FALSE))</f>
        <v>0.85</v>
      </c>
      <c r="K55" s="602">
        <f>IF(ISNA(VLOOKUP($B18,'PFF-Zones (Combined)'!$B$87:$W$105,21,FALSE)),0,VLOOKUP($B18,'PFF-Zones (Combined)'!$B$87:$W$105,21,FALSE))</f>
        <v>0.85</v>
      </c>
      <c r="L55" s="614">
        <f>IF(ISNA(VLOOKUP($B18,'PFF-Zones (Combined)'!$B$109:$W$120,21,FALSE)),0,VLOOKUP($B18,'PFF-Zones (Combined)'!$B$109:$W$120,21,FALSE))</f>
        <v>0</v>
      </c>
      <c r="N55" s="832"/>
      <c r="O55" t="s">
        <v>145</v>
      </c>
      <c r="P55" s="820" t="str">
        <f t="shared" si="2"/>
        <v>ok</v>
      </c>
      <c r="Q55" s="860">
        <v>0</v>
      </c>
      <c r="R55" s="860">
        <v>0</v>
      </c>
      <c r="S55" s="860">
        <v>0.85</v>
      </c>
      <c r="T55" s="860">
        <v>0.85</v>
      </c>
      <c r="U55" s="860">
        <v>0.85</v>
      </c>
      <c r="V55" s="860">
        <v>0.85</v>
      </c>
      <c r="W55" s="860">
        <v>0.85</v>
      </c>
      <c r="X55" s="860"/>
      <c r="Y55" s="860"/>
      <c r="Z55" s="860">
        <v>0</v>
      </c>
    </row>
    <row r="56" spans="2:26" x14ac:dyDescent="0.2">
      <c r="B56" s="820" t="s">
        <v>140</v>
      </c>
      <c r="D56" s="614">
        <f>IF(ISNA(VLOOKUP($B19,'PFF-Zones (Combined)'!$B$3:$W$11,21,FALSE)),0,VLOOKUP($B19,'PFF-Zones (Combined)'!$B$3:$W$11,21,FALSE))</f>
        <v>0</v>
      </c>
      <c r="E56" s="602">
        <f>IF(ISNA(VLOOKUP($B19,'PFF-Zones (Combined)'!$B$15:$W$31,21,FALSE)),0,VLOOKUP($B19,'PFF-Zones (Combined)'!$B$15:$W$31,21,FALSE))</f>
        <v>0.85</v>
      </c>
      <c r="F56" s="602"/>
      <c r="G56" s="602">
        <f>IF(ISNA(VLOOKUP($B19,'PFF-Zones (Combined)'!$B$34:$W$47,21,FALSE)),0,VLOOKUP($B19,'PFF-Zones (Combined)'!$B$34:$W$47,21,FALSE))</f>
        <v>0.85</v>
      </c>
      <c r="H56" s="614">
        <f>IF(ISNA(VLOOKUP($B19,'PFF-Zones (Combined)'!$B$50:$W$56,21,FALSE)),0,VLOOKUP($B19,'PFF-Zones (Combined)'!$B$50:$W$56,21,FALSE))</f>
        <v>0</v>
      </c>
      <c r="I56" s="614">
        <f>IF(ISNA(VLOOKUP($B19,'PFF-Zones (Combined)'!$B$61:$W$71,21,FALSE)),0,VLOOKUP($B19,'PFF-Zones (Combined)'!$B$61:$W$71,21,FALSE))</f>
        <v>0</v>
      </c>
      <c r="J56" s="614">
        <f>IF(ISNA(VLOOKUP($B19,'PFF-Zones (Combined)'!$B$75:$W$81,21,FALSE)),0,VLOOKUP($B19,'PFF-Zones (Combined)'!$B$75:$W$81,21,FALSE))</f>
        <v>0</v>
      </c>
      <c r="K56" s="614">
        <f>IF(ISNA(VLOOKUP($B19,'PFF-Zones (Combined)'!$B$87:$W$105,21,FALSE)),0,VLOOKUP($B19,'PFF-Zones (Combined)'!$B$87:$W$105,21,FALSE))</f>
        <v>0</v>
      </c>
      <c r="L56" s="592">
        <f>IF(ISNA(VLOOKUP($B19,'PFF-Zones (Combined)'!$B$109:$W$120,21,FALSE)),0,VLOOKUP($B19,'PFF-Zones (Combined)'!$B$109:$W$120,21,FALSE))</f>
        <v>0.85</v>
      </c>
      <c r="N56" s="832"/>
      <c r="O56" t="s">
        <v>140</v>
      </c>
      <c r="P56" s="820" t="str">
        <f t="shared" si="2"/>
        <v>ok</v>
      </c>
      <c r="Q56" s="860">
        <v>0</v>
      </c>
      <c r="R56" s="860">
        <v>0.85</v>
      </c>
      <c r="S56" s="860">
        <v>0.85</v>
      </c>
      <c r="T56" s="860">
        <v>0</v>
      </c>
      <c r="U56" s="860">
        <v>0</v>
      </c>
      <c r="V56" s="860">
        <v>0</v>
      </c>
      <c r="W56" s="860">
        <v>0</v>
      </c>
      <c r="X56" s="860"/>
      <c r="Y56" s="860"/>
      <c r="Z56" s="860">
        <v>0.85</v>
      </c>
    </row>
    <row r="57" spans="2:26" x14ac:dyDescent="0.2">
      <c r="B57" s="820" t="s">
        <v>134</v>
      </c>
      <c r="D57" s="602">
        <f>IF(ISNA(VLOOKUP($B20,'PFF-Zones (Combined)'!$B$3:$W$11,21,FALSE)),0,VLOOKUP($B20,'PFF-Zones (Combined)'!$B$3:$W$11,21,FALSE))</f>
        <v>0.85</v>
      </c>
      <c r="E57" s="602">
        <f>IF(ISNA(VLOOKUP($B20,'PFF-Zones (Combined)'!$B$15:$W$31,21,FALSE)),0,VLOOKUP($B20,'PFF-Zones (Combined)'!$B$15:$W$31,21,FALSE))</f>
        <v>0.85</v>
      </c>
      <c r="F57" s="602"/>
      <c r="G57" s="602">
        <f>IF(ISNA(VLOOKUP($B20,'PFF-Zones (Combined)'!$B$34:$W$47,21,FALSE)),0,VLOOKUP($B20,'PFF-Zones (Combined)'!$B$34:$W$47,21,FALSE))</f>
        <v>0.85</v>
      </c>
      <c r="H57" s="614">
        <f>IF(ISNA(VLOOKUP($B20,'PFF-Zones (Combined)'!$B$50:$W$56,21,FALSE)),0,VLOOKUP($B20,'PFF-Zones (Combined)'!$B$50:$W$56,21,FALSE))</f>
        <v>0</v>
      </c>
      <c r="I57" s="602">
        <f>IF(ISNA(VLOOKUP($B20,'PFF-Zones (Combined)'!$B$61:$W$71,21,FALSE)),0,VLOOKUP($B20,'PFF-Zones (Combined)'!$B$61:$W$71,21,FALSE))</f>
        <v>0.85</v>
      </c>
      <c r="J57" s="614">
        <f>IF(ISNA(VLOOKUP($B20,'PFF-Zones (Combined)'!$B$75:$W$81,21,FALSE)),0,VLOOKUP($B20,'PFF-Zones (Combined)'!$B$75:$W$81,21,FALSE))</f>
        <v>0</v>
      </c>
      <c r="K57" s="602">
        <f>IF(ISNA(VLOOKUP($B20,'PFF-Zones (Combined)'!$B$87:$W$105,21,FALSE)),0,VLOOKUP($B20,'PFF-Zones (Combined)'!$B$87:$W$105,21,FALSE))</f>
        <v>0.85</v>
      </c>
      <c r="L57" s="614">
        <f>IF(ISNA(VLOOKUP($B20,'PFF-Zones (Combined)'!$B$109:$W$120,21,FALSE)),0,VLOOKUP($B20,'PFF-Zones (Combined)'!$B$109:$W$120,21,FALSE))</f>
        <v>0</v>
      </c>
      <c r="N57" s="832"/>
      <c r="O57" t="s">
        <v>134</v>
      </c>
      <c r="P57" s="820" t="str">
        <f t="shared" si="2"/>
        <v>ok</v>
      </c>
      <c r="Q57" s="860">
        <v>0.85</v>
      </c>
      <c r="R57" s="860">
        <v>0.85</v>
      </c>
      <c r="S57" s="860">
        <v>0.85</v>
      </c>
      <c r="T57" s="860">
        <v>0</v>
      </c>
      <c r="U57" s="860">
        <v>0.85</v>
      </c>
      <c r="V57" s="860">
        <v>0</v>
      </c>
      <c r="W57" s="860">
        <v>0.85</v>
      </c>
      <c r="X57" s="860"/>
      <c r="Y57" s="860"/>
      <c r="Z57" s="860">
        <v>0</v>
      </c>
    </row>
    <row r="58" spans="2:26" x14ac:dyDescent="0.2">
      <c r="B58" s="820" t="s">
        <v>136</v>
      </c>
      <c r="D58" s="602">
        <f>IF(ISNA(VLOOKUP($B21,'PFF-Zones (Combined)'!$B$3:$W$11,21,FALSE)),0,VLOOKUP($B21,'PFF-Zones (Combined)'!$B$3:$W$11,21,FALSE))</f>
        <v>0.85</v>
      </c>
      <c r="E58" s="602">
        <f>IF(ISNA(VLOOKUP($B21,'PFF-Zones (Combined)'!$B$15:$W$31,21,FALSE)),0,VLOOKUP($B21,'PFF-Zones (Combined)'!$B$15:$W$31,21,FALSE))</f>
        <v>0.85</v>
      </c>
      <c r="F58" s="602"/>
      <c r="G58" s="614">
        <f>IF(ISNA(VLOOKUP($B21,'PFF-Zones (Combined)'!$B$34:$W$47,21,FALSE)),0,VLOOKUP($B21,'PFF-Zones (Combined)'!$B$34:$W$47,21,FALSE))</f>
        <v>0</v>
      </c>
      <c r="H58" s="614">
        <f>IF(ISNA(VLOOKUP($B21,'PFF-Zones (Combined)'!$B$50:$W$56,21,FALSE)),0,VLOOKUP($B21,'PFF-Zones (Combined)'!$B$50:$W$56,21,FALSE))</f>
        <v>0</v>
      </c>
      <c r="I58" s="602">
        <f>IF(ISNA(VLOOKUP($B21,'PFF-Zones (Combined)'!$B$61:$W$71,21,FALSE)),0,VLOOKUP($B21,'PFF-Zones (Combined)'!$B$61:$W$71,21,FALSE))</f>
        <v>0.85</v>
      </c>
      <c r="J58" s="602">
        <f>IF(ISNA(VLOOKUP($B21,'PFF-Zones (Combined)'!$B$75:$W$81,21,FALSE)),0,VLOOKUP($B21,'PFF-Zones (Combined)'!$B$75:$W$81,21,FALSE))</f>
        <v>0.85</v>
      </c>
      <c r="K58" s="602">
        <f>IF(ISNA(VLOOKUP($B21,'PFF-Zones (Combined)'!$B$87:$W$105,21,FALSE)),0,VLOOKUP($B21,'PFF-Zones (Combined)'!$B$87:$W$105,21,FALSE))</f>
        <v>0.85</v>
      </c>
      <c r="L58" s="614">
        <f>IF(ISNA(VLOOKUP($B21,'PFF-Zones (Combined)'!$B$109:$W$120,21,FALSE)),0,VLOOKUP($B21,'PFF-Zones (Combined)'!$B$109:$W$120,21,FALSE))</f>
        <v>0</v>
      </c>
      <c r="N58" s="832"/>
      <c r="O58" t="s">
        <v>136</v>
      </c>
      <c r="P58" s="820" t="str">
        <f t="shared" si="2"/>
        <v>ok</v>
      </c>
      <c r="Q58" s="860">
        <v>0.85</v>
      </c>
      <c r="R58" s="860">
        <v>0.85</v>
      </c>
      <c r="S58" s="860">
        <v>0</v>
      </c>
      <c r="T58" s="860">
        <v>0</v>
      </c>
      <c r="U58" s="860">
        <v>0.85</v>
      </c>
      <c r="V58" s="860">
        <v>0.85</v>
      </c>
      <c r="W58" s="860">
        <v>0.85</v>
      </c>
      <c r="X58" s="860"/>
      <c r="Y58" s="860"/>
      <c r="Z58" s="860">
        <v>0</v>
      </c>
    </row>
    <row r="59" spans="2:26" x14ac:dyDescent="0.2">
      <c r="B59" s="820" t="s">
        <v>147</v>
      </c>
      <c r="D59" s="859">
        <f>IF(ISNA(VLOOKUP($B22,'PFF-Zones (Combined)'!$B$3:$W$11,21,FALSE)),0,VLOOKUP($B22,'PFF-Zones (Combined)'!$B$3:$W$11,21,FALSE))</f>
        <v>0</v>
      </c>
      <c r="E59" s="858">
        <v>0</v>
      </c>
      <c r="F59" s="858"/>
      <c r="G59" s="858">
        <v>0</v>
      </c>
      <c r="H59" s="858">
        <v>0</v>
      </c>
      <c r="I59" s="858">
        <v>0</v>
      </c>
      <c r="J59" s="858">
        <v>0</v>
      </c>
      <c r="K59" s="858">
        <v>0.3</v>
      </c>
      <c r="L59" s="858">
        <v>0</v>
      </c>
      <c r="N59" s="832"/>
      <c r="O59" t="s">
        <v>147</v>
      </c>
      <c r="P59" s="820" t="str">
        <f t="shared" si="2"/>
        <v>ok</v>
      </c>
      <c r="Q59" s="860">
        <v>0</v>
      </c>
      <c r="R59" s="860">
        <v>0.42499999999999999</v>
      </c>
      <c r="S59" s="860">
        <v>0.42499999999999999</v>
      </c>
      <c r="T59" s="860">
        <v>0</v>
      </c>
      <c r="U59" s="860">
        <v>0</v>
      </c>
      <c r="V59" s="860">
        <v>0</v>
      </c>
      <c r="W59" s="860">
        <v>0.42499999999999999</v>
      </c>
      <c r="X59" s="860"/>
      <c r="Y59" s="860"/>
      <c r="Z59" s="860">
        <v>0</v>
      </c>
    </row>
    <row r="60" spans="2:26" x14ac:dyDescent="0.2">
      <c r="B60" s="820" t="s">
        <v>230</v>
      </c>
      <c r="D60" s="858">
        <v>0.1</v>
      </c>
      <c r="E60" s="858">
        <v>0.2</v>
      </c>
      <c r="F60" s="858"/>
      <c r="G60" s="858">
        <v>0</v>
      </c>
      <c r="H60" s="858">
        <v>0</v>
      </c>
      <c r="I60" s="858">
        <v>0</v>
      </c>
      <c r="J60" s="859">
        <f>IF(ISNA(VLOOKUP($B23,'PFF-Zones (Combined)'!$B$75:$W$81,21,FALSE)),0,VLOOKUP($B23,'PFF-Zones (Combined)'!$B$75:$W$81,21,FALSE))</f>
        <v>0</v>
      </c>
      <c r="K60" s="858">
        <v>0.2</v>
      </c>
      <c r="L60" s="859">
        <v>0</v>
      </c>
      <c r="N60" s="832"/>
      <c r="O60" t="s">
        <v>230</v>
      </c>
      <c r="P60" s="820" t="str">
        <f t="shared" si="2"/>
        <v>ok</v>
      </c>
      <c r="Q60" s="860">
        <v>0.42499999999999999</v>
      </c>
      <c r="R60" s="860">
        <v>0.42499999999999999</v>
      </c>
      <c r="S60" s="860">
        <v>0.42499999999999999</v>
      </c>
      <c r="T60" s="860">
        <v>0</v>
      </c>
      <c r="U60" s="860">
        <v>0</v>
      </c>
      <c r="V60" s="860">
        <v>0</v>
      </c>
      <c r="W60" s="860">
        <v>0.42499999999999999</v>
      </c>
      <c r="X60" s="860"/>
      <c r="Y60" s="860"/>
      <c r="Z60" s="860">
        <v>0</v>
      </c>
    </row>
    <row r="61" spans="2:26" x14ac:dyDescent="0.2">
      <c r="B61" s="820" t="s">
        <v>157</v>
      </c>
      <c r="D61" s="859">
        <f>IF(ISNA(VLOOKUP($B24,'PFF-Zones (Combined)'!$B$3:$W$11,21,FALSE)),0,VLOOKUP($B24,'PFF-Zones (Combined)'!$B$3:$W$11,21,FALSE))</f>
        <v>0</v>
      </c>
      <c r="E61" s="859">
        <f>IF(ISNA(VLOOKUP($B24,'PFF-Zones (Combined)'!$B$15:$W$31,21,FALSE)),0,VLOOKUP($B24,'PFF-Zones (Combined)'!$B$15:$W$31,21,FALSE))</f>
        <v>0</v>
      </c>
      <c r="F61" s="859"/>
      <c r="G61" s="858">
        <v>0</v>
      </c>
      <c r="H61" s="858">
        <v>0</v>
      </c>
      <c r="I61" s="858">
        <v>0</v>
      </c>
      <c r="J61" s="859">
        <f>IF(ISNA(VLOOKUP($B24,'PFF-Zones (Combined)'!$B$75:$W$81,21,FALSE)),0,VLOOKUP($B24,'PFF-Zones (Combined)'!$B$75:$W$81,21,FALSE))</f>
        <v>0</v>
      </c>
      <c r="K61" s="858">
        <v>0.2</v>
      </c>
      <c r="L61" s="858">
        <v>0.2</v>
      </c>
      <c r="N61" s="832"/>
      <c r="O61" t="s">
        <v>157</v>
      </c>
      <c r="P61" s="820" t="str">
        <f t="shared" si="2"/>
        <v>ok</v>
      </c>
      <c r="Q61" s="860">
        <v>0</v>
      </c>
      <c r="R61" s="860">
        <v>0</v>
      </c>
      <c r="S61" s="860">
        <v>0</v>
      </c>
      <c r="T61" s="860">
        <v>0</v>
      </c>
      <c r="U61" s="860">
        <v>0</v>
      </c>
      <c r="V61" s="860">
        <v>0</v>
      </c>
      <c r="W61" s="860">
        <v>0.42499999999999999</v>
      </c>
      <c r="X61" s="860"/>
      <c r="Y61" s="860"/>
      <c r="Z61" s="860">
        <v>0.42499999999999999</v>
      </c>
    </row>
    <row r="62" spans="2:26" x14ac:dyDescent="0.2">
      <c r="B62" s="820" t="s">
        <v>150</v>
      </c>
      <c r="D62" s="859">
        <f>IF(ISNA(VLOOKUP($B25,'PFF-Zones (Combined)'!$B$3:$W$11,21,FALSE)),0,VLOOKUP($B25,'PFF-Zones (Combined)'!$B$3:$W$11,21,FALSE))</f>
        <v>0</v>
      </c>
      <c r="E62" s="858">
        <v>0.3</v>
      </c>
      <c r="F62" s="858"/>
      <c r="G62" s="858">
        <v>0</v>
      </c>
      <c r="H62" s="858">
        <v>0</v>
      </c>
      <c r="I62" s="858">
        <v>0</v>
      </c>
      <c r="J62" s="859">
        <f>IF(ISNA(VLOOKUP($B25,'PFF-Zones (Combined)'!$B$75:$W$81,21,FALSE)),0,VLOOKUP($B25,'PFF-Zones (Combined)'!$B$75:$W$81,21,FALSE))</f>
        <v>0</v>
      </c>
      <c r="K62" s="858">
        <v>0.3</v>
      </c>
      <c r="L62" s="858">
        <v>0.2</v>
      </c>
      <c r="N62" s="832"/>
      <c r="O62" t="s">
        <v>150</v>
      </c>
      <c r="P62" s="820" t="str">
        <f t="shared" si="2"/>
        <v>ok</v>
      </c>
      <c r="Q62" s="860">
        <v>0</v>
      </c>
      <c r="R62" s="860">
        <v>0.42499999999999999</v>
      </c>
      <c r="S62" s="860">
        <v>0</v>
      </c>
      <c r="T62" s="860">
        <v>0</v>
      </c>
      <c r="U62" s="860">
        <v>0</v>
      </c>
      <c r="V62" s="860">
        <v>0</v>
      </c>
      <c r="W62" s="860">
        <v>0.42499999999999999</v>
      </c>
      <c r="X62" s="860"/>
      <c r="Y62" s="860"/>
      <c r="Z62" s="860">
        <v>0.42499999999999999</v>
      </c>
    </row>
    <row r="63" spans="2:26" x14ac:dyDescent="0.2">
      <c r="B63" s="820" t="s">
        <v>151</v>
      </c>
      <c r="D63" s="859">
        <f>IF(ISNA(VLOOKUP($B26,'PFF-Zones (Combined)'!$B$3:$W$11,21,FALSE)),0,VLOOKUP($B26,'PFF-Zones (Combined)'!$B$3:$W$11,21,FALSE))</f>
        <v>0</v>
      </c>
      <c r="E63" s="861">
        <v>0.3</v>
      </c>
      <c r="F63" s="861"/>
      <c r="G63" s="858">
        <v>0</v>
      </c>
      <c r="H63" s="858">
        <v>0</v>
      </c>
      <c r="I63" s="858">
        <v>0</v>
      </c>
      <c r="J63" s="859">
        <f>IF(ISNA(VLOOKUP($B26,'PFF-Zones (Combined)'!$B$75:$W$81,21,FALSE)),0,VLOOKUP($B26,'PFF-Zones (Combined)'!$B$75:$W$81,21,FALSE))</f>
        <v>0</v>
      </c>
      <c r="K63" s="858">
        <v>0.3</v>
      </c>
      <c r="L63" s="859">
        <v>0</v>
      </c>
      <c r="N63" s="832"/>
      <c r="O63" t="s">
        <v>151</v>
      </c>
      <c r="P63" s="820" t="str">
        <f t="shared" si="2"/>
        <v>ok</v>
      </c>
      <c r="Q63" s="860">
        <v>0</v>
      </c>
      <c r="R63" s="860">
        <v>0.42499999999999999</v>
      </c>
      <c r="S63" s="860">
        <v>0</v>
      </c>
      <c r="T63" s="860">
        <v>0</v>
      </c>
      <c r="U63" s="860">
        <v>0</v>
      </c>
      <c r="V63" s="860">
        <v>0</v>
      </c>
      <c r="W63" s="860">
        <v>0</v>
      </c>
      <c r="X63" s="860"/>
      <c r="Y63" s="860"/>
      <c r="Z63" s="860">
        <v>0</v>
      </c>
    </row>
    <row r="64" spans="2:26" x14ac:dyDescent="0.2">
      <c r="B64" s="820" t="s">
        <v>153</v>
      </c>
      <c r="D64" s="859">
        <f>IF(ISNA(VLOOKUP($B27,'PFF-Zones (Combined)'!$B$3:$W$11,21,FALSE)),0,VLOOKUP($B27,'PFF-Zones (Combined)'!$B$3:$W$11,21,FALSE))</f>
        <v>0</v>
      </c>
      <c r="E64" s="858">
        <v>0.3</v>
      </c>
      <c r="F64" s="858"/>
      <c r="G64" s="858">
        <v>0</v>
      </c>
      <c r="H64" s="858">
        <v>0</v>
      </c>
      <c r="I64" s="858">
        <v>0</v>
      </c>
      <c r="J64" s="859">
        <f>IF(ISNA(VLOOKUP($B27,'PFF-Zones (Combined)'!$B$75:$W$81,21,FALSE)),0,VLOOKUP($B27,'PFF-Zones (Combined)'!$B$75:$W$81,21,FALSE))</f>
        <v>0</v>
      </c>
      <c r="K64" s="858">
        <v>0.3</v>
      </c>
      <c r="L64" s="861">
        <v>0.2</v>
      </c>
      <c r="N64" s="832"/>
      <c r="O64" t="s">
        <v>153</v>
      </c>
      <c r="P64" s="820" t="str">
        <f t="shared" si="2"/>
        <v>ok</v>
      </c>
      <c r="Q64" s="860">
        <v>0</v>
      </c>
      <c r="R64" s="860">
        <v>0.42499999999999999</v>
      </c>
      <c r="S64" s="860">
        <v>0.42499999999999999</v>
      </c>
      <c r="T64" s="860">
        <v>0</v>
      </c>
      <c r="U64" s="860">
        <v>0</v>
      </c>
      <c r="V64" s="860">
        <v>0</v>
      </c>
      <c r="W64" s="860">
        <v>0.42499999999999999</v>
      </c>
      <c r="X64" s="860"/>
      <c r="Y64" s="860"/>
      <c r="Z64" s="860">
        <v>0.42499999999999999</v>
      </c>
    </row>
    <row r="65" spans="2:26" x14ac:dyDescent="0.2">
      <c r="B65" s="820" t="s">
        <v>159</v>
      </c>
      <c r="D65" s="858">
        <v>0.1</v>
      </c>
      <c r="E65" s="859">
        <v>0</v>
      </c>
      <c r="F65" s="859"/>
      <c r="G65" s="858">
        <v>0</v>
      </c>
      <c r="H65" s="858">
        <v>0</v>
      </c>
      <c r="I65" s="858">
        <v>0</v>
      </c>
      <c r="J65" s="859">
        <f>IF(ISNA(VLOOKUP($B28,'PFF-Zones (Combined)'!$B$75:$W$81,21,FALSE)),0,VLOOKUP($B28,'PFF-Zones (Combined)'!$B$75:$W$81,21,FALSE))</f>
        <v>0</v>
      </c>
      <c r="K65" s="859">
        <f>IF(ISNA(VLOOKUP($B28,'PFF-Zones (Combined)'!$B$87:$W$105,21,FALSE)),0,VLOOKUP($B28,'PFF-Zones (Combined)'!$B$87:$W$105,21,FALSE))</f>
        <v>0</v>
      </c>
      <c r="L65" s="859">
        <v>0</v>
      </c>
      <c r="N65" s="832"/>
      <c r="O65" t="s">
        <v>159</v>
      </c>
      <c r="P65" s="820" t="str">
        <f t="shared" si="2"/>
        <v>ok</v>
      </c>
      <c r="Q65" s="860">
        <v>0.42499999999999999</v>
      </c>
      <c r="R65" s="860">
        <v>0</v>
      </c>
      <c r="S65" s="860">
        <v>0</v>
      </c>
      <c r="T65" s="860">
        <v>0</v>
      </c>
      <c r="U65" s="860">
        <v>0</v>
      </c>
      <c r="V65" s="860">
        <v>0</v>
      </c>
      <c r="W65" s="860">
        <v>0</v>
      </c>
      <c r="X65" s="860"/>
      <c r="Y65" s="860"/>
      <c r="Z65" s="860">
        <v>0</v>
      </c>
    </row>
    <row r="66" spans="2:26" x14ac:dyDescent="0.2">
      <c r="B66" s="820" t="s">
        <v>154</v>
      </c>
      <c r="D66" s="859">
        <f>IF(ISNA(VLOOKUP($B29,'PFF-Zones (Combined)'!$B$3:$W$11,21,FALSE)),0,VLOOKUP($B29,'PFF-Zones (Combined)'!$B$3:$W$11,21,FALSE))</f>
        <v>0</v>
      </c>
      <c r="E66" s="858">
        <v>0.3</v>
      </c>
      <c r="F66" s="858"/>
      <c r="G66" s="858">
        <v>0</v>
      </c>
      <c r="H66" s="858">
        <v>0</v>
      </c>
      <c r="I66" s="858">
        <v>0</v>
      </c>
      <c r="J66" s="859">
        <f>IF(ISNA(VLOOKUP($B29,'PFF-Zones (Combined)'!$B$75:$W$81,21,FALSE)),0,VLOOKUP($B29,'PFF-Zones (Combined)'!$B$75:$W$81,21,FALSE))</f>
        <v>0</v>
      </c>
      <c r="K66" s="858">
        <v>0.3</v>
      </c>
      <c r="L66" s="859">
        <v>0</v>
      </c>
      <c r="N66" s="832"/>
      <c r="O66" t="s">
        <v>154</v>
      </c>
      <c r="P66" s="820" t="str">
        <f t="shared" si="2"/>
        <v>ok</v>
      </c>
      <c r="Q66" s="860">
        <v>0</v>
      </c>
      <c r="R66" s="860">
        <v>0.42499999999999999</v>
      </c>
      <c r="S66" s="860">
        <v>0</v>
      </c>
      <c r="T66" s="860">
        <v>0</v>
      </c>
      <c r="U66" s="860">
        <v>0</v>
      </c>
      <c r="V66" s="860">
        <v>0</v>
      </c>
      <c r="W66" s="860">
        <v>0</v>
      </c>
      <c r="X66" s="860"/>
      <c r="Y66" s="860"/>
      <c r="Z66" s="860">
        <v>0</v>
      </c>
    </row>
    <row r="67" spans="2:26" x14ac:dyDescent="0.2">
      <c r="B67" s="820" t="s">
        <v>155</v>
      </c>
      <c r="D67" s="859">
        <f>IF(ISNA(VLOOKUP($B30,'PFF-Zones (Combined)'!$B$3:$W$11,21,FALSE)),0,VLOOKUP($B30,'PFF-Zones (Combined)'!$B$3:$W$11,21,FALSE))</f>
        <v>0</v>
      </c>
      <c r="E67" s="858">
        <v>0</v>
      </c>
      <c r="F67" s="858"/>
      <c r="G67" s="858">
        <v>0</v>
      </c>
      <c r="H67" s="858">
        <v>0</v>
      </c>
      <c r="I67" s="858">
        <v>0</v>
      </c>
      <c r="J67" s="859">
        <f>IF(ISNA(VLOOKUP($B30,'PFF-Zones (Combined)'!$B$75:$W$81,21,FALSE)),0,VLOOKUP($B30,'PFF-Zones (Combined)'!$B$75:$W$81,21,FALSE))</f>
        <v>0</v>
      </c>
      <c r="K67" s="858">
        <v>0</v>
      </c>
      <c r="L67" s="859">
        <v>0</v>
      </c>
      <c r="N67" s="832"/>
      <c r="O67" t="s">
        <v>155</v>
      </c>
      <c r="P67" s="820" t="str">
        <f t="shared" si="2"/>
        <v>ok</v>
      </c>
      <c r="Q67" s="860">
        <v>0</v>
      </c>
      <c r="R67" s="860">
        <v>0.42499999999999999</v>
      </c>
      <c r="S67" s="860">
        <v>0.42499999999999999</v>
      </c>
      <c r="T67" s="860">
        <v>0</v>
      </c>
      <c r="U67" s="860">
        <v>0</v>
      </c>
      <c r="V67" s="860">
        <v>0</v>
      </c>
      <c r="W67" s="860">
        <v>0.42499999999999999</v>
      </c>
      <c r="X67" s="860"/>
      <c r="Y67" s="860"/>
      <c r="Z67" s="860">
        <v>0</v>
      </c>
    </row>
    <row r="68" spans="2:26" x14ac:dyDescent="0.2">
      <c r="B68" s="820" t="s">
        <v>156</v>
      </c>
      <c r="D68" s="859">
        <f>IF(ISNA(VLOOKUP($B31,'PFF-Zones (Combined)'!$B$3:$W$11,21,FALSE)),0,VLOOKUP($B31,'PFF-Zones (Combined)'!$B$3:$W$11,21,FALSE))</f>
        <v>0</v>
      </c>
      <c r="E68" s="858">
        <v>0</v>
      </c>
      <c r="F68" s="858"/>
      <c r="G68" s="858">
        <v>0</v>
      </c>
      <c r="H68" s="858">
        <v>0</v>
      </c>
      <c r="I68" s="858">
        <v>0</v>
      </c>
      <c r="J68" s="859">
        <f>IF(ISNA(VLOOKUP($B31,'PFF-Zones (Combined)'!$B$75:$W$81,21,FALSE)),0,VLOOKUP($B31,'PFF-Zones (Combined)'!$B$75:$W$81,21,FALSE))</f>
        <v>0</v>
      </c>
      <c r="K68" s="859">
        <f>IF(ISNA(VLOOKUP($B31,'PFF-Zones (Combined)'!$B$87:$W$105,21,FALSE)),0,VLOOKUP($B31,'PFF-Zones (Combined)'!$B$87:$W$105,21,FALSE))</f>
        <v>0</v>
      </c>
      <c r="L68" s="859">
        <v>0</v>
      </c>
      <c r="N68" s="832"/>
      <c r="O68" t="s">
        <v>156</v>
      </c>
      <c r="P68" s="820" t="str">
        <f t="shared" si="2"/>
        <v>ok</v>
      </c>
      <c r="Q68" s="860">
        <v>0</v>
      </c>
      <c r="R68" s="860">
        <v>0.42499999999999999</v>
      </c>
      <c r="S68" s="860">
        <v>0</v>
      </c>
      <c r="T68" s="860">
        <v>0</v>
      </c>
      <c r="U68" s="860">
        <v>0</v>
      </c>
      <c r="V68" s="860">
        <v>0</v>
      </c>
      <c r="W68" s="860">
        <v>0</v>
      </c>
      <c r="X68" s="860"/>
      <c r="Y68" s="860"/>
      <c r="Z68" s="860">
        <v>0</v>
      </c>
    </row>
    <row r="69" spans="2:26" x14ac:dyDescent="0.2">
      <c r="B69" s="820" t="s">
        <v>152</v>
      </c>
      <c r="D69" s="859">
        <f>IF(ISNA(VLOOKUP($B32,'PFF-Zones (Combined)'!$B$3:$W$11,21,FALSE)),0,VLOOKUP($B32,'PFF-Zones (Combined)'!$B$3:$W$11,21,FALSE))</f>
        <v>0</v>
      </c>
      <c r="E69" s="858">
        <v>0</v>
      </c>
      <c r="F69" s="858"/>
      <c r="G69" s="858">
        <v>0</v>
      </c>
      <c r="H69" s="858">
        <v>0</v>
      </c>
      <c r="I69" s="858">
        <v>0</v>
      </c>
      <c r="J69" s="859">
        <f>IF(ISNA(VLOOKUP($B32,'PFF-Zones (Combined)'!$B$75:$W$81,21,FALSE)),0,VLOOKUP($B32,'PFF-Zones (Combined)'!$B$75:$W$81,21,FALSE))</f>
        <v>0</v>
      </c>
      <c r="K69" s="858">
        <v>0</v>
      </c>
      <c r="L69" s="862">
        <v>0</v>
      </c>
      <c r="N69" s="832"/>
      <c r="O69" t="s">
        <v>152</v>
      </c>
      <c r="P69" s="820" t="str">
        <f t="shared" si="2"/>
        <v>ok</v>
      </c>
      <c r="Q69" s="860">
        <v>0</v>
      </c>
      <c r="R69" s="860">
        <v>0.42499999999999999</v>
      </c>
      <c r="S69" s="860">
        <v>0</v>
      </c>
      <c r="T69" s="860">
        <v>0</v>
      </c>
      <c r="U69" s="860">
        <v>0</v>
      </c>
      <c r="V69" s="860">
        <v>0</v>
      </c>
      <c r="W69" s="860">
        <v>0.42499999999999999</v>
      </c>
      <c r="X69" s="860"/>
      <c r="Y69" s="860"/>
      <c r="Z69" s="860">
        <v>0.125</v>
      </c>
    </row>
    <row r="70" spans="2:26" x14ac:dyDescent="0.2">
      <c r="B70" s="820" t="s">
        <v>133</v>
      </c>
      <c r="D70" s="602">
        <v>0.1</v>
      </c>
      <c r="E70" s="602">
        <v>0</v>
      </c>
      <c r="F70" s="602"/>
      <c r="G70" s="602">
        <v>0</v>
      </c>
      <c r="H70" s="602">
        <v>0</v>
      </c>
      <c r="I70" s="602">
        <v>0</v>
      </c>
      <c r="J70" s="614">
        <f>IF(ISNA(VLOOKUP($B33,'PFF-Zones (Combined)'!$B$75:$W$81,21,FALSE)),0,VLOOKUP($B33,'PFF-Zones (Combined)'!$B$75:$W$81,21,FALSE))</f>
        <v>0</v>
      </c>
      <c r="K70" s="602">
        <v>0</v>
      </c>
      <c r="L70" s="614">
        <v>0</v>
      </c>
      <c r="N70" s="832"/>
      <c r="O70" t="s">
        <v>133</v>
      </c>
      <c r="P70" s="820" t="str">
        <f t="shared" si="2"/>
        <v>ok</v>
      </c>
      <c r="Q70" s="860">
        <v>0.25</v>
      </c>
      <c r="R70" s="860">
        <v>0.25</v>
      </c>
      <c r="S70" s="860">
        <v>0.25</v>
      </c>
      <c r="T70" s="860">
        <v>0</v>
      </c>
      <c r="U70" s="860">
        <v>0</v>
      </c>
      <c r="V70" s="860">
        <v>0</v>
      </c>
      <c r="W70" s="860">
        <v>0.25</v>
      </c>
      <c r="X70" s="860"/>
      <c r="Y70" s="860"/>
      <c r="Z70" s="860">
        <v>0</v>
      </c>
    </row>
    <row r="71" spans="2:26" x14ac:dyDescent="0.2">
      <c r="D71" s="835"/>
      <c r="E71" s="835"/>
      <c r="F71" s="835"/>
      <c r="G71" s="835"/>
      <c r="H71" s="835"/>
      <c r="I71" s="835"/>
      <c r="J71" s="835"/>
      <c r="K71" s="835"/>
      <c r="L71" s="835"/>
      <c r="N71" s="832"/>
    </row>
    <row r="72" spans="2:26" x14ac:dyDescent="0.2">
      <c r="D72" s="836"/>
      <c r="E72" s="836"/>
      <c r="F72" s="836"/>
      <c r="G72" s="836"/>
      <c r="H72" s="836"/>
      <c r="I72" s="836"/>
      <c r="J72" s="836"/>
      <c r="K72" s="836"/>
      <c r="L72" s="836"/>
      <c r="N72" s="832"/>
    </row>
    <row r="73" spans="2:26" x14ac:dyDescent="0.2">
      <c r="D73" s="836"/>
      <c r="E73" s="836"/>
      <c r="F73" s="836"/>
      <c r="G73" s="836"/>
      <c r="H73" s="836"/>
      <c r="I73" s="836"/>
      <c r="J73" s="836"/>
      <c r="K73" s="836"/>
      <c r="L73" s="836"/>
      <c r="N73" s="832"/>
    </row>
    <row r="74" spans="2:26" x14ac:dyDescent="0.2">
      <c r="N74" s="832"/>
    </row>
    <row r="75" spans="2:26" x14ac:dyDescent="0.2">
      <c r="D75" s="838" t="s">
        <v>239</v>
      </c>
      <c r="E75" s="838" t="s">
        <v>238</v>
      </c>
      <c r="F75" s="839" t="s">
        <v>573</v>
      </c>
      <c r="G75" s="838" t="s">
        <v>258</v>
      </c>
      <c r="H75" s="840" t="s">
        <v>574</v>
      </c>
      <c r="I75" s="838" t="s">
        <v>262</v>
      </c>
      <c r="J75" s="838" t="s">
        <v>263</v>
      </c>
    </row>
    <row r="76" spans="2:26" x14ac:dyDescent="0.2">
      <c r="D76" s="995" t="s">
        <v>512</v>
      </c>
      <c r="E76" s="996"/>
      <c r="F76" s="996"/>
      <c r="G76" s="996"/>
      <c r="H76" s="996"/>
      <c r="I76" s="996"/>
      <c r="J76" s="997"/>
    </row>
    <row r="78" spans="2:26" x14ac:dyDescent="0.2">
      <c r="B78" s="820" t="s">
        <v>229</v>
      </c>
      <c r="D78" s="607">
        <f t="shared" ref="D78:E93" si="3">D45*D8</f>
        <v>327.32749000000001</v>
      </c>
      <c r="E78" s="607">
        <f t="shared" si="3"/>
        <v>11.16225</v>
      </c>
      <c r="F78" s="607">
        <f>+E78+G78</f>
        <v>11.16225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11.647190000000002</v>
      </c>
      <c r="J78" s="607">
        <f t="shared" si="6"/>
        <v>19.1431</v>
      </c>
      <c r="K78" s="607"/>
    </row>
    <row r="79" spans="2:26" x14ac:dyDescent="0.2">
      <c r="B79" s="820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6" x14ac:dyDescent="0.2">
      <c r="B80" s="820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">
      <c r="B81" s="820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">
      <c r="B82" s="820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">
      <c r="B83" s="820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">
      <c r="B84" s="820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290.72450000000003</v>
      </c>
      <c r="J84" s="607">
        <f t="shared" si="6"/>
        <v>0</v>
      </c>
      <c r="K84" s="607"/>
    </row>
    <row r="85" spans="2:11" x14ac:dyDescent="0.2">
      <c r="B85" s="820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">
      <c r="B86" s="820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3.9352</v>
      </c>
      <c r="J86" s="607">
        <f t="shared" si="6"/>
        <v>0</v>
      </c>
      <c r="K86" s="607"/>
    </row>
    <row r="87" spans="2:11" x14ac:dyDescent="0.2">
      <c r="B87" s="820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">
      <c r="B88" s="820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">
      <c r="B89" s="820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">
      <c r="B90" s="820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">
      <c r="B91" s="820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">
      <c r="B92" s="820" t="s">
        <v>147</v>
      </c>
      <c r="D92" s="607">
        <f t="shared" si="3"/>
        <v>0</v>
      </c>
      <c r="E92" s="607">
        <f t="shared" si="3"/>
        <v>0</v>
      </c>
      <c r="F92" s="607">
        <f t="shared" si="7"/>
        <v>0</v>
      </c>
      <c r="G92" s="607">
        <f t="shared" si="4"/>
        <v>0</v>
      </c>
      <c r="H92" s="607">
        <f t="shared" si="5"/>
        <v>0</v>
      </c>
      <c r="I92" s="607">
        <f t="shared" si="6"/>
        <v>339.17525999999998</v>
      </c>
      <c r="J92" s="607">
        <f t="shared" si="6"/>
        <v>0</v>
      </c>
      <c r="K92" s="607"/>
    </row>
    <row r="93" spans="2:11" x14ac:dyDescent="0.2">
      <c r="B93" s="820" t="s">
        <v>230</v>
      </c>
      <c r="D93" s="607">
        <f t="shared" si="3"/>
        <v>85.164590000000004</v>
      </c>
      <c r="E93" s="607">
        <f t="shared" si="3"/>
        <v>51.067959999999999</v>
      </c>
      <c r="F93" s="607">
        <f t="shared" si="7"/>
        <v>51.067959999999999</v>
      </c>
      <c r="G93" s="607">
        <f t="shared" si="4"/>
        <v>0</v>
      </c>
      <c r="H93" s="607">
        <f t="shared" si="5"/>
        <v>0</v>
      </c>
      <c r="I93" s="607">
        <f t="shared" si="6"/>
        <v>91.838860000000011</v>
      </c>
      <c r="J93" s="607">
        <f t="shared" si="6"/>
        <v>0</v>
      </c>
      <c r="K93" s="607"/>
    </row>
    <row r="94" spans="2:11" x14ac:dyDescent="0.2">
      <c r="B94" s="820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67.739320000000006</v>
      </c>
      <c r="J94" s="607">
        <f t="shared" si="9"/>
        <v>14.000500000000001</v>
      </c>
      <c r="K94" s="607"/>
    </row>
    <row r="95" spans="2:11" x14ac:dyDescent="0.2">
      <c r="B95" s="820" t="s">
        <v>150</v>
      </c>
      <c r="D95" s="607">
        <f t="shared" si="8"/>
        <v>0</v>
      </c>
      <c r="E95" s="607">
        <f t="shared" si="8"/>
        <v>12.91728</v>
      </c>
      <c r="F95" s="607">
        <f t="shared" si="7"/>
        <v>12.91728</v>
      </c>
      <c r="G95" s="607">
        <f t="shared" si="4"/>
        <v>0</v>
      </c>
      <c r="H95" s="607">
        <f t="shared" si="5"/>
        <v>0</v>
      </c>
      <c r="I95" s="607">
        <f t="shared" si="9"/>
        <v>81.982575000000011</v>
      </c>
      <c r="J95" s="607">
        <f t="shared" si="9"/>
        <v>19.761961200000002</v>
      </c>
      <c r="K95" s="607"/>
    </row>
    <row r="96" spans="2:11" x14ac:dyDescent="0.2">
      <c r="B96" s="820" t="s">
        <v>151</v>
      </c>
      <c r="D96" s="607">
        <f t="shared" si="8"/>
        <v>0</v>
      </c>
      <c r="E96" s="607">
        <f t="shared" si="8"/>
        <v>12.130380000000001</v>
      </c>
      <c r="F96" s="607">
        <f t="shared" si="7"/>
        <v>12.130380000000001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5" x14ac:dyDescent="0.2">
      <c r="B97" s="820" t="s">
        <v>153</v>
      </c>
      <c r="D97" s="607">
        <f t="shared" si="8"/>
        <v>0</v>
      </c>
      <c r="E97" s="607">
        <f t="shared" si="8"/>
        <v>202.69937999999999</v>
      </c>
      <c r="F97" s="607">
        <f t="shared" si="7"/>
        <v>202.69937999999999</v>
      </c>
      <c r="G97" s="607">
        <f t="shared" si="4"/>
        <v>0</v>
      </c>
      <c r="H97" s="607">
        <f t="shared" si="5"/>
        <v>0</v>
      </c>
      <c r="I97" s="607">
        <f t="shared" si="9"/>
        <v>144.43745999999999</v>
      </c>
      <c r="J97" s="607">
        <f t="shared" si="9"/>
        <v>29.103760000000001</v>
      </c>
      <c r="K97" s="607"/>
    </row>
    <row r="98" spans="2:15" x14ac:dyDescent="0.2">
      <c r="B98" s="820" t="s">
        <v>159</v>
      </c>
      <c r="D98" s="607">
        <f t="shared" si="8"/>
        <v>11.444900000000001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5" x14ac:dyDescent="0.2">
      <c r="B99" s="820" t="s">
        <v>154</v>
      </c>
      <c r="D99" s="607">
        <f t="shared" si="8"/>
        <v>0</v>
      </c>
      <c r="E99" s="607">
        <f t="shared" si="8"/>
        <v>5.9208299999999996</v>
      </c>
      <c r="F99" s="607">
        <f t="shared" si="7"/>
        <v>5.9208299999999996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5" x14ac:dyDescent="0.2">
      <c r="B100" s="820" t="s">
        <v>155</v>
      </c>
      <c r="D100" s="607">
        <f t="shared" si="8"/>
        <v>0</v>
      </c>
      <c r="E100" s="607">
        <f t="shared" si="8"/>
        <v>0</v>
      </c>
      <c r="F100" s="607">
        <f t="shared" si="7"/>
        <v>0</v>
      </c>
      <c r="G100" s="607">
        <f t="shared" si="4"/>
        <v>0</v>
      </c>
      <c r="H100" s="607">
        <f t="shared" si="5"/>
        <v>0</v>
      </c>
      <c r="I100" s="607">
        <f t="shared" si="9"/>
        <v>0</v>
      </c>
      <c r="J100" s="607">
        <f t="shared" si="9"/>
        <v>0</v>
      </c>
      <c r="K100" s="607"/>
    </row>
    <row r="101" spans="2:15" x14ac:dyDescent="0.2">
      <c r="B101" s="820" t="s">
        <v>156</v>
      </c>
      <c r="D101" s="607">
        <f t="shared" si="8"/>
        <v>0</v>
      </c>
      <c r="E101" s="607">
        <f t="shared" si="8"/>
        <v>0</v>
      </c>
      <c r="F101" s="607">
        <f t="shared" si="7"/>
        <v>0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5" x14ac:dyDescent="0.2">
      <c r="B102" s="820" t="s">
        <v>152</v>
      </c>
      <c r="D102" s="607">
        <f t="shared" si="8"/>
        <v>0</v>
      </c>
      <c r="E102" s="607">
        <f t="shared" si="8"/>
        <v>0</v>
      </c>
      <c r="F102" s="607">
        <f t="shared" si="7"/>
        <v>0</v>
      </c>
      <c r="G102" s="607">
        <f t="shared" si="4"/>
        <v>0</v>
      </c>
      <c r="H102" s="607">
        <f t="shared" si="5"/>
        <v>0</v>
      </c>
      <c r="I102" s="607">
        <f t="shared" si="9"/>
        <v>0</v>
      </c>
      <c r="J102" s="607">
        <f t="shared" si="9"/>
        <v>0</v>
      </c>
      <c r="K102" s="607"/>
    </row>
    <row r="103" spans="2:15" x14ac:dyDescent="0.2">
      <c r="B103" s="820" t="s">
        <v>133</v>
      </c>
      <c r="D103" s="734">
        <f t="shared" si="8"/>
        <v>10.579210000000002</v>
      </c>
      <c r="E103" s="734">
        <f t="shared" si="8"/>
        <v>0</v>
      </c>
      <c r="F103" s="734">
        <f t="shared" si="7"/>
        <v>0</v>
      </c>
      <c r="G103" s="734">
        <f t="shared" si="4"/>
        <v>0</v>
      </c>
      <c r="H103" s="734">
        <f t="shared" si="5"/>
        <v>0</v>
      </c>
      <c r="I103" s="734">
        <f t="shared" si="9"/>
        <v>0</v>
      </c>
      <c r="J103" s="734">
        <f t="shared" si="9"/>
        <v>0</v>
      </c>
      <c r="K103" s="607"/>
    </row>
    <row r="104" spans="2:15" hidden="1" x14ac:dyDescent="0.2">
      <c r="D104" s="835"/>
      <c r="E104" s="835"/>
      <c r="F104" s="607">
        <f t="shared" si="7"/>
        <v>0</v>
      </c>
      <c r="G104" s="835"/>
      <c r="H104" s="835"/>
      <c r="I104" s="835"/>
      <c r="J104" s="835"/>
      <c r="K104" s="836"/>
    </row>
    <row r="105" spans="2:15" hidden="1" x14ac:dyDescent="0.2">
      <c r="F105" s="607">
        <f t="shared" si="7"/>
        <v>0</v>
      </c>
    </row>
    <row r="106" spans="2:15" x14ac:dyDescent="0.2">
      <c r="B106" s="820" t="s">
        <v>0</v>
      </c>
      <c r="D106" s="837">
        <f t="shared" ref="D106:J106" si="10">SUM(D78:D104)</f>
        <v>1128.1436450000001</v>
      </c>
      <c r="E106" s="837">
        <f t="shared" si="10"/>
        <v>531.61897499999998</v>
      </c>
      <c r="F106" s="837">
        <f t="shared" si="10"/>
        <v>1149.1227249999999</v>
      </c>
      <c r="G106" s="837">
        <f t="shared" si="10"/>
        <v>617.50374999999997</v>
      </c>
      <c r="H106" s="837">
        <f t="shared" si="10"/>
        <v>880.19896999999992</v>
      </c>
      <c r="I106" s="837">
        <f t="shared" si="10"/>
        <v>2711.4224900000004</v>
      </c>
      <c r="J106" s="837">
        <f t="shared" si="10"/>
        <v>1246.5321012000002</v>
      </c>
      <c r="K106" s="837">
        <f>SUM(D106:J106)</f>
        <v>8264.5426562000011</v>
      </c>
    </row>
    <row r="107" spans="2:15" x14ac:dyDescent="0.2">
      <c r="D107" s="837">
        <f>+D106+E106+G106+H106+I106+J106</f>
        <v>7115.4199312000001</v>
      </c>
      <c r="E107" s="837"/>
      <c r="F107" s="837"/>
      <c r="G107" s="837"/>
      <c r="H107" s="837"/>
      <c r="I107" s="837"/>
      <c r="J107" s="837"/>
      <c r="K107" s="837"/>
    </row>
    <row r="109" spans="2:15" x14ac:dyDescent="0.2">
      <c r="D109" s="838" t="s">
        <v>239</v>
      </c>
      <c r="E109" s="838" t="s">
        <v>238</v>
      </c>
      <c r="F109" s="839" t="s">
        <v>573</v>
      </c>
      <c r="G109" s="838" t="s">
        <v>258</v>
      </c>
      <c r="H109" s="840" t="s">
        <v>574</v>
      </c>
      <c r="I109" s="838" t="s">
        <v>262</v>
      </c>
      <c r="J109" s="838" t="s">
        <v>263</v>
      </c>
      <c r="O109" s="820" t="s">
        <v>590</v>
      </c>
    </row>
    <row r="110" spans="2:15" x14ac:dyDescent="0.2">
      <c r="C110" s="841" t="s">
        <v>130</v>
      </c>
      <c r="D110" s="985" t="s">
        <v>576</v>
      </c>
      <c r="E110" s="986"/>
      <c r="F110" s="986"/>
      <c r="G110" s="986"/>
      <c r="H110" s="986"/>
      <c r="I110" s="986"/>
      <c r="J110" s="987"/>
    </row>
    <row r="112" spans="2:15" x14ac:dyDescent="0.2">
      <c r="B112" s="820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98.198246999999995</v>
      </c>
      <c r="E112" s="607">
        <f t="shared" si="11"/>
        <v>3.3486750000000001</v>
      </c>
      <c r="F112" s="607">
        <f>+E112+G112</f>
        <v>3.3486750000000001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3.4941570000000004</v>
      </c>
      <c r="J112" s="607">
        <f t="shared" si="12"/>
        <v>5.7429300000000003</v>
      </c>
    </row>
    <row r="113" spans="2:10" x14ac:dyDescent="0.2">
      <c r="B113" s="820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</row>
    <row r="114" spans="2:10" x14ac:dyDescent="0.2">
      <c r="B114" s="820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</row>
    <row r="115" spans="2:10" x14ac:dyDescent="0.2">
      <c r="B115" s="820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</row>
    <row r="116" spans="2:10" x14ac:dyDescent="0.2">
      <c r="B116" s="820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</row>
    <row r="117" spans="2:10" x14ac:dyDescent="0.2">
      <c r="B117" s="820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</row>
    <row r="118" spans="2:10" x14ac:dyDescent="0.2">
      <c r="B118" s="820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203.50715000000002</v>
      </c>
      <c r="J118" s="607">
        <f t="shared" si="12"/>
        <v>0</v>
      </c>
    </row>
    <row r="119" spans="2:10" x14ac:dyDescent="0.2">
      <c r="B119" s="820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</row>
    <row r="120" spans="2:10" x14ac:dyDescent="0.2">
      <c r="B120" s="820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2.7546399999999998</v>
      </c>
      <c r="J120" s="607">
        <f t="shared" si="12"/>
        <v>0</v>
      </c>
    </row>
    <row r="121" spans="2:10" x14ac:dyDescent="0.2">
      <c r="B121" s="820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</row>
    <row r="122" spans="2:10" x14ac:dyDescent="0.2">
      <c r="B122" s="820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</row>
    <row r="123" spans="2:10" x14ac:dyDescent="0.2">
      <c r="B123" s="820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</row>
    <row r="124" spans="2:10" x14ac:dyDescent="0.2">
      <c r="B124" s="820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</row>
    <row r="125" spans="2:10" x14ac:dyDescent="0.2">
      <c r="B125" s="820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</row>
    <row r="126" spans="2:10" x14ac:dyDescent="0.2">
      <c r="B126" s="820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0</v>
      </c>
      <c r="F126" s="607">
        <f t="shared" si="13"/>
        <v>0</v>
      </c>
      <c r="G126" s="607">
        <f t="shared" si="12"/>
        <v>0</v>
      </c>
      <c r="H126" s="607">
        <f t="shared" si="12"/>
        <v>0</v>
      </c>
      <c r="I126" s="607">
        <f t="shared" si="12"/>
        <v>101.75257799999999</v>
      </c>
      <c r="J126" s="607">
        <f t="shared" si="12"/>
        <v>0</v>
      </c>
    </row>
    <row r="127" spans="2:10" x14ac:dyDescent="0.2">
      <c r="B127" s="820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25.549377</v>
      </c>
      <c r="E127" s="607">
        <f t="shared" si="11"/>
        <v>15.320387999999999</v>
      </c>
      <c r="F127" s="607">
        <f t="shared" si="13"/>
        <v>15.320387999999999</v>
      </c>
      <c r="G127" s="607">
        <f t="shared" si="12"/>
        <v>0</v>
      </c>
      <c r="H127" s="607">
        <f t="shared" si="12"/>
        <v>0</v>
      </c>
      <c r="I127" s="607">
        <f t="shared" si="12"/>
        <v>27.551658000000003</v>
      </c>
      <c r="J127" s="607">
        <f t="shared" si="12"/>
        <v>0</v>
      </c>
    </row>
    <row r="128" spans="2:10" x14ac:dyDescent="0.2">
      <c r="B128" s="820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4">$C128*D94</f>
        <v>0</v>
      </c>
      <c r="E128" s="607">
        <f t="shared" si="14"/>
        <v>0</v>
      </c>
      <c r="F128" s="607">
        <f t="shared" si="13"/>
        <v>0</v>
      </c>
      <c r="G128" s="607">
        <f t="shared" ref="G128:J137" si="15">$C128*G94</f>
        <v>0</v>
      </c>
      <c r="H128" s="607">
        <f t="shared" si="15"/>
        <v>0</v>
      </c>
      <c r="I128" s="607">
        <f t="shared" si="15"/>
        <v>47.417524</v>
      </c>
      <c r="J128" s="607">
        <f t="shared" si="15"/>
        <v>9.8003499999999999</v>
      </c>
    </row>
    <row r="129" spans="2:10" x14ac:dyDescent="0.2">
      <c r="B129" s="820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4"/>
        <v>0</v>
      </c>
      <c r="E129" s="607">
        <f t="shared" si="14"/>
        <v>11.625552000000001</v>
      </c>
      <c r="F129" s="607">
        <f t="shared" si="13"/>
        <v>11.625552000000001</v>
      </c>
      <c r="G129" s="607">
        <f t="shared" si="15"/>
        <v>0</v>
      </c>
      <c r="H129" s="607">
        <f t="shared" si="15"/>
        <v>0</v>
      </c>
      <c r="I129" s="607">
        <f t="shared" si="15"/>
        <v>73.784317500000014</v>
      </c>
      <c r="J129" s="607">
        <f t="shared" si="15"/>
        <v>17.785765080000001</v>
      </c>
    </row>
    <row r="130" spans="2:10" x14ac:dyDescent="0.2">
      <c r="B130" s="820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4"/>
        <v>0</v>
      </c>
      <c r="E130" s="607">
        <f t="shared" si="14"/>
        <v>10.917342000000001</v>
      </c>
      <c r="F130" s="607">
        <f t="shared" si="13"/>
        <v>10.917342000000001</v>
      </c>
      <c r="G130" s="607">
        <f t="shared" si="15"/>
        <v>0</v>
      </c>
      <c r="H130" s="607">
        <f t="shared" si="15"/>
        <v>0</v>
      </c>
      <c r="I130" s="607">
        <f t="shared" si="15"/>
        <v>0</v>
      </c>
      <c r="J130" s="607">
        <f t="shared" si="15"/>
        <v>0</v>
      </c>
    </row>
    <row r="131" spans="2:10" x14ac:dyDescent="0.2">
      <c r="B131" s="820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4"/>
        <v>0</v>
      </c>
      <c r="E131" s="607">
        <f t="shared" si="14"/>
        <v>60.809813999999996</v>
      </c>
      <c r="F131" s="607">
        <f t="shared" si="13"/>
        <v>60.809813999999996</v>
      </c>
      <c r="G131" s="607">
        <f t="shared" si="15"/>
        <v>0</v>
      </c>
      <c r="H131" s="607">
        <f t="shared" si="15"/>
        <v>0</v>
      </c>
      <c r="I131" s="607">
        <f t="shared" si="15"/>
        <v>43.331237999999992</v>
      </c>
      <c r="J131" s="607">
        <f t="shared" si="15"/>
        <v>8.731128</v>
      </c>
    </row>
    <row r="132" spans="2:10" x14ac:dyDescent="0.2">
      <c r="B132" s="820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4"/>
        <v>8.0114300000000007</v>
      </c>
      <c r="E132" s="607">
        <f t="shared" si="14"/>
        <v>0</v>
      </c>
      <c r="F132" s="607">
        <f t="shared" si="13"/>
        <v>0</v>
      </c>
      <c r="G132" s="607">
        <f t="shared" si="15"/>
        <v>0</v>
      </c>
      <c r="H132" s="607">
        <f t="shared" si="15"/>
        <v>0</v>
      </c>
      <c r="I132" s="607">
        <f t="shared" si="15"/>
        <v>0</v>
      </c>
      <c r="J132" s="607">
        <f t="shared" si="15"/>
        <v>0</v>
      </c>
    </row>
    <row r="133" spans="2:10" x14ac:dyDescent="0.2">
      <c r="B133" s="820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4"/>
        <v>0</v>
      </c>
      <c r="E133" s="607">
        <f t="shared" si="14"/>
        <v>2.9604149999999998</v>
      </c>
      <c r="F133" s="607">
        <f t="shared" si="13"/>
        <v>2.9604149999999998</v>
      </c>
      <c r="G133" s="607">
        <f t="shared" si="15"/>
        <v>0</v>
      </c>
      <c r="H133" s="607">
        <f t="shared" si="15"/>
        <v>0</v>
      </c>
      <c r="I133" s="607">
        <f t="shared" si="15"/>
        <v>0</v>
      </c>
      <c r="J133" s="607">
        <f t="shared" si="15"/>
        <v>0</v>
      </c>
    </row>
    <row r="134" spans="2:10" x14ac:dyDescent="0.2">
      <c r="B134" s="820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4"/>
        <v>0</v>
      </c>
      <c r="E134" s="607">
        <f t="shared" si="14"/>
        <v>0</v>
      </c>
      <c r="F134" s="607">
        <f t="shared" si="13"/>
        <v>0</v>
      </c>
      <c r="G134" s="607">
        <f t="shared" si="15"/>
        <v>0</v>
      </c>
      <c r="H134" s="607">
        <f t="shared" si="15"/>
        <v>0</v>
      </c>
      <c r="I134" s="607">
        <f t="shared" si="15"/>
        <v>0</v>
      </c>
      <c r="J134" s="607">
        <f t="shared" si="15"/>
        <v>0</v>
      </c>
    </row>
    <row r="135" spans="2:10" x14ac:dyDescent="0.2">
      <c r="B135" s="820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4"/>
        <v>0</v>
      </c>
      <c r="E135" s="607">
        <f t="shared" si="14"/>
        <v>0</v>
      </c>
      <c r="F135" s="607">
        <f t="shared" si="13"/>
        <v>0</v>
      </c>
      <c r="G135" s="607">
        <f t="shared" si="15"/>
        <v>0</v>
      </c>
      <c r="H135" s="607">
        <f t="shared" si="15"/>
        <v>0</v>
      </c>
      <c r="I135" s="607">
        <f t="shared" si="15"/>
        <v>0</v>
      </c>
      <c r="J135" s="607">
        <f t="shared" si="15"/>
        <v>0</v>
      </c>
    </row>
    <row r="136" spans="2:10" x14ac:dyDescent="0.2">
      <c r="B136" s="820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4"/>
        <v>0</v>
      </c>
      <c r="E136" s="607">
        <f t="shared" si="14"/>
        <v>0</v>
      </c>
      <c r="F136" s="607">
        <f t="shared" si="13"/>
        <v>0</v>
      </c>
      <c r="G136" s="607">
        <f t="shared" si="15"/>
        <v>0</v>
      </c>
      <c r="H136" s="607">
        <f t="shared" si="15"/>
        <v>0</v>
      </c>
      <c r="I136" s="607">
        <f t="shared" si="15"/>
        <v>0</v>
      </c>
      <c r="J136" s="607">
        <f t="shared" si="15"/>
        <v>0</v>
      </c>
    </row>
    <row r="137" spans="2:10" x14ac:dyDescent="0.2">
      <c r="B137" s="820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4"/>
        <v>3.1737630000000006</v>
      </c>
      <c r="E137" s="607">
        <f t="shared" si="14"/>
        <v>0</v>
      </c>
      <c r="F137" s="607">
        <f t="shared" si="13"/>
        <v>0</v>
      </c>
      <c r="G137" s="607">
        <f t="shared" si="15"/>
        <v>0</v>
      </c>
      <c r="H137" s="607">
        <f t="shared" si="15"/>
        <v>0</v>
      </c>
      <c r="I137" s="607">
        <f t="shared" si="15"/>
        <v>0</v>
      </c>
      <c r="J137" s="607">
        <f t="shared" si="15"/>
        <v>0</v>
      </c>
    </row>
    <row r="138" spans="2:10" ht="6.75" customHeight="1" x14ac:dyDescent="0.2">
      <c r="D138" s="835"/>
      <c r="E138" s="835"/>
      <c r="F138" s="835"/>
      <c r="G138" s="835"/>
      <c r="H138" s="835"/>
      <c r="I138" s="835"/>
      <c r="J138" s="835"/>
    </row>
    <row r="139" spans="2:10" ht="5.25" customHeight="1" x14ac:dyDescent="0.2"/>
    <row r="140" spans="2:10" x14ac:dyDescent="0.2">
      <c r="B140" s="820" t="s">
        <v>0</v>
      </c>
      <c r="D140" s="837">
        <f t="shared" ref="D140:J140" si="16">SUM(D112:D138)</f>
        <v>443.24604949999997</v>
      </c>
      <c r="E140" s="837">
        <f t="shared" si="16"/>
        <v>171.02291049999999</v>
      </c>
      <c r="F140" s="837">
        <f t="shared" si="16"/>
        <v>456.14524875000001</v>
      </c>
      <c r="G140" s="837">
        <f t="shared" si="16"/>
        <v>285.12233824999993</v>
      </c>
      <c r="H140" s="837">
        <f t="shared" si="16"/>
        <v>526.80590249999989</v>
      </c>
      <c r="I140" s="837">
        <f t="shared" si="16"/>
        <v>1101.3169855000001</v>
      </c>
      <c r="J140" s="837">
        <f t="shared" si="16"/>
        <v>462.00022507999989</v>
      </c>
    </row>
    <row r="141" spans="2:10" x14ac:dyDescent="0.2">
      <c r="D141" s="837"/>
      <c r="E141" s="837"/>
      <c r="F141" s="837"/>
      <c r="G141" s="837"/>
      <c r="H141" s="837"/>
      <c r="I141" s="837"/>
      <c r="J141" s="837"/>
    </row>
    <row r="142" spans="2:10" x14ac:dyDescent="0.2">
      <c r="D142" s="837"/>
      <c r="E142" s="837"/>
      <c r="F142" s="837"/>
      <c r="G142" s="837"/>
      <c r="H142" s="837"/>
      <c r="I142" s="837"/>
      <c r="J142" s="837"/>
    </row>
    <row r="143" spans="2:10" x14ac:dyDescent="0.2">
      <c r="D143" s="838" t="s">
        <v>239</v>
      </c>
      <c r="E143" s="838" t="s">
        <v>238</v>
      </c>
      <c r="F143" s="840" t="s">
        <v>575</v>
      </c>
      <c r="G143" s="838" t="s">
        <v>258</v>
      </c>
      <c r="H143" s="840" t="s">
        <v>574</v>
      </c>
      <c r="I143" s="838" t="s">
        <v>262</v>
      </c>
      <c r="J143" s="838" t="s">
        <v>263</v>
      </c>
    </row>
    <row r="144" spans="2:10" x14ac:dyDescent="0.2">
      <c r="D144" s="985" t="s">
        <v>577</v>
      </c>
      <c r="E144" s="986"/>
      <c r="F144" s="986"/>
      <c r="G144" s="986"/>
      <c r="H144" s="986"/>
      <c r="I144" s="986"/>
      <c r="J144" s="987"/>
    </row>
    <row r="145" spans="2:10" x14ac:dyDescent="0.2">
      <c r="B145" s="820" t="s">
        <v>229</v>
      </c>
      <c r="D145" s="592">
        <f t="shared" ref="D145:J160" si="17">+D112/D$140</f>
        <v>0.22154342291549289</v>
      </c>
      <c r="E145" s="592">
        <f t="shared" si="17"/>
        <v>1.9580271381242808E-2</v>
      </c>
      <c r="F145" s="592">
        <f t="shared" si="17"/>
        <v>7.3412471338385283E-3</v>
      </c>
      <c r="G145" s="592">
        <f t="shared" si="17"/>
        <v>0</v>
      </c>
      <c r="H145" s="592">
        <f t="shared" si="17"/>
        <v>0</v>
      </c>
      <c r="I145" s="592">
        <f t="shared" si="17"/>
        <v>3.1727078089271873E-3</v>
      </c>
      <c r="J145" s="592">
        <f t="shared" si="17"/>
        <v>1.243057835957884E-2</v>
      </c>
    </row>
    <row r="146" spans="2:10" x14ac:dyDescent="0.2">
      <c r="B146" s="820" t="s">
        <v>149</v>
      </c>
      <c r="D146" s="592">
        <f t="shared" si="17"/>
        <v>0</v>
      </c>
      <c r="E146" s="592">
        <f t="shared" si="17"/>
        <v>0</v>
      </c>
      <c r="F146" s="592">
        <f t="shared" si="17"/>
        <v>0</v>
      </c>
      <c r="G146" s="592">
        <f t="shared" si="17"/>
        <v>0</v>
      </c>
      <c r="H146" s="592">
        <f t="shared" si="17"/>
        <v>0</v>
      </c>
      <c r="I146" s="592">
        <f t="shared" si="17"/>
        <v>0</v>
      </c>
      <c r="J146" s="592">
        <f t="shared" si="17"/>
        <v>0.23179772040469498</v>
      </c>
    </row>
    <row r="147" spans="2:10" x14ac:dyDescent="0.2">
      <c r="B147" s="820" t="s">
        <v>144</v>
      </c>
      <c r="D147" s="592">
        <f t="shared" si="17"/>
        <v>0</v>
      </c>
      <c r="E147" s="592">
        <f t="shared" si="17"/>
        <v>0</v>
      </c>
      <c r="F147" s="592">
        <f t="shared" si="17"/>
        <v>0</v>
      </c>
      <c r="G147" s="592">
        <f t="shared" si="17"/>
        <v>0</v>
      </c>
      <c r="H147" s="592">
        <f t="shared" si="17"/>
        <v>1.4521477386066307E-3</v>
      </c>
      <c r="I147" s="592">
        <f t="shared" si="17"/>
        <v>0</v>
      </c>
      <c r="J147" s="592">
        <f t="shared" si="17"/>
        <v>0</v>
      </c>
    </row>
    <row r="148" spans="2:10" x14ac:dyDescent="0.2">
      <c r="B148" s="820" t="s">
        <v>142</v>
      </c>
      <c r="D148" s="592">
        <f t="shared" si="17"/>
        <v>0</v>
      </c>
      <c r="E148" s="592">
        <f t="shared" si="17"/>
        <v>8.1477241612023674E-2</v>
      </c>
      <c r="F148" s="592">
        <f t="shared" si="17"/>
        <v>0.11951901537810329</v>
      </c>
      <c r="G148" s="592">
        <f t="shared" si="17"/>
        <v>0.14233734280200688</v>
      </c>
      <c r="H148" s="592">
        <f t="shared" si="17"/>
        <v>0.12766789187598371</v>
      </c>
      <c r="I148" s="592">
        <f t="shared" si="17"/>
        <v>3.2541554767476166E-2</v>
      </c>
      <c r="J148" s="592">
        <f t="shared" si="17"/>
        <v>3.8756007092636206E-2</v>
      </c>
    </row>
    <row r="149" spans="2:10" x14ac:dyDescent="0.2">
      <c r="B149" s="820" t="s">
        <v>143</v>
      </c>
      <c r="D149" s="592">
        <f t="shared" si="17"/>
        <v>0</v>
      </c>
      <c r="E149" s="592">
        <f t="shared" si="17"/>
        <v>7.614308785839545E-2</v>
      </c>
      <c r="F149" s="592">
        <f t="shared" si="17"/>
        <v>6.7221249336755273E-2</v>
      </c>
      <c r="G149" s="592">
        <f t="shared" si="17"/>
        <v>6.1869726196383028E-2</v>
      </c>
      <c r="H149" s="592">
        <f t="shared" si="17"/>
        <v>8.2873345368411108E-2</v>
      </c>
      <c r="I149" s="592">
        <f t="shared" si="17"/>
        <v>6.3011535655644352E-2</v>
      </c>
      <c r="J149" s="592">
        <f t="shared" si="17"/>
        <v>0.1716985364807217</v>
      </c>
    </row>
    <row r="150" spans="2:10" x14ac:dyDescent="0.2">
      <c r="B150" s="820" t="s">
        <v>139</v>
      </c>
      <c r="D150" s="592">
        <f t="shared" si="17"/>
        <v>0</v>
      </c>
      <c r="E150" s="592">
        <f t="shared" si="17"/>
        <v>0</v>
      </c>
      <c r="F150" s="592">
        <f t="shared" si="17"/>
        <v>4.824005689043144E-2</v>
      </c>
      <c r="G150" s="592">
        <f t="shared" si="17"/>
        <v>7.7175548170154665E-2</v>
      </c>
      <c r="H150" s="592">
        <f t="shared" si="17"/>
        <v>2.1747574288046256E-2</v>
      </c>
      <c r="I150" s="592">
        <f t="shared" si="17"/>
        <v>2.299735120175353E-2</v>
      </c>
      <c r="J150" s="592">
        <f t="shared" si="17"/>
        <v>2.4936154518117631E-2</v>
      </c>
    </row>
    <row r="151" spans="2:10" x14ac:dyDescent="0.2">
      <c r="B151" s="820" t="s">
        <v>146</v>
      </c>
      <c r="D151" s="592">
        <f t="shared" si="17"/>
        <v>0.12823199905360916</v>
      </c>
      <c r="E151" s="592">
        <f t="shared" si="17"/>
        <v>0</v>
      </c>
      <c r="F151" s="592">
        <f t="shared" si="17"/>
        <v>0</v>
      </c>
      <c r="G151" s="592">
        <f t="shared" si="17"/>
        <v>0</v>
      </c>
      <c r="H151" s="592">
        <f t="shared" si="17"/>
        <v>0.11153154552971244</v>
      </c>
      <c r="I151" s="592">
        <f t="shared" si="17"/>
        <v>0.18478526407872242</v>
      </c>
      <c r="J151" s="592">
        <f t="shared" si="17"/>
        <v>0</v>
      </c>
    </row>
    <row r="152" spans="2:10" x14ac:dyDescent="0.2">
      <c r="B152" s="820" t="s">
        <v>135</v>
      </c>
      <c r="D152" s="592">
        <f t="shared" si="17"/>
        <v>0.25498996128108753</v>
      </c>
      <c r="E152" s="592">
        <f t="shared" si="17"/>
        <v>0.16232154170946586</v>
      </c>
      <c r="F152" s="592">
        <f t="shared" si="17"/>
        <v>0.29900991487637413</v>
      </c>
      <c r="G152" s="592">
        <f t="shared" si="17"/>
        <v>0.38099873256773853</v>
      </c>
      <c r="H152" s="592">
        <f t="shared" si="17"/>
        <v>0.10505320790326567</v>
      </c>
      <c r="I152" s="592">
        <f t="shared" si="17"/>
        <v>0.38426098986194196</v>
      </c>
      <c r="J152" s="592">
        <f t="shared" si="17"/>
        <v>0.3017687848006102</v>
      </c>
    </row>
    <row r="153" spans="2:10" x14ac:dyDescent="0.2">
      <c r="B153" s="820" t="s">
        <v>148</v>
      </c>
      <c r="D153" s="592">
        <f t="shared" si="17"/>
        <v>0.30238337296224449</v>
      </c>
      <c r="E153" s="592">
        <f t="shared" si="17"/>
        <v>0</v>
      </c>
      <c r="F153" s="592">
        <f t="shared" si="17"/>
        <v>0.17991466473649198</v>
      </c>
      <c r="G153" s="592">
        <f t="shared" si="17"/>
        <v>0.2878316024051476</v>
      </c>
      <c r="H153" s="592">
        <f t="shared" si="17"/>
        <v>0.43285889246466835</v>
      </c>
      <c r="I153" s="592">
        <f t="shared" si="17"/>
        <v>2.5012235680260462E-3</v>
      </c>
      <c r="J153" s="592">
        <f t="shared" si="17"/>
        <v>0</v>
      </c>
    </row>
    <row r="154" spans="2:10" x14ac:dyDescent="0.2">
      <c r="B154" s="820" t="s">
        <v>137</v>
      </c>
      <c r="D154" s="592">
        <f t="shared" si="17"/>
        <v>0</v>
      </c>
      <c r="E154" s="592">
        <f t="shared" si="17"/>
        <v>0</v>
      </c>
      <c r="F154" s="592">
        <f t="shared" si="17"/>
        <v>7.7261080974922666E-3</v>
      </c>
      <c r="G154" s="592">
        <f t="shared" si="17"/>
        <v>1.2360404735843248E-2</v>
      </c>
      <c r="H154" s="592">
        <f t="shared" si="17"/>
        <v>5.4630443325376379E-2</v>
      </c>
      <c r="I154" s="592">
        <f t="shared" si="17"/>
        <v>2.9438465879358756E-2</v>
      </c>
      <c r="J154" s="592">
        <f t="shared" si="17"/>
        <v>6.1082681280324888E-2</v>
      </c>
    </row>
    <row r="155" spans="2:10" x14ac:dyDescent="0.2">
      <c r="B155" s="820" t="s">
        <v>145</v>
      </c>
      <c r="D155" s="592">
        <f t="shared" si="17"/>
        <v>0</v>
      </c>
      <c r="E155" s="592">
        <f t="shared" si="17"/>
        <v>0</v>
      </c>
      <c r="F155" s="592">
        <f t="shared" si="17"/>
        <v>1.8286734374321378E-2</v>
      </c>
      <c r="G155" s="592">
        <f t="shared" si="17"/>
        <v>2.925553659245779E-2</v>
      </c>
      <c r="H155" s="592">
        <f t="shared" si="17"/>
        <v>5.1431878176421926E-2</v>
      </c>
      <c r="I155" s="592">
        <f t="shared" si="17"/>
        <v>6.8353672004634672E-3</v>
      </c>
      <c r="J155" s="592">
        <f t="shared" si="17"/>
        <v>0</v>
      </c>
    </row>
    <row r="156" spans="2:10" x14ac:dyDescent="0.2">
      <c r="B156" s="820" t="s">
        <v>140</v>
      </c>
      <c r="D156" s="592">
        <f t="shared" si="17"/>
        <v>0</v>
      </c>
      <c r="E156" s="592">
        <f t="shared" si="17"/>
        <v>7.3601133106666432E-3</v>
      </c>
      <c r="F156" s="592">
        <f t="shared" si="17"/>
        <v>2.9444984984073014E-3</v>
      </c>
      <c r="G156" s="592">
        <f t="shared" si="17"/>
        <v>2.9591157437135678E-4</v>
      </c>
      <c r="H156" s="592">
        <f t="shared" si="17"/>
        <v>0</v>
      </c>
      <c r="I156" s="592">
        <f t="shared" si="17"/>
        <v>0</v>
      </c>
      <c r="J156" s="592">
        <f t="shared" si="17"/>
        <v>7.8920824104980344E-2</v>
      </c>
    </row>
    <row r="157" spans="2:10" x14ac:dyDescent="0.2">
      <c r="B157" s="820" t="s">
        <v>134</v>
      </c>
      <c r="D157" s="592">
        <f t="shared" si="17"/>
        <v>1.571665445830443E-3</v>
      </c>
      <c r="E157" s="592">
        <f t="shared" si="17"/>
        <v>2.9249005208574091E-3</v>
      </c>
      <c r="F157" s="592">
        <f t="shared" si="17"/>
        <v>6.0191770220647291E-3</v>
      </c>
      <c r="G157" s="592">
        <f t="shared" si="17"/>
        <v>7.8751949558971482E-3</v>
      </c>
      <c r="H157" s="592">
        <f t="shared" si="17"/>
        <v>2.2933446536317049E-3</v>
      </c>
      <c r="I157" s="592">
        <f t="shared" si="17"/>
        <v>3.091064193888255E-3</v>
      </c>
      <c r="J157" s="592">
        <f t="shared" si="17"/>
        <v>0</v>
      </c>
    </row>
    <row r="158" spans="2:10" x14ac:dyDescent="0.2">
      <c r="B158" s="820" t="s">
        <v>136</v>
      </c>
      <c r="D158" s="592">
        <f t="shared" si="17"/>
        <v>8.4033292664461752E-3</v>
      </c>
      <c r="E158" s="592">
        <f t="shared" si="17"/>
        <v>5.5924445865397666E-2</v>
      </c>
      <c r="F158" s="592">
        <f t="shared" si="17"/>
        <v>2.096779814370477E-2</v>
      </c>
      <c r="G158" s="592">
        <f t="shared" si="17"/>
        <v>0</v>
      </c>
      <c r="H158" s="592">
        <f t="shared" si="17"/>
        <v>8.4597286758760284E-3</v>
      </c>
      <c r="I158" s="592">
        <f t="shared" si="17"/>
        <v>5.5907881936503585E-4</v>
      </c>
      <c r="J158" s="592">
        <f t="shared" si="17"/>
        <v>0</v>
      </c>
    </row>
    <row r="159" spans="2:10" x14ac:dyDescent="0.2">
      <c r="B159" s="820" t="s">
        <v>147</v>
      </c>
      <c r="D159" s="592">
        <f t="shared" si="17"/>
        <v>0</v>
      </c>
      <c r="E159" s="592">
        <f t="shared" si="17"/>
        <v>0</v>
      </c>
      <c r="F159" s="592">
        <f t="shared" si="17"/>
        <v>0</v>
      </c>
      <c r="G159" s="592">
        <f t="shared" si="17"/>
        <v>0</v>
      </c>
      <c r="H159" s="592">
        <f t="shared" si="17"/>
        <v>0</v>
      </c>
      <c r="I159" s="592">
        <f t="shared" si="17"/>
        <v>9.2391726759579684E-2</v>
      </c>
      <c r="J159" s="592">
        <f t="shared" si="17"/>
        <v>0</v>
      </c>
    </row>
    <row r="160" spans="2:10" x14ac:dyDescent="0.2">
      <c r="B160" s="820" t="s">
        <v>230</v>
      </c>
      <c r="D160" s="592">
        <f t="shared" si="17"/>
        <v>5.7641522194773677E-2</v>
      </c>
      <c r="E160" s="592">
        <f t="shared" si="17"/>
        <v>8.9580910272252678E-2</v>
      </c>
      <c r="F160" s="592">
        <f t="shared" si="17"/>
        <v>3.3586643820106211E-2</v>
      </c>
      <c r="G160" s="592">
        <f t="shared" si="17"/>
        <v>0</v>
      </c>
      <c r="H160" s="592">
        <f t="shared" si="17"/>
        <v>0</v>
      </c>
      <c r="I160" s="592">
        <f t="shared" si="17"/>
        <v>2.5017009964203446E-2</v>
      </c>
      <c r="J160" s="592">
        <f t="shared" si="17"/>
        <v>0</v>
      </c>
    </row>
    <row r="161" spans="2:10" x14ac:dyDescent="0.2">
      <c r="B161" s="820" t="s">
        <v>157</v>
      </c>
      <c r="D161" s="592">
        <f t="shared" ref="D161:J170" si="18">+D128/D$140</f>
        <v>0</v>
      </c>
      <c r="E161" s="592">
        <f t="shared" si="18"/>
        <v>0</v>
      </c>
      <c r="F161" s="592">
        <f t="shared" si="18"/>
        <v>0</v>
      </c>
      <c r="G161" s="592">
        <f t="shared" si="18"/>
        <v>0</v>
      </c>
      <c r="H161" s="592">
        <f t="shared" si="18"/>
        <v>0</v>
      </c>
      <c r="I161" s="592">
        <f t="shared" si="18"/>
        <v>4.3055291641100363E-2</v>
      </c>
      <c r="J161" s="592">
        <f t="shared" si="18"/>
        <v>2.1212868453263142E-2</v>
      </c>
    </row>
    <row r="162" spans="2:10" x14ac:dyDescent="0.2">
      <c r="B162" s="820" t="s">
        <v>150</v>
      </c>
      <c r="D162" s="592">
        <f t="shared" si="18"/>
        <v>0</v>
      </c>
      <c r="E162" s="592">
        <f t="shared" si="18"/>
        <v>6.7976576740576528E-2</v>
      </c>
      <c r="F162" s="592">
        <f t="shared" si="18"/>
        <v>2.5486513411809381E-2</v>
      </c>
      <c r="G162" s="592">
        <f t="shared" si="18"/>
        <v>0</v>
      </c>
      <c r="H162" s="592">
        <f t="shared" si="18"/>
        <v>0</v>
      </c>
      <c r="I162" s="592">
        <f t="shared" si="18"/>
        <v>6.6996440145251898E-2</v>
      </c>
      <c r="J162" s="592">
        <f t="shared" si="18"/>
        <v>3.8497308257631736E-2</v>
      </c>
    </row>
    <row r="163" spans="2:10" x14ac:dyDescent="0.2">
      <c r="B163" s="820" t="s">
        <v>151</v>
      </c>
      <c r="D163" s="592">
        <f t="shared" si="18"/>
        <v>0</v>
      </c>
      <c r="E163" s="592">
        <f t="shared" si="18"/>
        <v>6.3835552605684381E-2</v>
      </c>
      <c r="F163" s="592">
        <f t="shared" si="18"/>
        <v>2.3933915852280378E-2</v>
      </c>
      <c r="G163" s="592">
        <f t="shared" si="18"/>
        <v>0</v>
      </c>
      <c r="H163" s="592">
        <f t="shared" si="18"/>
        <v>0</v>
      </c>
      <c r="I163" s="592">
        <f t="shared" si="18"/>
        <v>0</v>
      </c>
      <c r="J163" s="592">
        <f t="shared" si="18"/>
        <v>0</v>
      </c>
    </row>
    <row r="164" spans="2:10" x14ac:dyDescent="0.2">
      <c r="B164" s="820" t="s">
        <v>153</v>
      </c>
      <c r="D164" s="592">
        <f t="shared" si="18"/>
        <v>0</v>
      </c>
      <c r="E164" s="592">
        <f t="shared" si="18"/>
        <v>0.35556530889468169</v>
      </c>
      <c r="F164" s="592">
        <f t="shared" si="18"/>
        <v>0.13331239153896809</v>
      </c>
      <c r="G164" s="592">
        <f t="shared" si="18"/>
        <v>0</v>
      </c>
      <c r="H164" s="592">
        <f t="shared" si="18"/>
        <v>0</v>
      </c>
      <c r="I164" s="592">
        <f t="shared" si="18"/>
        <v>3.93449284542974E-2</v>
      </c>
      <c r="J164" s="592">
        <f t="shared" si="18"/>
        <v>1.8898536247440399E-2</v>
      </c>
    </row>
    <row r="165" spans="2:10" x14ac:dyDescent="0.2">
      <c r="B165" s="820" t="s">
        <v>159</v>
      </c>
      <c r="D165" s="592">
        <f t="shared" si="18"/>
        <v>1.8074453250146793E-2</v>
      </c>
      <c r="E165" s="592">
        <f t="shared" si="18"/>
        <v>0</v>
      </c>
      <c r="F165" s="592">
        <f t="shared" si="18"/>
        <v>0</v>
      </c>
      <c r="G165" s="592">
        <f t="shared" si="18"/>
        <v>0</v>
      </c>
      <c r="H165" s="592">
        <f t="shared" si="18"/>
        <v>0</v>
      </c>
      <c r="I165" s="592">
        <f t="shared" si="18"/>
        <v>0</v>
      </c>
      <c r="J165" s="592">
        <f t="shared" si="18"/>
        <v>0</v>
      </c>
    </row>
    <row r="166" spans="2:10" x14ac:dyDescent="0.2">
      <c r="B166" s="820" t="s">
        <v>154</v>
      </c>
      <c r="D166" s="592">
        <f t="shared" si="18"/>
        <v>0</v>
      </c>
      <c r="E166" s="592">
        <f t="shared" si="18"/>
        <v>1.7310049228755231E-2</v>
      </c>
      <c r="F166" s="592">
        <f t="shared" si="18"/>
        <v>6.4900708888508398E-3</v>
      </c>
      <c r="G166" s="592">
        <f t="shared" si="18"/>
        <v>0</v>
      </c>
      <c r="H166" s="592">
        <f t="shared" si="18"/>
        <v>0</v>
      </c>
      <c r="I166" s="592">
        <f t="shared" si="18"/>
        <v>0</v>
      </c>
      <c r="J166" s="592">
        <f t="shared" si="18"/>
        <v>0</v>
      </c>
    </row>
    <row r="167" spans="2:10" x14ac:dyDescent="0.2">
      <c r="B167" s="820" t="s">
        <v>155</v>
      </c>
      <c r="D167" s="592">
        <f t="shared" si="18"/>
        <v>0</v>
      </c>
      <c r="E167" s="592">
        <f t="shared" si="18"/>
        <v>0</v>
      </c>
      <c r="F167" s="592">
        <f t="shared" si="18"/>
        <v>0</v>
      </c>
      <c r="G167" s="592">
        <f t="shared" si="18"/>
        <v>0</v>
      </c>
      <c r="H167" s="592">
        <f t="shared" si="18"/>
        <v>0</v>
      </c>
      <c r="I167" s="592">
        <f t="shared" si="18"/>
        <v>0</v>
      </c>
      <c r="J167" s="592">
        <f t="shared" si="18"/>
        <v>0</v>
      </c>
    </row>
    <row r="168" spans="2:10" x14ac:dyDescent="0.2">
      <c r="B168" s="820" t="s">
        <v>156</v>
      </c>
      <c r="D168" s="592">
        <f t="shared" si="18"/>
        <v>0</v>
      </c>
      <c r="E168" s="592">
        <f t="shared" si="18"/>
        <v>0</v>
      </c>
      <c r="F168" s="592">
        <f t="shared" si="18"/>
        <v>0</v>
      </c>
      <c r="G168" s="592">
        <f t="shared" si="18"/>
        <v>0</v>
      </c>
      <c r="H168" s="592">
        <f t="shared" si="18"/>
        <v>0</v>
      </c>
      <c r="I168" s="592">
        <f t="shared" si="18"/>
        <v>0</v>
      </c>
      <c r="J168" s="592">
        <f t="shared" si="18"/>
        <v>0</v>
      </c>
    </row>
    <row r="169" spans="2:10" x14ac:dyDescent="0.2">
      <c r="B169" s="820" t="s">
        <v>152</v>
      </c>
      <c r="D169" s="592">
        <f t="shared" si="18"/>
        <v>0</v>
      </c>
      <c r="E169" s="592">
        <f t="shared" si="18"/>
        <v>0</v>
      </c>
      <c r="F169" s="592">
        <f t="shared" si="18"/>
        <v>0</v>
      </c>
      <c r="G169" s="592">
        <f t="shared" si="18"/>
        <v>0</v>
      </c>
      <c r="H169" s="592">
        <f t="shared" si="18"/>
        <v>0</v>
      </c>
      <c r="I169" s="592">
        <f t="shared" si="18"/>
        <v>0</v>
      </c>
      <c r="J169" s="592">
        <f t="shared" si="18"/>
        <v>0</v>
      </c>
    </row>
    <row r="170" spans="2:10" x14ac:dyDescent="0.2">
      <c r="B170" s="820" t="s">
        <v>133</v>
      </c>
      <c r="D170" s="592">
        <f t="shared" si="18"/>
        <v>7.1602736303688153E-3</v>
      </c>
      <c r="E170" s="592">
        <f t="shared" si="18"/>
        <v>0</v>
      </c>
      <c r="F170" s="592">
        <f t="shared" si="18"/>
        <v>0</v>
      </c>
      <c r="G170" s="592">
        <f t="shared" si="18"/>
        <v>0</v>
      </c>
      <c r="H170" s="592">
        <f t="shared" si="18"/>
        <v>0</v>
      </c>
      <c r="I170" s="592">
        <f t="shared" si="18"/>
        <v>0</v>
      </c>
      <c r="J170" s="592">
        <f t="shared" si="18"/>
        <v>0</v>
      </c>
    </row>
    <row r="171" spans="2:10" ht="4.5" customHeight="1" x14ac:dyDescent="0.2"/>
    <row r="172" spans="2:10" x14ac:dyDescent="0.2">
      <c r="B172" s="820" t="s">
        <v>0</v>
      </c>
      <c r="D172" s="842">
        <f>SUM(D145:D170)</f>
        <v>1</v>
      </c>
      <c r="E172" s="842">
        <f t="shared" ref="E172:J172" si="19">SUM(E145:E170)</f>
        <v>1</v>
      </c>
      <c r="F172" s="842">
        <f t="shared" si="19"/>
        <v>1</v>
      </c>
      <c r="G172" s="842">
        <f t="shared" si="19"/>
        <v>1.0000000000000002</v>
      </c>
      <c r="H172" s="842">
        <f t="shared" si="19"/>
        <v>1.0000000000000002</v>
      </c>
      <c r="I172" s="842">
        <f t="shared" si="19"/>
        <v>0.99999999999999989</v>
      </c>
      <c r="J172" s="842">
        <f t="shared" si="19"/>
        <v>1</v>
      </c>
    </row>
    <row r="174" spans="2:10" x14ac:dyDescent="0.2">
      <c r="B174" s="821" t="s">
        <v>578</v>
      </c>
      <c r="D174" s="593">
        <f>+'1. Storm Drainage Fee Calc Sum'!B41</f>
        <v>502523.52904275048</v>
      </c>
      <c r="E174" s="843">
        <f>+'1. Storm Drainage Fee Calc Sum'!C41</f>
        <v>4434786.9799260702</v>
      </c>
      <c r="F174" s="843">
        <f>+E174+G174</f>
        <v>4434786.9799260702</v>
      </c>
      <c r="G174" s="843">
        <f>+'1. Storm Drainage Fee Calc Sum'!D41</f>
        <v>0</v>
      </c>
      <c r="H174" s="843">
        <f>+'1. Storm Drainage Fee Calc Sum'!E41</f>
        <v>3035629.487601574</v>
      </c>
      <c r="I174" s="844">
        <f>+'1. Storm Drainage Fee Calc Sum'!F41</f>
        <v>14795132.247820064</v>
      </c>
      <c r="J174" s="843">
        <f>+'1. Storm Drainage Fee Calc Sum'!G41</f>
        <v>2677955.3415689934</v>
      </c>
    </row>
    <row r="175" spans="2:10" x14ac:dyDescent="0.2">
      <c r="B175" s="821"/>
      <c r="D175" s="593"/>
      <c r="E175" s="843"/>
      <c r="F175" s="843"/>
      <c r="G175" s="843"/>
      <c r="H175" s="843"/>
      <c r="I175" s="844"/>
      <c r="J175" s="843"/>
    </row>
    <row r="176" spans="2:10" x14ac:dyDescent="0.2">
      <c r="B176" s="821"/>
      <c r="D176" s="593"/>
      <c r="E176" s="593"/>
      <c r="F176" s="593"/>
      <c r="G176" s="593"/>
      <c r="H176" s="593"/>
      <c r="I176" s="593"/>
      <c r="J176" s="593"/>
    </row>
    <row r="177" spans="2:10" x14ac:dyDescent="0.2">
      <c r="D177" s="838" t="s">
        <v>239</v>
      </c>
      <c r="E177" s="840" t="s">
        <v>238</v>
      </c>
      <c r="F177" s="839" t="s">
        <v>575</v>
      </c>
      <c r="G177" s="840" t="s">
        <v>258</v>
      </c>
      <c r="H177" s="840" t="s">
        <v>574</v>
      </c>
      <c r="I177" s="838" t="s">
        <v>262</v>
      </c>
      <c r="J177" s="838" t="s">
        <v>263</v>
      </c>
    </row>
    <row r="178" spans="2:10" x14ac:dyDescent="0.2">
      <c r="D178" s="985" t="s">
        <v>579</v>
      </c>
      <c r="E178" s="986"/>
      <c r="F178" s="986"/>
      <c r="G178" s="986"/>
      <c r="H178" s="986"/>
      <c r="I178" s="986"/>
      <c r="J178" s="987"/>
    </row>
    <row r="179" spans="2:10" x14ac:dyDescent="0.2">
      <c r="B179" s="820" t="s">
        <v>229</v>
      </c>
      <c r="D179" s="616">
        <f t="shared" ref="D179:J194" si="20">+D$174*D145</f>
        <v>111330.78271970405</v>
      </c>
      <c r="E179" s="616">
        <f t="shared" si="20"/>
        <v>86834.332584954653</v>
      </c>
      <c r="F179" s="616">
        <f t="shared" si="20"/>
        <v>32556.867205566687</v>
      </c>
      <c r="G179" s="616">
        <f t="shared" si="20"/>
        <v>0</v>
      </c>
      <c r="H179" s="616">
        <f t="shared" si="20"/>
        <v>0</v>
      </c>
      <c r="I179" s="616">
        <f t="shared" si="20"/>
        <v>46940.631616769169</v>
      </c>
      <c r="J179" s="616">
        <f t="shared" si="20"/>
        <v>33288.533716826088</v>
      </c>
    </row>
    <row r="180" spans="2:10" x14ac:dyDescent="0.2">
      <c r="B180" s="820" t="s">
        <v>149</v>
      </c>
      <c r="D180" s="616">
        <f t="shared" si="20"/>
        <v>0</v>
      </c>
      <c r="E180" s="616">
        <f t="shared" si="20"/>
        <v>0</v>
      </c>
      <c r="F180" s="616">
        <f t="shared" si="20"/>
        <v>0</v>
      </c>
      <c r="G180" s="616">
        <f t="shared" si="20"/>
        <v>0</v>
      </c>
      <c r="H180" s="616">
        <f t="shared" si="20"/>
        <v>0</v>
      </c>
      <c r="I180" s="616">
        <f t="shared" si="20"/>
        <v>0</v>
      </c>
      <c r="J180" s="616">
        <f t="shared" si="20"/>
        <v>620743.94352126902</v>
      </c>
    </row>
    <row r="181" spans="2:10" x14ac:dyDescent="0.2">
      <c r="B181" s="820" t="s">
        <v>144</v>
      </c>
      <c r="D181" s="616">
        <f t="shared" si="20"/>
        <v>0</v>
      </c>
      <c r="E181" s="616">
        <f t="shared" si="20"/>
        <v>0</v>
      </c>
      <c r="F181" s="616">
        <f t="shared" si="20"/>
        <v>0</v>
      </c>
      <c r="G181" s="616">
        <f t="shared" si="20"/>
        <v>0</v>
      </c>
      <c r="H181" s="616">
        <f t="shared" si="20"/>
        <v>4408.1824956682312</v>
      </c>
      <c r="I181" s="616">
        <f t="shared" si="20"/>
        <v>0</v>
      </c>
      <c r="J181" s="616">
        <f t="shared" si="20"/>
        <v>0</v>
      </c>
    </row>
    <row r="182" spans="2:10" x14ac:dyDescent="0.2">
      <c r="B182" s="820" t="s">
        <v>142</v>
      </c>
      <c r="D182" s="616">
        <f t="shared" si="20"/>
        <v>0</v>
      </c>
      <c r="E182" s="616">
        <f t="shared" si="20"/>
        <v>361334.21026129322</v>
      </c>
      <c r="F182" s="616">
        <f t="shared" si="20"/>
        <v>530041.37325239624</v>
      </c>
      <c r="G182" s="616">
        <f t="shared" si="20"/>
        <v>0</v>
      </c>
      <c r="H182" s="616">
        <f t="shared" si="20"/>
        <v>387552.41719866556</v>
      </c>
      <c r="I182" s="616">
        <f t="shared" si="20"/>
        <v>481456.60633448936</v>
      </c>
      <c r="J182" s="616">
        <f t="shared" si="20"/>
        <v>103786.85621161092</v>
      </c>
    </row>
    <row r="183" spans="2:10" x14ac:dyDescent="0.2">
      <c r="B183" s="820" t="s">
        <v>143</v>
      </c>
      <c r="D183" s="616">
        <f t="shared" si="20"/>
        <v>0</v>
      </c>
      <c r="E183" s="616">
        <f t="shared" si="20"/>
        <v>337678.37464577897</v>
      </c>
      <c r="F183" s="616">
        <f t="shared" si="20"/>
        <v>298111.92133300629</v>
      </c>
      <c r="G183" s="616">
        <f t="shared" si="20"/>
        <v>0</v>
      </c>
      <c r="H183" s="616">
        <f t="shared" si="20"/>
        <v>251572.77093653809</v>
      </c>
      <c r="I183" s="616">
        <f t="shared" si="20"/>
        <v>932264.00316348753</v>
      </c>
      <c r="J183" s="616">
        <f t="shared" si="20"/>
        <v>459801.01290812733</v>
      </c>
    </row>
    <row r="184" spans="2:10" x14ac:dyDescent="0.2">
      <c r="B184" s="820" t="s">
        <v>139</v>
      </c>
      <c r="D184" s="616">
        <f t="shared" si="20"/>
        <v>0</v>
      </c>
      <c r="E184" s="616">
        <f t="shared" si="20"/>
        <v>0</v>
      </c>
      <c r="F184" s="616">
        <f t="shared" si="20"/>
        <v>213934.37620857827</v>
      </c>
      <c r="G184" s="616">
        <f t="shared" si="20"/>
        <v>0</v>
      </c>
      <c r="H184" s="616">
        <f t="shared" si="20"/>
        <v>66017.577792599026</v>
      </c>
      <c r="I184" s="616">
        <f t="shared" si="20"/>
        <v>340248.85237950715</v>
      </c>
      <c r="J184" s="616">
        <f t="shared" si="20"/>
        <v>66777.908189982903</v>
      </c>
    </row>
    <row r="185" spans="2:10" x14ac:dyDescent="0.2">
      <c r="B185" s="820" t="s">
        <v>146</v>
      </c>
      <c r="D185" s="616">
        <f t="shared" si="20"/>
        <v>64439.596700626316</v>
      </c>
      <c r="E185" s="616">
        <f t="shared" si="20"/>
        <v>0</v>
      </c>
      <c r="F185" s="616">
        <f t="shared" si="20"/>
        <v>0</v>
      </c>
      <c r="G185" s="616">
        <f t="shared" si="20"/>
        <v>0</v>
      </c>
      <c r="H185" s="616">
        <f t="shared" si="20"/>
        <v>338568.44840777258</v>
      </c>
      <c r="I185" s="616">
        <f t="shared" si="20"/>
        <v>2733922.4194930526</v>
      </c>
      <c r="J185" s="616">
        <f t="shared" si="20"/>
        <v>0</v>
      </c>
    </row>
    <row r="186" spans="2:10" x14ac:dyDescent="0.2">
      <c r="B186" s="820" t="s">
        <v>135</v>
      </c>
      <c r="D186" s="616">
        <f t="shared" si="20"/>
        <v>128138.4552134464</v>
      </c>
      <c r="E186" s="616">
        <f t="shared" si="20"/>
        <v>719861.4597346657</v>
      </c>
      <c r="F186" s="616">
        <f t="shared" si="20"/>
        <v>1326045.2773625467</v>
      </c>
      <c r="G186" s="616">
        <f t="shared" si="20"/>
        <v>0</v>
      </c>
      <c r="H186" s="616">
        <f t="shared" si="20"/>
        <v>318902.615678292</v>
      </c>
      <c r="I186" s="616">
        <f t="shared" si="20"/>
        <v>5685192.1626856765</v>
      </c>
      <c r="J186" s="616">
        <f t="shared" si="20"/>
        <v>808123.3291755782</v>
      </c>
    </row>
    <row r="187" spans="2:10" x14ac:dyDescent="0.2">
      <c r="B187" s="820" t="s">
        <v>148</v>
      </c>
      <c r="D187" s="616">
        <f t="shared" si="20"/>
        <v>151954.75970483731</v>
      </c>
      <c r="E187" s="616">
        <f t="shared" si="20"/>
        <v>0</v>
      </c>
      <c r="F187" s="616">
        <f t="shared" si="20"/>
        <v>797883.21267115872</v>
      </c>
      <c r="G187" s="616">
        <f t="shared" si="20"/>
        <v>0</v>
      </c>
      <c r="H187" s="616">
        <f t="shared" si="20"/>
        <v>1313999.217936306</v>
      </c>
      <c r="I187" s="616">
        <f t="shared" si="20"/>
        <v>37005.933470309719</v>
      </c>
      <c r="J187" s="616">
        <f t="shared" si="20"/>
        <v>0</v>
      </c>
    </row>
    <row r="188" spans="2:10" x14ac:dyDescent="0.2">
      <c r="B188" s="820" t="s">
        <v>137</v>
      </c>
      <c r="D188" s="616">
        <f t="shared" si="20"/>
        <v>0</v>
      </c>
      <c r="E188" s="616">
        <f t="shared" si="20"/>
        <v>0</v>
      </c>
      <c r="F188" s="616">
        <f t="shared" si="20"/>
        <v>34263.643596260088</v>
      </c>
      <c r="G188" s="616">
        <f t="shared" si="20"/>
        <v>0</v>
      </c>
      <c r="H188" s="616">
        <f t="shared" si="20"/>
        <v>165837.78467925912</v>
      </c>
      <c r="I188" s="616">
        <f t="shared" si="20"/>
        <v>435545.99585805141</v>
      </c>
      <c r="J188" s="616">
        <f t="shared" si="20"/>
        <v>163576.6926120024</v>
      </c>
    </row>
    <row r="189" spans="2:10" x14ac:dyDescent="0.2">
      <c r="B189" s="820" t="s">
        <v>145</v>
      </c>
      <c r="D189" s="616">
        <f t="shared" si="20"/>
        <v>0</v>
      </c>
      <c r="E189" s="616">
        <f t="shared" si="20"/>
        <v>0</v>
      </c>
      <c r="F189" s="616">
        <f t="shared" si="20"/>
        <v>81097.771508606966</v>
      </c>
      <c r="G189" s="616">
        <f t="shared" si="20"/>
        <v>0</v>
      </c>
      <c r="H189" s="616">
        <f t="shared" si="20"/>
        <v>156128.12599507827</v>
      </c>
      <c r="I189" s="616">
        <f t="shared" si="20"/>
        <v>101130.1616932686</v>
      </c>
      <c r="J189" s="616">
        <f t="shared" si="20"/>
        <v>0</v>
      </c>
    </row>
    <row r="190" spans="2:10" x14ac:dyDescent="0.2">
      <c r="B190" s="820" t="s">
        <v>140</v>
      </c>
      <c r="D190" s="616">
        <f t="shared" si="20"/>
        <v>0</v>
      </c>
      <c r="E190" s="616">
        <f t="shared" si="20"/>
        <v>32640.534680924993</v>
      </c>
      <c r="F190" s="616">
        <f t="shared" si="20"/>
        <v>13058.223603148565</v>
      </c>
      <c r="G190" s="616">
        <f t="shared" si="20"/>
        <v>0</v>
      </c>
      <c r="H190" s="616">
        <f t="shared" si="20"/>
        <v>0</v>
      </c>
      <c r="I190" s="616">
        <f t="shared" si="20"/>
        <v>0</v>
      </c>
      <c r="J190" s="616">
        <f t="shared" si="20"/>
        <v>211346.44247295908</v>
      </c>
    </row>
    <row r="191" spans="2:10" x14ac:dyDescent="0.2">
      <c r="B191" s="820" t="s">
        <v>134</v>
      </c>
      <c r="D191" s="616">
        <f t="shared" si="20"/>
        <v>789.79886631326201</v>
      </c>
      <c r="E191" s="616">
        <f t="shared" si="20"/>
        <v>12971.310747477419</v>
      </c>
      <c r="F191" s="616">
        <f t="shared" si="20"/>
        <v>26693.767887322836</v>
      </c>
      <c r="G191" s="616">
        <f t="shared" si="20"/>
        <v>0</v>
      </c>
      <c r="H191" s="616">
        <f t="shared" si="20"/>
        <v>6961.7446557978219</v>
      </c>
      <c r="I191" s="616">
        <f t="shared" si="20"/>
        <v>45732.70353507805</v>
      </c>
      <c r="J191" s="616">
        <f t="shared" si="20"/>
        <v>0</v>
      </c>
    </row>
    <row r="192" spans="2:10" x14ac:dyDescent="0.2">
      <c r="B192" s="820" t="s">
        <v>136</v>
      </c>
      <c r="D192" s="616">
        <f t="shared" si="20"/>
        <v>4222.8706786827597</v>
      </c>
      <c r="E192" s="616">
        <f t="shared" si="20"/>
        <v>248013.00438344592</v>
      </c>
      <c r="F192" s="616">
        <f t="shared" si="20"/>
        <v>92987.718205419937</v>
      </c>
      <c r="G192" s="616">
        <f t="shared" si="20"/>
        <v>0</v>
      </c>
      <c r="H192" s="616">
        <f t="shared" si="20"/>
        <v>25680.601825597892</v>
      </c>
      <c r="I192" s="616">
        <f t="shared" si="20"/>
        <v>8271.6450694608102</v>
      </c>
      <c r="J192" s="616">
        <f t="shared" si="20"/>
        <v>0</v>
      </c>
    </row>
    <row r="193" spans="2:10" x14ac:dyDescent="0.2">
      <c r="B193" s="820" t="s">
        <v>147</v>
      </c>
      <c r="D193" s="616">
        <f t="shared" si="20"/>
        <v>0</v>
      </c>
      <c r="E193" s="616">
        <f t="shared" si="20"/>
        <v>0</v>
      </c>
      <c r="F193" s="616">
        <f t="shared" si="20"/>
        <v>0</v>
      </c>
      <c r="G193" s="616">
        <f t="shared" si="20"/>
        <v>0</v>
      </c>
      <c r="H193" s="616">
        <f t="shared" si="20"/>
        <v>0</v>
      </c>
      <c r="I193" s="616">
        <f t="shared" si="20"/>
        <v>1366947.8160124375</v>
      </c>
      <c r="J193" s="616">
        <f t="shared" si="20"/>
        <v>0</v>
      </c>
    </row>
    <row r="194" spans="2:10" x14ac:dyDescent="0.2">
      <c r="B194" s="820" t="s">
        <v>230</v>
      </c>
      <c r="D194" s="616">
        <f t="shared" si="20"/>
        <v>28966.221152713697</v>
      </c>
      <c r="E194" s="616">
        <f t="shared" si="20"/>
        <v>397272.25452531176</v>
      </c>
      <c r="F194" s="616">
        <f t="shared" si="20"/>
        <v>148949.61071282142</v>
      </c>
      <c r="G194" s="616">
        <f t="shared" si="20"/>
        <v>0</v>
      </c>
      <c r="H194" s="616">
        <f t="shared" si="20"/>
        <v>0</v>
      </c>
      <c r="I194" s="616">
        <f t="shared" si="20"/>
        <v>370129.97086542228</v>
      </c>
      <c r="J194" s="616">
        <f t="shared" si="20"/>
        <v>0</v>
      </c>
    </row>
    <row r="195" spans="2:10" x14ac:dyDescent="0.2">
      <c r="B195" s="820" t="s">
        <v>157</v>
      </c>
      <c r="D195" s="616">
        <f t="shared" ref="D195:J204" si="21">+D$174*D161</f>
        <v>0</v>
      </c>
      <c r="E195" s="616">
        <f t="shared" si="21"/>
        <v>0</v>
      </c>
      <c r="F195" s="616">
        <f t="shared" si="21"/>
        <v>0</v>
      </c>
      <c r="G195" s="616">
        <f t="shared" si="21"/>
        <v>0</v>
      </c>
      <c r="H195" s="616">
        <f t="shared" si="21"/>
        <v>0</v>
      </c>
      <c r="I195" s="616">
        <f t="shared" si="21"/>
        <v>637008.73379854159</v>
      </c>
      <c r="J195" s="616">
        <f t="shared" si="21"/>
        <v>56807.114384416418</v>
      </c>
    </row>
    <row r="196" spans="2:10" x14ac:dyDescent="0.2">
      <c r="B196" s="820" t="s">
        <v>150</v>
      </c>
      <c r="D196" s="616">
        <f t="shared" si="21"/>
        <v>0</v>
      </c>
      <c r="E196" s="616">
        <f t="shared" si="21"/>
        <v>301461.63746905414</v>
      </c>
      <c r="F196" s="616">
        <f t="shared" si="21"/>
        <v>113027.2578424034</v>
      </c>
      <c r="G196" s="616">
        <f t="shared" si="21"/>
        <v>0</v>
      </c>
      <c r="H196" s="616">
        <f t="shared" si="21"/>
        <v>0</v>
      </c>
      <c r="I196" s="616">
        <f t="shared" si="21"/>
        <v>991221.19208216306</v>
      </c>
      <c r="J196" s="616">
        <f t="shared" si="21"/>
        <v>103094.07228455303</v>
      </c>
    </row>
    <row r="197" spans="2:10" x14ac:dyDescent="0.2">
      <c r="B197" s="820" t="s">
        <v>151</v>
      </c>
      <c r="D197" s="616">
        <f t="shared" si="21"/>
        <v>0</v>
      </c>
      <c r="E197" s="616">
        <f t="shared" si="21"/>
        <v>283097.0775520748</v>
      </c>
      <c r="F197" s="616">
        <f t="shared" si="21"/>
        <v>106141.81840033919</v>
      </c>
      <c r="G197" s="616">
        <f t="shared" si="21"/>
        <v>0</v>
      </c>
      <c r="H197" s="616">
        <f t="shared" si="21"/>
        <v>0</v>
      </c>
      <c r="I197" s="616">
        <f t="shared" si="21"/>
        <v>0</v>
      </c>
      <c r="J197" s="616">
        <f t="shared" si="21"/>
        <v>0</v>
      </c>
    </row>
    <row r="198" spans="2:10" x14ac:dyDescent="0.2">
      <c r="B198" s="820" t="s">
        <v>153</v>
      </c>
      <c r="D198" s="616">
        <f t="shared" si="21"/>
        <v>0</v>
      </c>
      <c r="E198" s="616">
        <f t="shared" si="21"/>
        <v>1576856.4023995257</v>
      </c>
      <c r="F198" s="616">
        <f t="shared" si="21"/>
        <v>591212.05825982208</v>
      </c>
      <c r="G198" s="616">
        <f t="shared" si="21"/>
        <v>0</v>
      </c>
      <c r="H198" s="616">
        <f t="shared" si="21"/>
        <v>0</v>
      </c>
      <c r="I198" s="616">
        <f t="shared" si="21"/>
        <v>582113.41976234864</v>
      </c>
      <c r="J198" s="616">
        <f t="shared" si="21"/>
        <v>50609.436091668256</v>
      </c>
    </row>
    <row r="199" spans="2:10" x14ac:dyDescent="0.2">
      <c r="B199" s="820" t="s">
        <v>159</v>
      </c>
      <c r="D199" s="616">
        <f t="shared" si="21"/>
        <v>9082.8380327819777</v>
      </c>
      <c r="E199" s="616">
        <f t="shared" si="21"/>
        <v>0</v>
      </c>
      <c r="F199" s="616">
        <f t="shared" si="21"/>
        <v>0</v>
      </c>
      <c r="G199" s="616">
        <f t="shared" si="21"/>
        <v>0</v>
      </c>
      <c r="H199" s="616">
        <f t="shared" si="21"/>
        <v>0</v>
      </c>
      <c r="I199" s="616">
        <f t="shared" si="21"/>
        <v>0</v>
      </c>
      <c r="J199" s="616">
        <f t="shared" si="21"/>
        <v>0</v>
      </c>
    </row>
    <row r="200" spans="2:10" x14ac:dyDescent="0.2">
      <c r="B200" s="820" t="s">
        <v>154</v>
      </c>
      <c r="D200" s="616">
        <f t="shared" si="21"/>
        <v>0</v>
      </c>
      <c r="E200" s="616">
        <f t="shared" si="21"/>
        <v>76766.380941563009</v>
      </c>
      <c r="F200" s="616">
        <f t="shared" si="21"/>
        <v>28782.081876672921</v>
      </c>
      <c r="G200" s="616">
        <f t="shared" si="21"/>
        <v>0</v>
      </c>
      <c r="H200" s="616">
        <f t="shared" si="21"/>
        <v>0</v>
      </c>
      <c r="I200" s="616">
        <f t="shared" si="21"/>
        <v>0</v>
      </c>
      <c r="J200" s="616">
        <f t="shared" si="21"/>
        <v>0</v>
      </c>
    </row>
    <row r="201" spans="2:10" x14ac:dyDescent="0.2">
      <c r="B201" s="820" t="s">
        <v>155</v>
      </c>
      <c r="D201" s="616">
        <f t="shared" si="21"/>
        <v>0</v>
      </c>
      <c r="E201" s="616">
        <f t="shared" si="21"/>
        <v>0</v>
      </c>
      <c r="F201" s="616">
        <f t="shared" si="21"/>
        <v>0</v>
      </c>
      <c r="G201" s="616">
        <f t="shared" si="21"/>
        <v>0</v>
      </c>
      <c r="H201" s="616">
        <f t="shared" si="21"/>
        <v>0</v>
      </c>
      <c r="I201" s="616">
        <f t="shared" si="21"/>
        <v>0</v>
      </c>
      <c r="J201" s="616">
        <f t="shared" si="21"/>
        <v>0</v>
      </c>
    </row>
    <row r="202" spans="2:10" x14ac:dyDescent="0.2">
      <c r="B202" s="820" t="s">
        <v>156</v>
      </c>
      <c r="D202" s="616">
        <f t="shared" si="21"/>
        <v>0</v>
      </c>
      <c r="E202" s="616">
        <f t="shared" si="21"/>
        <v>0</v>
      </c>
      <c r="F202" s="616">
        <f t="shared" si="21"/>
        <v>0</v>
      </c>
      <c r="G202" s="616">
        <f t="shared" si="21"/>
        <v>0</v>
      </c>
      <c r="H202" s="616">
        <f t="shared" si="21"/>
        <v>0</v>
      </c>
      <c r="I202" s="616">
        <f t="shared" si="21"/>
        <v>0</v>
      </c>
      <c r="J202" s="616">
        <f t="shared" si="21"/>
        <v>0</v>
      </c>
    </row>
    <row r="203" spans="2:10" x14ac:dyDescent="0.2">
      <c r="B203" s="820" t="s">
        <v>152</v>
      </c>
      <c r="D203" s="616">
        <f t="shared" si="21"/>
        <v>0</v>
      </c>
      <c r="E203" s="616">
        <f t="shared" si="21"/>
        <v>0</v>
      </c>
      <c r="F203" s="616">
        <f t="shared" si="21"/>
        <v>0</v>
      </c>
      <c r="G203" s="616">
        <f t="shared" si="21"/>
        <v>0</v>
      </c>
      <c r="H203" s="616">
        <f t="shared" si="21"/>
        <v>0</v>
      </c>
      <c r="I203" s="616">
        <f t="shared" si="21"/>
        <v>0</v>
      </c>
      <c r="J203" s="616">
        <f t="shared" si="21"/>
        <v>0</v>
      </c>
    </row>
    <row r="204" spans="2:10" x14ac:dyDescent="0.2">
      <c r="B204" s="820" t="s">
        <v>133</v>
      </c>
      <c r="D204" s="616">
        <f t="shared" si="21"/>
        <v>3598.2059736446836</v>
      </c>
      <c r="E204" s="616">
        <f t="shared" si="21"/>
        <v>0</v>
      </c>
      <c r="F204" s="616">
        <f t="shared" si="21"/>
        <v>0</v>
      </c>
      <c r="G204" s="616">
        <f t="shared" si="21"/>
        <v>0</v>
      </c>
      <c r="H204" s="616">
        <f t="shared" si="21"/>
        <v>0</v>
      </c>
      <c r="I204" s="616">
        <f t="shared" si="21"/>
        <v>0</v>
      </c>
      <c r="J204" s="616">
        <f t="shared" si="21"/>
        <v>0</v>
      </c>
    </row>
    <row r="208" spans="2:10" x14ac:dyDescent="0.2">
      <c r="D208" s="838" t="s">
        <v>239</v>
      </c>
      <c r="E208" s="838" t="s">
        <v>238</v>
      </c>
      <c r="F208" s="838" t="s">
        <v>580</v>
      </c>
      <c r="G208" s="838" t="s">
        <v>258</v>
      </c>
      <c r="H208" s="838" t="s">
        <v>574</v>
      </c>
      <c r="I208" s="838" t="s">
        <v>262</v>
      </c>
      <c r="J208" s="838" t="s">
        <v>263</v>
      </c>
    </row>
    <row r="209" spans="2:12" x14ac:dyDescent="0.2">
      <c r="D209" s="988" t="s">
        <v>581</v>
      </c>
      <c r="E209" s="989"/>
      <c r="F209" s="989"/>
      <c r="G209" s="989"/>
      <c r="H209" s="989"/>
      <c r="I209" s="989"/>
      <c r="J209" s="990"/>
    </row>
    <row r="210" spans="2:12" x14ac:dyDescent="0.2">
      <c r="D210" s="845"/>
      <c r="E210" s="845"/>
      <c r="F210" s="845"/>
      <c r="G210" s="845"/>
      <c r="H210" s="845"/>
      <c r="I210" s="845"/>
      <c r="J210" s="845"/>
    </row>
    <row r="211" spans="2:12" x14ac:dyDescent="0.2">
      <c r="B211" s="820" t="s">
        <v>229</v>
      </c>
      <c r="D211" s="616">
        <f>+D179/D78</f>
        <v>340.12047909481737</v>
      </c>
      <c r="E211" s="616">
        <f>+E179/E78</f>
        <v>7779.2857698899998</v>
      </c>
      <c r="F211" s="616">
        <f>+F179/F78</f>
        <v>2916.6939645292559</v>
      </c>
      <c r="G211" s="616"/>
      <c r="H211" s="616"/>
      <c r="I211" s="616">
        <f>+I179/I78</f>
        <v>4030.2108591659585</v>
      </c>
      <c r="J211" s="616">
        <f>+J179/J78</f>
        <v>1738.931192796678</v>
      </c>
      <c r="K211" s="616"/>
      <c r="L211" s="616"/>
    </row>
    <row r="212" spans="2:12" x14ac:dyDescent="0.2">
      <c r="B212" s="820" t="s">
        <v>149</v>
      </c>
      <c r="D212" s="616"/>
      <c r="E212" s="616"/>
      <c r="F212" s="616"/>
      <c r="G212" s="616"/>
      <c r="H212" s="616"/>
      <c r="I212" s="616"/>
      <c r="J212" s="616">
        <f>+J180/J79</f>
        <v>4057.506116525582</v>
      </c>
      <c r="K212" s="616"/>
      <c r="L212" s="616"/>
    </row>
    <row r="213" spans="2:12" x14ac:dyDescent="0.2">
      <c r="B213" s="820" t="s">
        <v>144</v>
      </c>
      <c r="D213" s="616"/>
      <c r="E213" s="616"/>
      <c r="F213" s="616"/>
      <c r="G213" s="616"/>
      <c r="H213" s="616">
        <f t="shared" ref="H213:J221" si="22">+H181/H80</f>
        <v>5186.0970537273306</v>
      </c>
      <c r="I213" s="616"/>
      <c r="J213" s="616"/>
      <c r="K213" s="616"/>
      <c r="L213" s="616"/>
    </row>
    <row r="214" spans="2:12" x14ac:dyDescent="0.2">
      <c r="B214" s="820" t="s">
        <v>142</v>
      </c>
      <c r="D214" s="616"/>
      <c r="E214" s="616">
        <f t="shared" ref="E214:G215" si="23">+E182/E81</f>
        <v>23337.857309670002</v>
      </c>
      <c r="F214" s="616">
        <f t="shared" si="23"/>
        <v>8750.0818935877669</v>
      </c>
      <c r="G214" s="616">
        <f t="shared" si="23"/>
        <v>0</v>
      </c>
      <c r="H214" s="616">
        <f t="shared" si="22"/>
        <v>5186.0970537273306</v>
      </c>
      <c r="I214" s="616">
        <f t="shared" si="22"/>
        <v>12090.632577497878</v>
      </c>
      <c r="J214" s="616">
        <f t="shared" si="22"/>
        <v>5216.7935783900348</v>
      </c>
      <c r="K214" s="616"/>
      <c r="L214" s="616"/>
    </row>
    <row r="215" spans="2:12" x14ac:dyDescent="0.2">
      <c r="B215" s="820" t="s">
        <v>143</v>
      </c>
      <c r="D215" s="616"/>
      <c r="E215" s="616">
        <f t="shared" si="23"/>
        <v>23337.857309670002</v>
      </c>
      <c r="F215" s="616">
        <f t="shared" si="23"/>
        <v>8750.0818935877705</v>
      </c>
      <c r="G215" s="616">
        <f t="shared" si="23"/>
        <v>0</v>
      </c>
      <c r="H215" s="616">
        <f t="shared" si="22"/>
        <v>5186.0970537273306</v>
      </c>
      <c r="I215" s="616">
        <f t="shared" si="22"/>
        <v>12090.632577497878</v>
      </c>
      <c r="J215" s="616">
        <f t="shared" si="22"/>
        <v>5216.7935783900348</v>
      </c>
      <c r="K215" s="616"/>
      <c r="L215" s="616"/>
    </row>
    <row r="216" spans="2:12" x14ac:dyDescent="0.2">
      <c r="B216" s="820" t="s">
        <v>139</v>
      </c>
      <c r="D216" s="616"/>
      <c r="E216" s="616"/>
      <c r="F216" s="616"/>
      <c r="G216" s="616">
        <f>+G184/G83</f>
        <v>0</v>
      </c>
      <c r="H216" s="616">
        <f t="shared" si="22"/>
        <v>3745.5145388030724</v>
      </c>
      <c r="I216" s="616">
        <f t="shared" si="22"/>
        <v>8732.1235281929094</v>
      </c>
      <c r="J216" s="616">
        <f t="shared" si="22"/>
        <v>3767.6842510594697</v>
      </c>
      <c r="K216" s="616"/>
      <c r="L216" s="616"/>
    </row>
    <row r="217" spans="2:12" x14ac:dyDescent="0.2">
      <c r="B217" s="820" t="s">
        <v>146</v>
      </c>
      <c r="D217" s="616">
        <f>+D185/D84</f>
        <v>793.61445122124064</v>
      </c>
      <c r="E217" s="616"/>
      <c r="F217" s="616"/>
      <c r="G217" s="616"/>
      <c r="H217" s="616">
        <f t="shared" si="22"/>
        <v>4033.6310417879231</v>
      </c>
      <c r="I217" s="616">
        <f>+I185/I84</f>
        <v>9403.8253380539045</v>
      </c>
      <c r="J217" s="616"/>
      <c r="K217" s="593"/>
      <c r="L217" s="616"/>
    </row>
    <row r="218" spans="2:12" x14ac:dyDescent="0.2">
      <c r="B218" s="820" t="s">
        <v>135</v>
      </c>
      <c r="D218" s="616">
        <f>+D186/D85</f>
        <v>340.12047909481743</v>
      </c>
      <c r="E218" s="616">
        <f>+E186/E85</f>
        <v>7779.2857698899988</v>
      </c>
      <c r="F218" s="616">
        <f>+F186/F85</f>
        <v>2916.6939645292559</v>
      </c>
      <c r="G218" s="616">
        <f>+G186/G85</f>
        <v>0</v>
      </c>
      <c r="H218" s="616">
        <f t="shared" si="22"/>
        <v>1728.6990179091101</v>
      </c>
      <c r="I218" s="616">
        <f>+I186/I85</f>
        <v>4030.2108591659589</v>
      </c>
      <c r="J218" s="616">
        <f>+J186/J85</f>
        <v>1738.931192796678</v>
      </c>
      <c r="K218" s="616"/>
      <c r="L218" s="616"/>
    </row>
    <row r="219" spans="2:12" x14ac:dyDescent="0.2">
      <c r="B219" s="820" t="s">
        <v>148</v>
      </c>
      <c r="D219" s="616">
        <f>+D187/D86</f>
        <v>793.61445122124053</v>
      </c>
      <c r="E219" s="616"/>
      <c r="F219" s="616"/>
      <c r="G219" s="616">
        <f>+G187/G86</f>
        <v>0</v>
      </c>
      <c r="H219" s="616">
        <f t="shared" si="22"/>
        <v>4033.6310417879236</v>
      </c>
      <c r="I219" s="616">
        <f>+I187/I86</f>
        <v>9403.8253380539027</v>
      </c>
      <c r="J219" s="616"/>
      <c r="K219" s="616"/>
      <c r="L219" s="616"/>
    </row>
    <row r="220" spans="2:12" x14ac:dyDescent="0.2">
      <c r="B220" s="820" t="s">
        <v>137</v>
      </c>
      <c r="D220" s="616"/>
      <c r="E220" s="616"/>
      <c r="F220" s="616"/>
      <c r="G220" s="616">
        <f>+G188/G87</f>
        <v>0</v>
      </c>
      <c r="H220" s="616">
        <f t="shared" si="22"/>
        <v>2881.165029848517</v>
      </c>
      <c r="I220" s="616">
        <f>+I188/I87</f>
        <v>6717.0180986099313</v>
      </c>
      <c r="J220" s="616">
        <f>+J188/J87</f>
        <v>2898.2186546611301</v>
      </c>
      <c r="K220" s="616"/>
      <c r="L220" s="616"/>
    </row>
    <row r="221" spans="2:12" x14ac:dyDescent="0.2">
      <c r="B221" s="820" t="s">
        <v>145</v>
      </c>
      <c r="D221" s="616"/>
      <c r="E221" s="616"/>
      <c r="F221" s="616"/>
      <c r="G221" s="616">
        <f>+G189/G88</f>
        <v>0</v>
      </c>
      <c r="H221" s="616">
        <f t="shared" si="22"/>
        <v>5186.0970537273306</v>
      </c>
      <c r="I221" s="616">
        <f>+I189/I88</f>
        <v>12090.632577497878</v>
      </c>
      <c r="J221" s="616"/>
      <c r="K221" s="616"/>
      <c r="L221" s="616"/>
    </row>
    <row r="222" spans="2:12" x14ac:dyDescent="0.2">
      <c r="B222" s="820" t="s">
        <v>140</v>
      </c>
      <c r="D222" s="616"/>
      <c r="E222" s="616">
        <f t="shared" ref="E222:F224" si="24">+E190/E89</f>
        <v>2593.0952566300002</v>
      </c>
      <c r="F222" s="616">
        <f t="shared" si="24"/>
        <v>972.23132150975198</v>
      </c>
      <c r="G222" s="616">
        <f>+G190/G89</f>
        <v>0</v>
      </c>
      <c r="H222" s="616"/>
      <c r="I222" s="616"/>
      <c r="J222" s="616">
        <f>+J190/J89</f>
        <v>579.64373093222616</v>
      </c>
      <c r="K222" s="616"/>
      <c r="L222" s="616"/>
    </row>
    <row r="223" spans="2:12" x14ac:dyDescent="0.2">
      <c r="B223" s="820" t="s">
        <v>134</v>
      </c>
      <c r="D223" s="616">
        <f>+D191/D90</f>
        <v>113.3734930316058</v>
      </c>
      <c r="E223" s="616">
        <f t="shared" si="24"/>
        <v>2593.0952566300002</v>
      </c>
      <c r="F223" s="616">
        <f t="shared" si="24"/>
        <v>972.23132150975198</v>
      </c>
      <c r="G223" s="616">
        <f>+G191/G90</f>
        <v>0</v>
      </c>
      <c r="H223" s="616">
        <f>+H191/H90</f>
        <v>576.23300596970341</v>
      </c>
      <c r="I223" s="616">
        <f>+I191/I90</f>
        <v>1343.4036197219864</v>
      </c>
      <c r="J223" s="616"/>
      <c r="K223" s="616"/>
      <c r="L223" s="616"/>
    </row>
    <row r="224" spans="2:12" x14ac:dyDescent="0.2">
      <c r="B224" s="820" t="s">
        <v>136</v>
      </c>
      <c r="D224" s="616">
        <f>+D192/D91</f>
        <v>113.3734930316058</v>
      </c>
      <c r="E224" s="616">
        <f t="shared" si="24"/>
        <v>2593.0952566300002</v>
      </c>
      <c r="F224" s="616">
        <f t="shared" si="24"/>
        <v>972.23132150975198</v>
      </c>
      <c r="G224" s="616"/>
      <c r="H224" s="616">
        <f>+H192/H91</f>
        <v>576.23300596970341</v>
      </c>
      <c r="I224" s="616">
        <f>+I192/I91</f>
        <v>1343.4036197219864</v>
      </c>
      <c r="J224" s="616"/>
      <c r="K224" s="616"/>
      <c r="L224" s="616"/>
    </row>
    <row r="225" spans="2:12" x14ac:dyDescent="0.2">
      <c r="B225" s="820" t="s">
        <v>147</v>
      </c>
      <c r="D225" s="616"/>
      <c r="E225" s="616"/>
      <c r="F225" s="616"/>
      <c r="G225" s="616"/>
      <c r="H225" s="616"/>
      <c r="I225" s="616">
        <f>+I193/I92</f>
        <v>4030.2108591659589</v>
      </c>
      <c r="J225" s="616"/>
      <c r="K225" s="616"/>
      <c r="L225" s="616"/>
    </row>
    <row r="226" spans="2:12" x14ac:dyDescent="0.2">
      <c r="B226" s="820" t="s">
        <v>230</v>
      </c>
      <c r="D226" s="616">
        <f>+D194/D93</f>
        <v>340.12047909481743</v>
      </c>
      <c r="E226" s="616">
        <f>+E194/E93</f>
        <v>7779.2857698900007</v>
      </c>
      <c r="F226" s="616">
        <f>+F194/F93</f>
        <v>2916.693964529255</v>
      </c>
      <c r="G226" s="616"/>
      <c r="H226" s="616"/>
      <c r="I226" s="616">
        <f>+I194/I93</f>
        <v>4030.2108591659589</v>
      </c>
      <c r="J226" s="616"/>
      <c r="K226" s="616"/>
      <c r="L226" s="616"/>
    </row>
    <row r="227" spans="2:12" x14ac:dyDescent="0.2">
      <c r="B227" s="820" t="s">
        <v>157</v>
      </c>
      <c r="D227" s="616"/>
      <c r="E227" s="616"/>
      <c r="F227" s="616"/>
      <c r="G227" s="616"/>
      <c r="H227" s="616"/>
      <c r="I227" s="616">
        <f>+I195/I94</f>
        <v>9403.8253380539027</v>
      </c>
      <c r="J227" s="616">
        <f>+J195/J94</f>
        <v>4057.5061165255825</v>
      </c>
      <c r="K227" s="616"/>
      <c r="L227" s="616"/>
    </row>
    <row r="228" spans="2:12" x14ac:dyDescent="0.2">
      <c r="B228" s="820" t="s">
        <v>150</v>
      </c>
      <c r="D228" s="616"/>
      <c r="E228" s="616">
        <f t="shared" ref="E228:F230" si="25">+E196/E95</f>
        <v>23337.857309670002</v>
      </c>
      <c r="F228" s="616">
        <f t="shared" si="25"/>
        <v>8750.0818935877669</v>
      </c>
      <c r="G228" s="616"/>
      <c r="H228" s="616"/>
      <c r="I228" s="616">
        <f>+I196/I95</f>
        <v>12090.632577497876</v>
      </c>
      <c r="J228" s="616">
        <f>+J196/J95</f>
        <v>5216.7935783900339</v>
      </c>
      <c r="K228" s="616"/>
      <c r="L228" s="616"/>
    </row>
    <row r="229" spans="2:12" x14ac:dyDescent="0.2">
      <c r="B229" s="820" t="s">
        <v>151</v>
      </c>
      <c r="D229" s="616"/>
      <c r="E229" s="616">
        <f t="shared" si="25"/>
        <v>23337.857309670002</v>
      </c>
      <c r="F229" s="616">
        <f t="shared" si="25"/>
        <v>8750.0818935877687</v>
      </c>
      <c r="G229" s="616"/>
      <c r="H229" s="616"/>
      <c r="I229" s="616"/>
      <c r="J229" s="616"/>
      <c r="K229" s="616"/>
      <c r="L229" s="616"/>
    </row>
    <row r="230" spans="2:12" x14ac:dyDescent="0.2">
      <c r="B230" s="820" t="s">
        <v>153</v>
      </c>
      <c r="D230" s="616"/>
      <c r="E230" s="616">
        <f t="shared" si="25"/>
        <v>7779.2857698900007</v>
      </c>
      <c r="F230" s="616">
        <f t="shared" si="25"/>
        <v>2916.6939645292555</v>
      </c>
      <c r="G230" s="616"/>
      <c r="H230" s="616"/>
      <c r="I230" s="616">
        <f>+I198/I97</f>
        <v>4030.210859165958</v>
      </c>
      <c r="J230" s="616">
        <f>+J198/J97</f>
        <v>1738.9311927966783</v>
      </c>
      <c r="K230" s="616"/>
      <c r="L230" s="616"/>
    </row>
    <row r="231" spans="2:12" x14ac:dyDescent="0.2">
      <c r="B231" s="820" t="s">
        <v>159</v>
      </c>
      <c r="D231" s="616">
        <f>+D199/D98</f>
        <v>793.61445122124064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">
      <c r="B232" s="820" t="s">
        <v>154</v>
      </c>
      <c r="D232" s="616"/>
      <c r="E232" s="616">
        <f>+E200/E99</f>
        <v>12965.476283149999</v>
      </c>
      <c r="F232" s="616">
        <f>+F200/F99</f>
        <v>4861.1566075487599</v>
      </c>
      <c r="G232" s="616"/>
      <c r="H232" s="616"/>
      <c r="I232" s="616"/>
      <c r="J232" s="616"/>
      <c r="K232" s="616"/>
      <c r="L232" s="616"/>
    </row>
    <row r="233" spans="2:12" x14ac:dyDescent="0.2">
      <c r="B233" s="820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">
      <c r="B234" s="820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">
      <c r="B235" s="820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">
      <c r="B236" s="820" t="s">
        <v>133</v>
      </c>
      <c r="D236" s="616">
        <f>+D204/D103</f>
        <v>340.12047909481737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">
      <c r="D238" s="838" t="s">
        <v>239</v>
      </c>
      <c r="E238" s="838" t="s">
        <v>238</v>
      </c>
      <c r="F238" s="838" t="s">
        <v>580</v>
      </c>
      <c r="G238" s="838" t="s">
        <v>258</v>
      </c>
      <c r="H238" s="838" t="s">
        <v>574</v>
      </c>
      <c r="I238" s="838" t="s">
        <v>262</v>
      </c>
      <c r="J238" s="838" t="s">
        <v>263</v>
      </c>
    </row>
    <row r="239" spans="2:12" x14ac:dyDescent="0.2">
      <c r="B239" s="821" t="s">
        <v>582</v>
      </c>
      <c r="D239" s="846">
        <f>+D218/5</f>
        <v>68.024095818963488</v>
      </c>
      <c r="E239" s="846">
        <f t="shared" ref="E239:J239" si="26">+E218/5</f>
        <v>1555.8571539779998</v>
      </c>
      <c r="F239" s="846">
        <f t="shared" si="26"/>
        <v>583.33879290585116</v>
      </c>
      <c r="G239" s="846">
        <f t="shared" si="26"/>
        <v>0</v>
      </c>
      <c r="H239" s="846">
        <f t="shared" si="26"/>
        <v>345.739803581822</v>
      </c>
      <c r="I239" s="846">
        <f t="shared" si="26"/>
        <v>806.04217183319179</v>
      </c>
      <c r="J239" s="846">
        <f t="shared" si="26"/>
        <v>347.78623855933563</v>
      </c>
    </row>
    <row r="241" spans="2:10" x14ac:dyDescent="0.2">
      <c r="B241" s="821" t="s">
        <v>583</v>
      </c>
      <c r="D241" s="821" t="s">
        <v>584</v>
      </c>
      <c r="E241" s="820">
        <v>1282</v>
      </c>
      <c r="F241" s="847">
        <f>+(E241+G241)/2</f>
        <v>1011.5</v>
      </c>
      <c r="G241" s="820">
        <v>741</v>
      </c>
      <c r="H241" s="820">
        <v>513</v>
      </c>
      <c r="I241" s="820">
        <v>1368</v>
      </c>
      <c r="J241" s="821" t="s">
        <v>584</v>
      </c>
    </row>
    <row r="242" spans="2:10" s="848" customFormat="1" x14ac:dyDescent="0.2">
      <c r="B242" s="848" t="s">
        <v>585</v>
      </c>
      <c r="E242" s="849">
        <f>+(E239-E241)/E241</f>
        <v>0.21361712478783138</v>
      </c>
      <c r="F242" s="849">
        <f>+(F239-F241)/F241</f>
        <v>-0.42329333375595535</v>
      </c>
      <c r="G242" s="849">
        <f>+(G239-G241)/G241</f>
        <v>-1</v>
      </c>
      <c r="H242" s="849">
        <f>+(H239-H241)/H241</f>
        <v>-0.32604326787169202</v>
      </c>
      <c r="I242" s="849">
        <f>+(I239-I241)/I241</f>
        <v>-0.41078788608684813</v>
      </c>
    </row>
    <row r="244" spans="2:10" x14ac:dyDescent="0.2">
      <c r="B244" s="819" t="s">
        <v>586</v>
      </c>
    </row>
    <row r="245" spans="2:10" x14ac:dyDescent="0.2">
      <c r="B245" s="820" t="s">
        <v>229</v>
      </c>
      <c r="D245" s="843">
        <f t="shared" ref="D245:J260" si="27">+D211*D78</f>
        <v>111330.78271970405</v>
      </c>
      <c r="E245" s="843">
        <f t="shared" si="27"/>
        <v>86834.332584954653</v>
      </c>
      <c r="F245" s="843">
        <f t="shared" si="27"/>
        <v>32556.867205566687</v>
      </c>
      <c r="G245" s="843">
        <f t="shared" si="27"/>
        <v>0</v>
      </c>
      <c r="H245" s="843">
        <f t="shared" si="27"/>
        <v>0</v>
      </c>
      <c r="I245" s="843">
        <f t="shared" si="27"/>
        <v>46940.631616769169</v>
      </c>
      <c r="J245" s="843">
        <f t="shared" si="27"/>
        <v>33288.533716826088</v>
      </c>
    </row>
    <row r="246" spans="2:10" x14ac:dyDescent="0.2">
      <c r="B246" s="820" t="s">
        <v>149</v>
      </c>
      <c r="D246" s="843">
        <f t="shared" si="27"/>
        <v>0</v>
      </c>
      <c r="E246" s="843">
        <f t="shared" si="27"/>
        <v>0</v>
      </c>
      <c r="F246" s="843">
        <f t="shared" si="27"/>
        <v>0</v>
      </c>
      <c r="G246" s="843">
        <f t="shared" si="27"/>
        <v>0</v>
      </c>
      <c r="H246" s="843">
        <f t="shared" si="27"/>
        <v>0</v>
      </c>
      <c r="I246" s="843">
        <f t="shared" si="27"/>
        <v>0</v>
      </c>
      <c r="J246" s="843">
        <f t="shared" si="27"/>
        <v>620743.94352126902</v>
      </c>
    </row>
    <row r="247" spans="2:10" x14ac:dyDescent="0.2">
      <c r="B247" s="820" t="s">
        <v>144</v>
      </c>
      <c r="D247" s="843">
        <f t="shared" si="27"/>
        <v>0</v>
      </c>
      <c r="E247" s="843">
        <f t="shared" si="27"/>
        <v>0</v>
      </c>
      <c r="F247" s="843">
        <f t="shared" si="27"/>
        <v>0</v>
      </c>
      <c r="G247" s="843">
        <f t="shared" si="27"/>
        <v>0</v>
      </c>
      <c r="H247" s="843">
        <f t="shared" si="27"/>
        <v>4408.1824956682312</v>
      </c>
      <c r="I247" s="843">
        <f t="shared" si="27"/>
        <v>0</v>
      </c>
      <c r="J247" s="843">
        <f t="shared" si="27"/>
        <v>0</v>
      </c>
    </row>
    <row r="248" spans="2:10" x14ac:dyDescent="0.2">
      <c r="B248" s="820" t="s">
        <v>142</v>
      </c>
      <c r="D248" s="843">
        <f t="shared" si="27"/>
        <v>0</v>
      </c>
      <c r="E248" s="843">
        <f t="shared" si="27"/>
        <v>361334.21026129322</v>
      </c>
      <c r="F248" s="843">
        <f t="shared" si="27"/>
        <v>530041.37325239624</v>
      </c>
      <c r="G248" s="843">
        <f t="shared" si="27"/>
        <v>0</v>
      </c>
      <c r="H248" s="843">
        <f t="shared" si="27"/>
        <v>387552.41719866556</v>
      </c>
      <c r="I248" s="843">
        <f t="shared" si="27"/>
        <v>481456.6063344893</v>
      </c>
      <c r="J248" s="843">
        <f t="shared" si="27"/>
        <v>103786.85621161092</v>
      </c>
    </row>
    <row r="249" spans="2:10" x14ac:dyDescent="0.2">
      <c r="B249" s="820" t="s">
        <v>143</v>
      </c>
      <c r="D249" s="843">
        <f t="shared" si="27"/>
        <v>0</v>
      </c>
      <c r="E249" s="843">
        <f t="shared" si="27"/>
        <v>337678.37464577897</v>
      </c>
      <c r="F249" s="843">
        <f t="shared" si="27"/>
        <v>298111.92133300629</v>
      </c>
      <c r="G249" s="843">
        <f t="shared" si="27"/>
        <v>0</v>
      </c>
      <c r="H249" s="843">
        <f t="shared" si="27"/>
        <v>251572.77093653809</v>
      </c>
      <c r="I249" s="843">
        <f t="shared" si="27"/>
        <v>932264.00316348753</v>
      </c>
      <c r="J249" s="843">
        <f t="shared" si="27"/>
        <v>459801.01290812733</v>
      </c>
    </row>
    <row r="250" spans="2:10" x14ac:dyDescent="0.2">
      <c r="B250" s="820" t="s">
        <v>139</v>
      </c>
      <c r="D250" s="843">
        <f t="shared" si="27"/>
        <v>0</v>
      </c>
      <c r="E250" s="843">
        <f t="shared" si="27"/>
        <v>0</v>
      </c>
      <c r="F250" s="843">
        <f t="shared" si="27"/>
        <v>0</v>
      </c>
      <c r="G250" s="843">
        <f t="shared" si="27"/>
        <v>0</v>
      </c>
      <c r="H250" s="843">
        <f t="shared" si="27"/>
        <v>66017.577792599026</v>
      </c>
      <c r="I250" s="843">
        <f t="shared" si="27"/>
        <v>340248.85237950715</v>
      </c>
      <c r="J250" s="843">
        <f t="shared" si="27"/>
        <v>66777.908189982903</v>
      </c>
    </row>
    <row r="251" spans="2:10" x14ac:dyDescent="0.2">
      <c r="B251" s="820" t="s">
        <v>146</v>
      </c>
      <c r="D251" s="843">
        <f t="shared" si="27"/>
        <v>64439.596700626316</v>
      </c>
      <c r="E251" s="843">
        <f t="shared" si="27"/>
        <v>0</v>
      </c>
      <c r="F251" s="843">
        <f t="shared" si="27"/>
        <v>0</v>
      </c>
      <c r="G251" s="843">
        <f t="shared" si="27"/>
        <v>0</v>
      </c>
      <c r="H251" s="843">
        <f t="shared" si="27"/>
        <v>338568.44840777258</v>
      </c>
      <c r="I251" s="850">
        <f t="shared" si="27"/>
        <v>2733922.4194930526</v>
      </c>
      <c r="J251" s="843">
        <f t="shared" si="27"/>
        <v>0</v>
      </c>
    </row>
    <row r="252" spans="2:10" x14ac:dyDescent="0.2">
      <c r="B252" s="820" t="s">
        <v>135</v>
      </c>
      <c r="D252" s="843">
        <f t="shared" si="27"/>
        <v>128138.45521344642</v>
      </c>
      <c r="E252" s="843">
        <f t="shared" si="27"/>
        <v>719861.4597346657</v>
      </c>
      <c r="F252" s="843">
        <f t="shared" si="27"/>
        <v>1326045.2773625467</v>
      </c>
      <c r="G252" s="843">
        <f t="shared" si="27"/>
        <v>0</v>
      </c>
      <c r="H252" s="843">
        <f t="shared" si="27"/>
        <v>318902.615678292</v>
      </c>
      <c r="I252" s="843">
        <f t="shared" si="27"/>
        <v>5685192.1626856765</v>
      </c>
      <c r="J252" s="843">
        <f t="shared" si="27"/>
        <v>808123.3291755782</v>
      </c>
    </row>
    <row r="253" spans="2:10" x14ac:dyDescent="0.2">
      <c r="B253" s="820" t="s">
        <v>148</v>
      </c>
      <c r="D253" s="843">
        <f t="shared" si="27"/>
        <v>151954.75970483731</v>
      </c>
      <c r="E253" s="843">
        <f t="shared" si="27"/>
        <v>0</v>
      </c>
      <c r="F253" s="843">
        <f t="shared" si="27"/>
        <v>0</v>
      </c>
      <c r="G253" s="843">
        <f t="shared" si="27"/>
        <v>0</v>
      </c>
      <c r="H253" s="843">
        <f t="shared" si="27"/>
        <v>1313999.217936306</v>
      </c>
      <c r="I253" s="851">
        <f t="shared" si="27"/>
        <v>37005.933470309719</v>
      </c>
      <c r="J253" s="843">
        <f t="shared" si="27"/>
        <v>0</v>
      </c>
    </row>
    <row r="254" spans="2:10" x14ac:dyDescent="0.2">
      <c r="B254" s="820" t="s">
        <v>137</v>
      </c>
      <c r="D254" s="843">
        <f t="shared" si="27"/>
        <v>0</v>
      </c>
      <c r="E254" s="843">
        <f t="shared" si="27"/>
        <v>0</v>
      </c>
      <c r="F254" s="843">
        <f t="shared" si="27"/>
        <v>0</v>
      </c>
      <c r="G254" s="843">
        <f t="shared" si="27"/>
        <v>0</v>
      </c>
      <c r="H254" s="843">
        <f t="shared" si="27"/>
        <v>165837.78467925912</v>
      </c>
      <c r="I254" s="843">
        <f t="shared" si="27"/>
        <v>435545.99585805141</v>
      </c>
      <c r="J254" s="843">
        <f t="shared" si="27"/>
        <v>163576.6926120024</v>
      </c>
    </row>
    <row r="255" spans="2:10" x14ac:dyDescent="0.2">
      <c r="B255" s="820" t="s">
        <v>145</v>
      </c>
      <c r="D255" s="843">
        <f t="shared" si="27"/>
        <v>0</v>
      </c>
      <c r="E255" s="843">
        <f t="shared" si="27"/>
        <v>0</v>
      </c>
      <c r="F255" s="843">
        <f t="shared" si="27"/>
        <v>0</v>
      </c>
      <c r="G255" s="843">
        <f t="shared" si="27"/>
        <v>0</v>
      </c>
      <c r="H255" s="843">
        <f t="shared" si="27"/>
        <v>156128.12599507827</v>
      </c>
      <c r="I255" s="843">
        <f t="shared" si="27"/>
        <v>101130.1616932686</v>
      </c>
      <c r="J255" s="843">
        <f t="shared" si="27"/>
        <v>0</v>
      </c>
    </row>
    <row r="256" spans="2:10" x14ac:dyDescent="0.2">
      <c r="B256" s="820" t="s">
        <v>140</v>
      </c>
      <c r="D256" s="843">
        <f t="shared" si="27"/>
        <v>0</v>
      </c>
      <c r="E256" s="843">
        <f t="shared" si="27"/>
        <v>32640.534680924993</v>
      </c>
      <c r="F256" s="843">
        <f t="shared" si="27"/>
        <v>13058.223603148565</v>
      </c>
      <c r="G256" s="843">
        <f t="shared" si="27"/>
        <v>0</v>
      </c>
      <c r="H256" s="843">
        <f t="shared" si="27"/>
        <v>0</v>
      </c>
      <c r="I256" s="843">
        <f t="shared" si="27"/>
        <v>0</v>
      </c>
      <c r="J256" s="843">
        <f t="shared" si="27"/>
        <v>211346.44247295911</v>
      </c>
    </row>
    <row r="257" spans="2:10" x14ac:dyDescent="0.2">
      <c r="B257" s="820" t="s">
        <v>134</v>
      </c>
      <c r="D257" s="843">
        <f t="shared" si="27"/>
        <v>789.79886631326201</v>
      </c>
      <c r="E257" s="843">
        <f t="shared" si="27"/>
        <v>12971.310747477419</v>
      </c>
      <c r="F257" s="843">
        <f t="shared" si="27"/>
        <v>26693.767887322836</v>
      </c>
      <c r="G257" s="843">
        <f t="shared" si="27"/>
        <v>0</v>
      </c>
      <c r="H257" s="843">
        <f t="shared" si="27"/>
        <v>6961.7446557978219</v>
      </c>
      <c r="I257" s="843">
        <f t="shared" si="27"/>
        <v>45732.70353507805</v>
      </c>
      <c r="J257" s="843">
        <f t="shared" si="27"/>
        <v>0</v>
      </c>
    </row>
    <row r="258" spans="2:10" x14ac:dyDescent="0.2">
      <c r="B258" s="820" t="s">
        <v>136</v>
      </c>
      <c r="D258" s="843">
        <f t="shared" si="27"/>
        <v>4222.8706786827597</v>
      </c>
      <c r="E258" s="843">
        <f t="shared" si="27"/>
        <v>248013.00438344592</v>
      </c>
      <c r="F258" s="843">
        <f t="shared" si="27"/>
        <v>92987.718205419937</v>
      </c>
      <c r="G258" s="843">
        <f t="shared" si="27"/>
        <v>0</v>
      </c>
      <c r="H258" s="843">
        <f t="shared" si="27"/>
        <v>25680.601825597892</v>
      </c>
      <c r="I258" s="843">
        <f t="shared" si="27"/>
        <v>8271.6450694608102</v>
      </c>
      <c r="J258" s="843">
        <f t="shared" si="27"/>
        <v>0</v>
      </c>
    </row>
    <row r="259" spans="2:10" x14ac:dyDescent="0.2">
      <c r="B259" s="820" t="s">
        <v>147</v>
      </c>
      <c r="D259" s="843">
        <f t="shared" si="27"/>
        <v>0</v>
      </c>
      <c r="E259" s="843">
        <f t="shared" si="27"/>
        <v>0</v>
      </c>
      <c r="F259" s="843">
        <f t="shared" si="27"/>
        <v>0</v>
      </c>
      <c r="G259" s="843">
        <f t="shared" si="27"/>
        <v>0</v>
      </c>
      <c r="H259" s="843">
        <f t="shared" si="27"/>
        <v>0</v>
      </c>
      <c r="I259" s="843">
        <f t="shared" si="27"/>
        <v>1366947.8160124375</v>
      </c>
      <c r="J259" s="843">
        <f t="shared" si="27"/>
        <v>0</v>
      </c>
    </row>
    <row r="260" spans="2:10" x14ac:dyDescent="0.2">
      <c r="B260" s="820" t="s">
        <v>230</v>
      </c>
      <c r="D260" s="843">
        <f t="shared" si="27"/>
        <v>28966.221152713697</v>
      </c>
      <c r="E260" s="843">
        <f t="shared" si="27"/>
        <v>397272.25452531176</v>
      </c>
      <c r="F260" s="843">
        <f t="shared" si="27"/>
        <v>148949.61071282142</v>
      </c>
      <c r="G260" s="843">
        <f t="shared" si="27"/>
        <v>0</v>
      </c>
      <c r="H260" s="843">
        <f t="shared" si="27"/>
        <v>0</v>
      </c>
      <c r="I260" s="843">
        <f t="shared" si="27"/>
        <v>370129.97086542228</v>
      </c>
      <c r="J260" s="843">
        <f t="shared" si="27"/>
        <v>0</v>
      </c>
    </row>
    <row r="261" spans="2:10" x14ac:dyDescent="0.2">
      <c r="B261" s="820" t="s">
        <v>157</v>
      </c>
      <c r="D261" s="843">
        <f t="shared" ref="D261:J266" si="28">+D227*D94</f>
        <v>0</v>
      </c>
      <c r="E261" s="843">
        <f t="shared" si="28"/>
        <v>0</v>
      </c>
      <c r="F261" s="843">
        <f t="shared" si="28"/>
        <v>0</v>
      </c>
      <c r="G261" s="843">
        <f t="shared" si="28"/>
        <v>0</v>
      </c>
      <c r="H261" s="843">
        <f t="shared" si="28"/>
        <v>0</v>
      </c>
      <c r="I261" s="843">
        <f t="shared" si="28"/>
        <v>637008.73379854159</v>
      </c>
      <c r="J261" s="843">
        <f t="shared" si="28"/>
        <v>56807.114384416418</v>
      </c>
    </row>
    <row r="262" spans="2:10" x14ac:dyDescent="0.2">
      <c r="B262" s="820" t="s">
        <v>150</v>
      </c>
      <c r="D262" s="843">
        <f t="shared" si="28"/>
        <v>0</v>
      </c>
      <c r="E262" s="843">
        <f t="shared" si="28"/>
        <v>301461.63746905414</v>
      </c>
      <c r="F262" s="843">
        <f t="shared" si="28"/>
        <v>113027.25784240339</v>
      </c>
      <c r="G262" s="843">
        <f t="shared" si="28"/>
        <v>0</v>
      </c>
      <c r="H262" s="843">
        <f t="shared" si="28"/>
        <v>0</v>
      </c>
      <c r="I262" s="843">
        <f t="shared" si="28"/>
        <v>991221.19208216306</v>
      </c>
      <c r="J262" s="843">
        <f t="shared" si="28"/>
        <v>103094.07228455301</v>
      </c>
    </row>
    <row r="263" spans="2:10" x14ac:dyDescent="0.2">
      <c r="B263" s="820" t="s">
        <v>151</v>
      </c>
      <c r="D263" s="843">
        <f t="shared" si="28"/>
        <v>0</v>
      </c>
      <c r="E263" s="843">
        <f t="shared" si="28"/>
        <v>283097.0775520748</v>
      </c>
      <c r="F263" s="843">
        <f t="shared" si="28"/>
        <v>106141.81840033921</v>
      </c>
      <c r="G263" s="843">
        <f t="shared" si="28"/>
        <v>0</v>
      </c>
      <c r="H263" s="843">
        <f t="shared" si="28"/>
        <v>0</v>
      </c>
      <c r="I263" s="843">
        <f t="shared" si="28"/>
        <v>0</v>
      </c>
      <c r="J263" s="843">
        <f t="shared" si="28"/>
        <v>0</v>
      </c>
    </row>
    <row r="264" spans="2:10" x14ac:dyDescent="0.2">
      <c r="B264" s="820" t="s">
        <v>153</v>
      </c>
      <c r="D264" s="843">
        <f t="shared" si="28"/>
        <v>0</v>
      </c>
      <c r="E264" s="843">
        <f t="shared" si="28"/>
        <v>1576856.4023995257</v>
      </c>
      <c r="F264" s="843">
        <f t="shared" si="28"/>
        <v>591212.05825982208</v>
      </c>
      <c r="G264" s="843">
        <f t="shared" si="28"/>
        <v>0</v>
      </c>
      <c r="H264" s="843">
        <f t="shared" si="28"/>
        <v>0</v>
      </c>
      <c r="I264" s="843">
        <f t="shared" si="28"/>
        <v>582113.41976234864</v>
      </c>
      <c r="J264" s="843">
        <f t="shared" si="28"/>
        <v>50609.436091668256</v>
      </c>
    </row>
    <row r="265" spans="2:10" x14ac:dyDescent="0.2">
      <c r="B265" s="820" t="s">
        <v>159</v>
      </c>
      <c r="D265" s="843">
        <f t="shared" si="28"/>
        <v>9082.8380327819777</v>
      </c>
      <c r="E265" s="843">
        <f t="shared" si="28"/>
        <v>0</v>
      </c>
      <c r="F265" s="843">
        <f t="shared" si="28"/>
        <v>0</v>
      </c>
      <c r="G265" s="843">
        <f t="shared" si="28"/>
        <v>0</v>
      </c>
      <c r="H265" s="843">
        <f t="shared" si="28"/>
        <v>0</v>
      </c>
      <c r="I265" s="843">
        <f t="shared" si="28"/>
        <v>0</v>
      </c>
      <c r="J265" s="843">
        <f t="shared" si="28"/>
        <v>0</v>
      </c>
    </row>
    <row r="266" spans="2:10" x14ac:dyDescent="0.2">
      <c r="B266" s="820" t="s">
        <v>154</v>
      </c>
      <c r="D266" s="843">
        <f t="shared" si="28"/>
        <v>0</v>
      </c>
      <c r="E266" s="843">
        <f t="shared" si="28"/>
        <v>76766.380941563009</v>
      </c>
      <c r="F266" s="843">
        <f t="shared" si="28"/>
        <v>28782.081876672921</v>
      </c>
      <c r="G266" s="843">
        <f t="shared" si="28"/>
        <v>0</v>
      </c>
      <c r="H266" s="843">
        <f t="shared" si="28"/>
        <v>0</v>
      </c>
      <c r="I266" s="843">
        <f t="shared" si="28"/>
        <v>0</v>
      </c>
      <c r="J266" s="843">
        <f t="shared" si="28"/>
        <v>0</v>
      </c>
    </row>
    <row r="267" spans="2:10" x14ac:dyDescent="0.2">
      <c r="B267" s="820" t="s">
        <v>155</v>
      </c>
      <c r="D267" s="843">
        <f>+D233*D100</f>
        <v>0</v>
      </c>
      <c r="E267" s="843"/>
      <c r="F267" s="843">
        <f>+F233*F100</f>
        <v>0</v>
      </c>
      <c r="G267" s="843"/>
      <c r="H267" s="843">
        <f>+H233*H100</f>
        <v>0</v>
      </c>
      <c r="I267" s="843"/>
      <c r="J267" s="843">
        <f>+J233*J100</f>
        <v>0</v>
      </c>
    </row>
    <row r="268" spans="2:10" x14ac:dyDescent="0.2">
      <c r="B268" s="820" t="s">
        <v>156</v>
      </c>
      <c r="D268" s="843">
        <f>+D234*D101</f>
        <v>0</v>
      </c>
      <c r="E268" s="843"/>
      <c r="F268" s="843">
        <f>+F234*F101</f>
        <v>0</v>
      </c>
      <c r="G268" s="843">
        <f>+G234*G101</f>
        <v>0</v>
      </c>
      <c r="H268" s="843">
        <f>+H234*H101</f>
        <v>0</v>
      </c>
      <c r="I268" s="843">
        <f>+I234*I101</f>
        <v>0</v>
      </c>
      <c r="J268" s="843">
        <f>+J234*J101</f>
        <v>0</v>
      </c>
    </row>
    <row r="269" spans="2:10" x14ac:dyDescent="0.2">
      <c r="B269" s="820" t="s">
        <v>152</v>
      </c>
      <c r="D269" s="843">
        <f>+D235*D102</f>
        <v>0</v>
      </c>
      <c r="E269" s="843"/>
      <c r="F269" s="843">
        <f>+F235*F102</f>
        <v>0</v>
      </c>
      <c r="G269" s="843">
        <f>+G235*G102</f>
        <v>0</v>
      </c>
      <c r="H269" s="843">
        <f>+H235*H102</f>
        <v>0</v>
      </c>
      <c r="I269" s="843"/>
      <c r="J269" s="843"/>
    </row>
    <row r="270" spans="2:10" x14ac:dyDescent="0.2">
      <c r="B270" s="820" t="s">
        <v>133</v>
      </c>
      <c r="D270" s="852">
        <f>+D236*D103</f>
        <v>3598.2059736446836</v>
      </c>
      <c r="E270" s="852">
        <f>+E236*E103</f>
        <v>0</v>
      </c>
      <c r="F270" s="852">
        <f>+F236*F103</f>
        <v>0</v>
      </c>
      <c r="G270" s="852">
        <f>+G236*G103</f>
        <v>0</v>
      </c>
      <c r="H270" s="852">
        <f>+H236*H103</f>
        <v>0</v>
      </c>
      <c r="I270" s="852">
        <f>+I236*I103</f>
        <v>0</v>
      </c>
      <c r="J270" s="852">
        <f>+J236*J103</f>
        <v>0</v>
      </c>
    </row>
    <row r="271" spans="2:10" x14ac:dyDescent="0.2">
      <c r="C271" s="853" t="s">
        <v>587</v>
      </c>
      <c r="D271" s="854">
        <f>SUM(D245:D270)</f>
        <v>502523.52904275048</v>
      </c>
      <c r="E271" s="854">
        <f t="shared" ref="E271:J271" si="29">SUM(E245:E270)</f>
        <v>4434786.9799260711</v>
      </c>
      <c r="F271" s="854">
        <f t="shared" si="29"/>
        <v>3307607.9759414657</v>
      </c>
      <c r="G271" s="854">
        <f t="shared" si="29"/>
        <v>0</v>
      </c>
      <c r="H271" s="854">
        <f t="shared" si="29"/>
        <v>3035629.487601574</v>
      </c>
      <c r="I271" s="855">
        <f t="shared" si="29"/>
        <v>14795132.247820064</v>
      </c>
      <c r="J271" s="854">
        <f t="shared" si="29"/>
        <v>2677955.3415689939</v>
      </c>
    </row>
    <row r="272" spans="2:10" x14ac:dyDescent="0.2">
      <c r="B272" s="821" t="s">
        <v>588</v>
      </c>
      <c r="D272" s="856">
        <f>+D174-D271</f>
        <v>0</v>
      </c>
      <c r="E272" s="856">
        <f>+E174-E271</f>
        <v>0</v>
      </c>
      <c r="F272" s="856"/>
      <c r="G272" s="856">
        <f>+G174-G271</f>
        <v>0</v>
      </c>
      <c r="H272" s="856">
        <f>+H174-H271</f>
        <v>0</v>
      </c>
      <c r="I272" s="856">
        <f>+I174-I271</f>
        <v>0</v>
      </c>
      <c r="J272" s="856">
        <f>+J174-J271</f>
        <v>0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7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72"/>
  <sheetViews>
    <sheetView topLeftCell="A231" workbookViewId="0">
      <selection activeCell="D258" sqref="D258"/>
    </sheetView>
  </sheetViews>
  <sheetFormatPr defaultColWidth="8.85546875" defaultRowHeight="12.75" x14ac:dyDescent="0.2"/>
  <cols>
    <col min="1" max="1" width="1.5703125" style="820" customWidth="1"/>
    <col min="2" max="2" width="9.5703125" style="820" customWidth="1"/>
    <col min="3" max="3" width="5.7109375" style="820" bestFit="1" customWidth="1"/>
    <col min="4" max="4" width="9.7109375" style="820" customWidth="1"/>
    <col min="5" max="8" width="10.7109375" style="820" customWidth="1"/>
    <col min="9" max="9" width="11.7109375" style="820" customWidth="1"/>
    <col min="10" max="10" width="10.7109375" style="820" customWidth="1"/>
    <col min="11" max="11" width="12.42578125" style="820" bestFit="1" customWidth="1"/>
    <col min="12" max="12" width="9.42578125" style="820" customWidth="1"/>
    <col min="13" max="13" width="2.5703125" style="820" customWidth="1"/>
    <col min="14" max="14" width="5.7109375" style="820" bestFit="1" customWidth="1"/>
    <col min="15" max="16" width="7.7109375" style="820" bestFit="1" customWidth="1"/>
    <col min="17" max="18" width="5.85546875" style="820" bestFit="1" customWidth="1"/>
    <col min="19" max="19" width="5.85546875" style="820" customWidth="1"/>
    <col min="20" max="25" width="5.85546875" style="820" bestFit="1" customWidth="1"/>
    <col min="26" max="26" width="2.140625" style="820" customWidth="1"/>
    <col min="27" max="27" width="2.7109375" style="820" customWidth="1"/>
    <col min="28" max="16384" width="8.85546875" style="820"/>
  </cols>
  <sheetData>
    <row r="1" spans="1:14" x14ac:dyDescent="0.2">
      <c r="A1" s="819" t="s">
        <v>570</v>
      </c>
      <c r="D1" s="821" t="s">
        <v>438</v>
      </c>
      <c r="I1" s="822" t="s">
        <v>541</v>
      </c>
      <c r="K1" s="991" t="str">
        <f>'1. Storm Drainage Fee Calc Sum'!$J$1</f>
        <v>Internal</v>
      </c>
      <c r="L1" s="992"/>
    </row>
    <row r="2" spans="1:14" x14ac:dyDescent="0.2">
      <c r="K2" s="993"/>
      <c r="L2" s="994"/>
    </row>
    <row r="3" spans="1:14" x14ac:dyDescent="0.2">
      <c r="D3" s="823" t="s">
        <v>203</v>
      </c>
      <c r="E3" s="824" t="s">
        <v>203</v>
      </c>
      <c r="F3" s="825" t="s">
        <v>571</v>
      </c>
      <c r="G3" s="824" t="s">
        <v>203</v>
      </c>
      <c r="H3" s="824" t="s">
        <v>203</v>
      </c>
      <c r="I3" s="824" t="s">
        <v>203</v>
      </c>
      <c r="J3" s="824" t="s">
        <v>203</v>
      </c>
      <c r="K3" s="824" t="s">
        <v>203</v>
      </c>
      <c r="L3" s="826" t="s">
        <v>203</v>
      </c>
      <c r="M3" s="827"/>
    </row>
    <row r="4" spans="1:14" x14ac:dyDescent="0.2">
      <c r="D4" s="828">
        <v>30</v>
      </c>
      <c r="E4" s="829">
        <v>31</v>
      </c>
      <c r="F4" s="830" t="s">
        <v>572</v>
      </c>
      <c r="G4" s="829">
        <v>32</v>
      </c>
      <c r="H4" s="829">
        <v>33</v>
      </c>
      <c r="I4" s="829">
        <v>34</v>
      </c>
      <c r="J4" s="829">
        <v>35</v>
      </c>
      <c r="K4" s="829">
        <v>36</v>
      </c>
      <c r="L4" s="831">
        <v>39</v>
      </c>
      <c r="M4" s="827"/>
    </row>
    <row r="5" spans="1:14" ht="5.25" customHeight="1" x14ac:dyDescent="0.2">
      <c r="N5" s="832"/>
    </row>
    <row r="6" spans="1:14" x14ac:dyDescent="0.2">
      <c r="B6" s="833" t="s">
        <v>129</v>
      </c>
      <c r="D6" s="995" t="s">
        <v>549</v>
      </c>
      <c r="E6" s="996"/>
      <c r="F6" s="996"/>
      <c r="G6" s="996"/>
      <c r="H6" s="996"/>
      <c r="I6" s="996"/>
      <c r="J6" s="996"/>
      <c r="K6" s="996"/>
      <c r="L6" s="997"/>
      <c r="M6" s="834"/>
      <c r="N6" s="832"/>
    </row>
    <row r="7" spans="1:14" ht="5.25" customHeight="1" x14ac:dyDescent="0.2">
      <c r="N7" s="832"/>
    </row>
    <row r="8" spans="1:14" x14ac:dyDescent="0.2">
      <c r="B8" s="820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2"/>
    </row>
    <row r="9" spans="1:14" x14ac:dyDescent="0.2">
      <c r="B9" s="820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2"/>
    </row>
    <row r="10" spans="1:14" x14ac:dyDescent="0.2">
      <c r="B10" s="820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2"/>
    </row>
    <row r="11" spans="1:14" x14ac:dyDescent="0.2">
      <c r="B11" s="820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2"/>
    </row>
    <row r="12" spans="1:14" x14ac:dyDescent="0.2">
      <c r="B12" s="820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2"/>
    </row>
    <row r="13" spans="1:14" x14ac:dyDescent="0.2">
      <c r="B13" s="820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2"/>
    </row>
    <row r="14" spans="1:14" x14ac:dyDescent="0.2">
      <c r="B14" s="820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2"/>
    </row>
    <row r="15" spans="1:14" x14ac:dyDescent="0.2">
      <c r="B15" s="820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2"/>
    </row>
    <row r="16" spans="1:14" x14ac:dyDescent="0.2">
      <c r="B16" s="820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2"/>
    </row>
    <row r="17" spans="2:14" x14ac:dyDescent="0.2">
      <c r="B17" s="820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2"/>
    </row>
    <row r="18" spans="2:14" x14ac:dyDescent="0.2">
      <c r="B18" s="820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2"/>
    </row>
    <row r="19" spans="2:14" x14ac:dyDescent="0.2">
      <c r="B19" s="820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2"/>
    </row>
    <row r="20" spans="2:14" x14ac:dyDescent="0.2">
      <c r="B20" s="820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2"/>
    </row>
    <row r="21" spans="2:14" x14ac:dyDescent="0.2">
      <c r="B21" s="820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2"/>
    </row>
    <row r="22" spans="2:14" x14ac:dyDescent="0.2">
      <c r="B22" s="820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2"/>
    </row>
    <row r="23" spans="2:14" x14ac:dyDescent="0.2">
      <c r="B23" s="820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2"/>
    </row>
    <row r="24" spans="2:14" x14ac:dyDescent="0.2">
      <c r="B24" s="820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2"/>
    </row>
    <row r="25" spans="2:14" x14ac:dyDescent="0.2">
      <c r="B25" s="820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2"/>
    </row>
    <row r="26" spans="2:14" x14ac:dyDescent="0.2">
      <c r="B26" s="820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2"/>
    </row>
    <row r="27" spans="2:14" x14ac:dyDescent="0.2">
      <c r="B27" s="820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2"/>
    </row>
    <row r="28" spans="2:14" x14ac:dyDescent="0.2">
      <c r="B28" s="820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2"/>
    </row>
    <row r="29" spans="2:14" x14ac:dyDescent="0.2">
      <c r="B29" s="820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2"/>
    </row>
    <row r="30" spans="2:14" x14ac:dyDescent="0.2">
      <c r="B30" s="820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2"/>
    </row>
    <row r="31" spans="2:14" x14ac:dyDescent="0.2">
      <c r="B31" s="820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2"/>
    </row>
    <row r="32" spans="2:14" x14ac:dyDescent="0.2">
      <c r="B32" s="820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2"/>
    </row>
    <row r="33" spans="2:25" x14ac:dyDescent="0.2">
      <c r="B33" s="820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2"/>
    </row>
    <row r="34" spans="2:25" ht="5.25" customHeight="1" x14ac:dyDescent="0.2">
      <c r="D34" s="835"/>
      <c r="E34" s="835"/>
      <c r="F34" s="835"/>
      <c r="G34" s="835"/>
      <c r="H34" s="835"/>
      <c r="I34" s="835"/>
      <c r="J34" s="835"/>
      <c r="K34" s="835"/>
      <c r="L34" s="835"/>
      <c r="M34" s="836"/>
      <c r="N34" s="832"/>
    </row>
    <row r="35" spans="2:25" hidden="1" x14ac:dyDescent="0.2">
      <c r="N35" s="832"/>
    </row>
    <row r="36" spans="2:25" x14ac:dyDescent="0.2">
      <c r="B36" s="820" t="s">
        <v>0</v>
      </c>
      <c r="D36" s="837">
        <f t="shared" ref="D36:L36" si="1">SUM(D8:D34)</f>
        <v>5161.1941999999999</v>
      </c>
      <c r="E36" s="837">
        <f t="shared" si="1"/>
        <v>2187.6359000000002</v>
      </c>
      <c r="F36" s="837">
        <f t="shared" si="1"/>
        <v>3285.2278999999999</v>
      </c>
      <c r="G36" s="837">
        <f t="shared" si="1"/>
        <v>1097.5920000000001</v>
      </c>
      <c r="H36" s="837">
        <f t="shared" si="1"/>
        <v>253.02780000000004</v>
      </c>
      <c r="I36" s="837">
        <f t="shared" si="1"/>
        <v>351.22140000000002</v>
      </c>
      <c r="J36" s="837">
        <f t="shared" si="1"/>
        <v>431.279</v>
      </c>
      <c r="K36" s="837">
        <f t="shared" si="1"/>
        <v>5724.6829500000003</v>
      </c>
      <c r="L36" s="837">
        <f t="shared" si="1"/>
        <v>2170.607806</v>
      </c>
      <c r="M36" s="837"/>
      <c r="N36" s="832"/>
    </row>
    <row r="37" spans="2:25" x14ac:dyDescent="0.2">
      <c r="N37" s="832"/>
      <c r="Q37" s="820" t="s">
        <v>203</v>
      </c>
      <c r="R37" s="820" t="s">
        <v>203</v>
      </c>
      <c r="T37" s="820" t="s">
        <v>203</v>
      </c>
      <c r="U37" s="820" t="s">
        <v>203</v>
      </c>
      <c r="V37" s="820" t="s">
        <v>203</v>
      </c>
      <c r="W37" s="820" t="s">
        <v>203</v>
      </c>
      <c r="X37" s="820" t="s">
        <v>203</v>
      </c>
      <c r="Y37" s="820" t="s">
        <v>203</v>
      </c>
    </row>
    <row r="38" spans="2:25" hidden="1" x14ac:dyDescent="0.2">
      <c r="D38" s="837">
        <f>+D36+E36+G36+H36+I36+J36+K36+L36</f>
        <v>17377.241055999999</v>
      </c>
      <c r="N38" s="832"/>
      <c r="Q38" s="820">
        <v>30</v>
      </c>
      <c r="R38" s="820">
        <v>31</v>
      </c>
      <c r="T38" s="820">
        <v>32</v>
      </c>
      <c r="U38" s="820">
        <v>33</v>
      </c>
      <c r="V38" s="820">
        <v>34</v>
      </c>
      <c r="W38" s="820">
        <v>35</v>
      </c>
      <c r="X38" s="820">
        <v>36</v>
      </c>
      <c r="Y38" s="820">
        <v>39</v>
      </c>
    </row>
    <row r="39" spans="2:25" hidden="1" x14ac:dyDescent="0.2">
      <c r="N39" s="832"/>
    </row>
    <row r="40" spans="2:25" hidden="1" x14ac:dyDescent="0.2">
      <c r="D40" s="823" t="s">
        <v>203</v>
      </c>
      <c r="E40" s="824" t="s">
        <v>203</v>
      </c>
      <c r="F40" s="824"/>
      <c r="G40" s="824" t="s">
        <v>203</v>
      </c>
      <c r="H40" s="824" t="s">
        <v>203</v>
      </c>
      <c r="I40" s="824" t="s">
        <v>203</v>
      </c>
      <c r="J40" s="824" t="s">
        <v>203</v>
      </c>
      <c r="K40" s="824" t="s">
        <v>203</v>
      </c>
      <c r="L40" s="826" t="s">
        <v>203</v>
      </c>
      <c r="N40" s="832"/>
    </row>
    <row r="41" spans="2:25" hidden="1" x14ac:dyDescent="0.2">
      <c r="D41" s="828">
        <v>30</v>
      </c>
      <c r="E41" s="829">
        <v>31</v>
      </c>
      <c r="F41" s="829"/>
      <c r="G41" s="829">
        <v>32</v>
      </c>
      <c r="H41" s="829">
        <v>33</v>
      </c>
      <c r="I41" s="829">
        <v>34</v>
      </c>
      <c r="J41" s="829">
        <v>35</v>
      </c>
      <c r="K41" s="829">
        <v>36</v>
      </c>
      <c r="L41" s="831">
        <v>39</v>
      </c>
      <c r="N41" s="832"/>
    </row>
    <row r="42" spans="2:25" hidden="1" x14ac:dyDescent="0.2">
      <c r="N42" s="832"/>
    </row>
    <row r="43" spans="2:25" x14ac:dyDescent="0.2">
      <c r="B43" s="833" t="s">
        <v>129</v>
      </c>
      <c r="D43" s="995" t="s">
        <v>380</v>
      </c>
      <c r="E43" s="996"/>
      <c r="F43" s="996"/>
      <c r="G43" s="996"/>
      <c r="H43" s="996"/>
      <c r="I43" s="996"/>
      <c r="J43" s="996"/>
      <c r="K43" s="996"/>
      <c r="L43" s="997"/>
      <c r="N43" s="832"/>
      <c r="Q43" s="820">
        <v>30</v>
      </c>
      <c r="R43" s="820">
        <v>31</v>
      </c>
      <c r="T43" s="820">
        <v>32</v>
      </c>
      <c r="U43" s="820">
        <v>33</v>
      </c>
      <c r="V43" s="820">
        <v>34</v>
      </c>
      <c r="W43" s="820">
        <v>35</v>
      </c>
      <c r="X43" s="820">
        <v>36</v>
      </c>
      <c r="Y43" s="820">
        <v>39</v>
      </c>
    </row>
    <row r="44" spans="2:25" x14ac:dyDescent="0.2">
      <c r="D44" s="820">
        <v>30</v>
      </c>
      <c r="E44" s="820">
        <v>31</v>
      </c>
      <c r="G44" s="820">
        <v>32</v>
      </c>
      <c r="H44" s="820">
        <v>33</v>
      </c>
      <c r="I44" s="820">
        <v>34</v>
      </c>
      <c r="J44" s="820">
        <v>35</v>
      </c>
      <c r="K44" s="820">
        <v>36</v>
      </c>
      <c r="L44" s="820">
        <v>39</v>
      </c>
      <c r="N44" s="832"/>
    </row>
    <row r="45" spans="2:25" x14ac:dyDescent="0.2">
      <c r="B45" s="820" t="s">
        <v>229</v>
      </c>
      <c r="D45" s="858">
        <v>0.42499999999999999</v>
      </c>
      <c r="E45" s="858">
        <v>0.42499999999999999</v>
      </c>
      <c r="F45" s="858"/>
      <c r="G45" s="859">
        <v>0</v>
      </c>
      <c r="H45" s="859">
        <v>0</v>
      </c>
      <c r="I45" s="859">
        <v>0</v>
      </c>
      <c r="J45" s="859">
        <v>0</v>
      </c>
      <c r="K45" s="858">
        <v>0.42499999999999999</v>
      </c>
      <c r="L45" s="858">
        <v>0.42499999999999999</v>
      </c>
      <c r="N45" s="832"/>
      <c r="O45" t="s">
        <v>229</v>
      </c>
      <c r="P45" s="820" t="str">
        <f>IF(EXACT(O45,B45),"ok","help")</f>
        <v>ok</v>
      </c>
      <c r="Q45" s="860">
        <v>0.42499999999999999</v>
      </c>
      <c r="R45" s="860">
        <v>0.42499999999999999</v>
      </c>
      <c r="S45" s="860"/>
      <c r="T45" s="860">
        <v>0</v>
      </c>
      <c r="U45" s="860">
        <v>0</v>
      </c>
      <c r="V45" s="860">
        <v>0</v>
      </c>
      <c r="W45" s="860">
        <v>0</v>
      </c>
      <c r="X45" s="860">
        <v>0.42499999999999999</v>
      </c>
      <c r="Y45" s="860">
        <v>0.42499999999999999</v>
      </c>
    </row>
    <row r="46" spans="2:25" x14ac:dyDescent="0.2">
      <c r="B46" s="820" t="s">
        <v>149</v>
      </c>
      <c r="D46" s="614">
        <v>0</v>
      </c>
      <c r="E46" s="614">
        <v>0</v>
      </c>
      <c r="F46" s="614"/>
      <c r="G46" s="614">
        <v>0</v>
      </c>
      <c r="H46" s="614">
        <v>0</v>
      </c>
      <c r="I46" s="614">
        <v>0</v>
      </c>
      <c r="J46" s="614">
        <v>0</v>
      </c>
      <c r="K46" s="614">
        <v>0</v>
      </c>
      <c r="L46" s="602">
        <v>0.85</v>
      </c>
      <c r="N46" s="832"/>
      <c r="O46" t="s">
        <v>149</v>
      </c>
      <c r="P46" s="820" t="str">
        <f t="shared" ref="P46:P70" si="2">IF(EXACT(O46,B46),"ok","help")</f>
        <v>ok</v>
      </c>
      <c r="Q46" s="860">
        <v>0</v>
      </c>
      <c r="R46" s="860">
        <v>0</v>
      </c>
      <c r="S46" s="860"/>
      <c r="T46" s="860">
        <v>0</v>
      </c>
      <c r="U46" s="860">
        <v>0</v>
      </c>
      <c r="V46" s="860">
        <v>0</v>
      </c>
      <c r="W46" s="860">
        <v>0</v>
      </c>
      <c r="X46" s="860">
        <v>0</v>
      </c>
      <c r="Y46" s="860">
        <v>0.85</v>
      </c>
    </row>
    <row r="47" spans="2:25" x14ac:dyDescent="0.2">
      <c r="B47" s="820" t="s">
        <v>144</v>
      </c>
      <c r="D47" s="614">
        <v>0</v>
      </c>
      <c r="E47" s="614">
        <v>0</v>
      </c>
      <c r="F47" s="614"/>
      <c r="G47" s="614">
        <v>0</v>
      </c>
      <c r="H47" s="614">
        <v>0</v>
      </c>
      <c r="I47" s="602">
        <v>0.85</v>
      </c>
      <c r="J47" s="614">
        <v>0</v>
      </c>
      <c r="K47" s="614">
        <v>0</v>
      </c>
      <c r="L47" s="614">
        <v>0</v>
      </c>
      <c r="N47" s="832"/>
      <c r="O47" t="s">
        <v>144</v>
      </c>
      <c r="P47" s="820" t="str">
        <f t="shared" si="2"/>
        <v>ok</v>
      </c>
      <c r="Q47" s="860">
        <v>0</v>
      </c>
      <c r="R47" s="860">
        <v>0</v>
      </c>
      <c r="S47" s="860"/>
      <c r="T47" s="860">
        <v>0</v>
      </c>
      <c r="U47" s="860">
        <v>0</v>
      </c>
      <c r="V47" s="860">
        <v>0.85</v>
      </c>
      <c r="W47" s="860">
        <v>0</v>
      </c>
      <c r="X47" s="860">
        <v>0</v>
      </c>
      <c r="Y47" s="860">
        <v>0</v>
      </c>
    </row>
    <row r="48" spans="2:25" x14ac:dyDescent="0.2">
      <c r="B48" s="820" t="s">
        <v>142</v>
      </c>
      <c r="D48" s="614">
        <v>0</v>
      </c>
      <c r="E48" s="602">
        <v>0.85</v>
      </c>
      <c r="F48" s="602"/>
      <c r="G48" s="602">
        <v>0.85</v>
      </c>
      <c r="H48" s="602">
        <v>0.85</v>
      </c>
      <c r="I48" s="602">
        <v>0.85</v>
      </c>
      <c r="J48" s="602">
        <v>0.85</v>
      </c>
      <c r="K48" s="602">
        <v>0.85</v>
      </c>
      <c r="L48" s="602">
        <v>0.85</v>
      </c>
      <c r="N48" s="832"/>
      <c r="O48" t="s">
        <v>142</v>
      </c>
      <c r="P48" s="820" t="str">
        <f t="shared" si="2"/>
        <v>ok</v>
      </c>
      <c r="Q48" s="860">
        <v>0</v>
      </c>
      <c r="R48" s="860">
        <v>0.85</v>
      </c>
      <c r="S48" s="860"/>
      <c r="T48" s="860">
        <v>0.85</v>
      </c>
      <c r="U48" s="860">
        <v>0.85</v>
      </c>
      <c r="V48" s="860">
        <v>0.85</v>
      </c>
      <c r="W48" s="860">
        <v>0.85</v>
      </c>
      <c r="X48" s="860">
        <v>0.85</v>
      </c>
      <c r="Y48" s="860">
        <v>0.85</v>
      </c>
    </row>
    <row r="49" spans="2:25" x14ac:dyDescent="0.2">
      <c r="B49" s="820" t="s">
        <v>143</v>
      </c>
      <c r="D49" s="614">
        <v>0</v>
      </c>
      <c r="E49" s="602">
        <v>0.85</v>
      </c>
      <c r="F49" s="602"/>
      <c r="G49" s="602">
        <v>0.85</v>
      </c>
      <c r="H49" s="602">
        <v>0.85</v>
      </c>
      <c r="I49" s="602">
        <v>0.85</v>
      </c>
      <c r="J49" s="602">
        <v>0.85</v>
      </c>
      <c r="K49" s="602">
        <v>0.85</v>
      </c>
      <c r="L49" s="602">
        <v>0.85</v>
      </c>
      <c r="N49" s="832"/>
      <c r="O49" t="s">
        <v>143</v>
      </c>
      <c r="P49" s="820" t="str">
        <f t="shared" si="2"/>
        <v>ok</v>
      </c>
      <c r="Q49" s="860">
        <v>0</v>
      </c>
      <c r="R49" s="860">
        <v>0.85</v>
      </c>
      <c r="S49" s="860"/>
      <c r="T49" s="860">
        <v>0.85</v>
      </c>
      <c r="U49" s="860">
        <v>0.85</v>
      </c>
      <c r="V49" s="860">
        <v>0.85</v>
      </c>
      <c r="W49" s="860">
        <v>0.85</v>
      </c>
      <c r="X49" s="860">
        <v>0.85</v>
      </c>
      <c r="Y49" s="860">
        <v>0.85</v>
      </c>
    </row>
    <row r="50" spans="2:25" x14ac:dyDescent="0.2">
      <c r="B50" s="820" t="s">
        <v>139</v>
      </c>
      <c r="D50" s="614">
        <v>0</v>
      </c>
      <c r="E50" s="614">
        <v>0</v>
      </c>
      <c r="F50" s="614"/>
      <c r="G50" s="602">
        <v>0.85</v>
      </c>
      <c r="H50" s="614">
        <v>0</v>
      </c>
      <c r="I50" s="602">
        <v>0.85</v>
      </c>
      <c r="J50" s="614">
        <v>0</v>
      </c>
      <c r="K50" s="602">
        <v>0.85</v>
      </c>
      <c r="L50" s="602">
        <v>0.85</v>
      </c>
      <c r="N50" s="832"/>
      <c r="O50" t="s">
        <v>139</v>
      </c>
      <c r="P50" s="820" t="str">
        <f t="shared" si="2"/>
        <v>ok</v>
      </c>
      <c r="Q50" s="860">
        <v>0</v>
      </c>
      <c r="R50" s="860">
        <v>0</v>
      </c>
      <c r="S50" s="860"/>
      <c r="T50" s="860">
        <v>0.85</v>
      </c>
      <c r="U50" s="860">
        <v>0</v>
      </c>
      <c r="V50" s="860">
        <v>0.85</v>
      </c>
      <c r="W50" s="860">
        <v>0</v>
      </c>
      <c r="X50" s="860">
        <v>0.85</v>
      </c>
      <c r="Y50" s="860">
        <v>0.85</v>
      </c>
    </row>
    <row r="51" spans="2:25" x14ac:dyDescent="0.2">
      <c r="B51" s="820" t="s">
        <v>146</v>
      </c>
      <c r="D51" s="602">
        <v>0.85</v>
      </c>
      <c r="E51" s="614">
        <v>0</v>
      </c>
      <c r="F51" s="614"/>
      <c r="G51" s="614">
        <v>0</v>
      </c>
      <c r="H51" s="602">
        <v>0.85</v>
      </c>
      <c r="I51" s="602">
        <v>0.85</v>
      </c>
      <c r="J51" s="602">
        <v>0.85</v>
      </c>
      <c r="K51" s="602">
        <v>0.85</v>
      </c>
      <c r="L51" s="614">
        <v>0</v>
      </c>
      <c r="N51" s="832"/>
      <c r="O51" t="s">
        <v>146</v>
      </c>
      <c r="P51" s="820" t="str">
        <f t="shared" si="2"/>
        <v>ok</v>
      </c>
      <c r="Q51" s="860">
        <v>0.85</v>
      </c>
      <c r="R51" s="860">
        <v>0</v>
      </c>
      <c r="S51" s="860"/>
      <c r="T51" s="860">
        <v>0</v>
      </c>
      <c r="U51" s="860">
        <v>0.85</v>
      </c>
      <c r="V51" s="860">
        <v>0.85</v>
      </c>
      <c r="W51" s="860">
        <v>0.85</v>
      </c>
      <c r="X51" s="860">
        <v>0.85</v>
      </c>
      <c r="Y51" s="860">
        <v>0</v>
      </c>
    </row>
    <row r="52" spans="2:25" x14ac:dyDescent="0.2">
      <c r="B52" s="820" t="s">
        <v>135</v>
      </c>
      <c r="D52" s="602">
        <v>0.85</v>
      </c>
      <c r="E52" s="592">
        <v>0.85</v>
      </c>
      <c r="F52" s="592"/>
      <c r="G52" s="602">
        <v>0.85</v>
      </c>
      <c r="H52" s="602">
        <v>0.85</v>
      </c>
      <c r="I52" s="602">
        <v>0.85</v>
      </c>
      <c r="J52" s="602">
        <v>0.85</v>
      </c>
      <c r="K52" s="602">
        <v>0.85</v>
      </c>
      <c r="L52" s="602">
        <v>0.85</v>
      </c>
      <c r="N52" s="832"/>
      <c r="O52" t="s">
        <v>135</v>
      </c>
      <c r="P52" s="820" t="str">
        <f t="shared" si="2"/>
        <v>ok</v>
      </c>
      <c r="Q52" s="860">
        <v>0.85</v>
      </c>
      <c r="R52" s="860">
        <v>0.85</v>
      </c>
      <c r="S52" s="860"/>
      <c r="T52" s="860">
        <v>0.85</v>
      </c>
      <c r="U52" s="860">
        <v>0.85</v>
      </c>
      <c r="V52" s="860">
        <v>0.85</v>
      </c>
      <c r="W52" s="860">
        <v>0.85</v>
      </c>
      <c r="X52" s="860">
        <v>0.85</v>
      </c>
      <c r="Y52" s="860">
        <v>0.85</v>
      </c>
    </row>
    <row r="53" spans="2:25" x14ac:dyDescent="0.2">
      <c r="B53" s="820" t="s">
        <v>148</v>
      </c>
      <c r="D53" s="602">
        <v>0.85</v>
      </c>
      <c r="E53" s="614">
        <v>0</v>
      </c>
      <c r="F53" s="614"/>
      <c r="G53" s="602">
        <v>0.85</v>
      </c>
      <c r="H53" s="602">
        <v>0.85</v>
      </c>
      <c r="I53" s="602">
        <v>0.85</v>
      </c>
      <c r="J53" s="602">
        <v>0.85</v>
      </c>
      <c r="K53" s="602">
        <v>0.85</v>
      </c>
      <c r="L53" s="614">
        <v>0</v>
      </c>
      <c r="N53" s="832"/>
      <c r="O53" t="s">
        <v>148</v>
      </c>
      <c r="P53" s="820" t="str">
        <f t="shared" si="2"/>
        <v>ok</v>
      </c>
      <c r="Q53" s="860">
        <v>0.85</v>
      </c>
      <c r="R53" s="860">
        <v>0</v>
      </c>
      <c r="S53" s="860"/>
      <c r="T53" s="860">
        <v>0.85</v>
      </c>
      <c r="U53" s="860">
        <v>0.85</v>
      </c>
      <c r="V53" s="860">
        <v>0.85</v>
      </c>
      <c r="W53" s="860">
        <v>0.85</v>
      </c>
      <c r="X53" s="860">
        <v>0.85</v>
      </c>
      <c r="Y53" s="860">
        <v>0</v>
      </c>
    </row>
    <row r="54" spans="2:25" x14ac:dyDescent="0.2">
      <c r="B54" s="820" t="s">
        <v>137</v>
      </c>
      <c r="D54" s="614">
        <v>0</v>
      </c>
      <c r="E54" s="614">
        <v>0</v>
      </c>
      <c r="F54" s="614"/>
      <c r="G54" s="602">
        <v>0.85</v>
      </c>
      <c r="H54" s="602">
        <v>0.85</v>
      </c>
      <c r="I54" s="602">
        <v>0.85</v>
      </c>
      <c r="J54" s="614">
        <v>0</v>
      </c>
      <c r="K54" s="602">
        <v>0.85</v>
      </c>
      <c r="L54" s="592">
        <v>0.85</v>
      </c>
      <c r="N54" s="832"/>
      <c r="O54" t="s">
        <v>137</v>
      </c>
      <c r="P54" s="820" t="str">
        <f t="shared" si="2"/>
        <v>ok</v>
      </c>
      <c r="Q54" s="860">
        <v>0</v>
      </c>
      <c r="R54" s="860">
        <v>0</v>
      </c>
      <c r="S54" s="860"/>
      <c r="T54" s="860">
        <v>0.85</v>
      </c>
      <c r="U54" s="860">
        <v>0.85</v>
      </c>
      <c r="V54" s="860">
        <v>0.85</v>
      </c>
      <c r="W54" s="860">
        <v>0</v>
      </c>
      <c r="X54" s="860">
        <v>0.85</v>
      </c>
      <c r="Y54" s="860">
        <v>0.85</v>
      </c>
    </row>
    <row r="55" spans="2:25" x14ac:dyDescent="0.2">
      <c r="B55" s="820" t="s">
        <v>145</v>
      </c>
      <c r="D55" s="614">
        <v>0</v>
      </c>
      <c r="E55" s="614">
        <v>0</v>
      </c>
      <c r="F55" s="614"/>
      <c r="G55" s="602">
        <v>0.85</v>
      </c>
      <c r="H55" s="602">
        <v>0.85</v>
      </c>
      <c r="I55" s="602">
        <v>0.85</v>
      </c>
      <c r="J55" s="602">
        <v>0.85</v>
      </c>
      <c r="K55" s="602">
        <v>0.85</v>
      </c>
      <c r="L55" s="614">
        <v>0</v>
      </c>
      <c r="N55" s="832"/>
      <c r="O55" t="s">
        <v>145</v>
      </c>
      <c r="P55" s="820" t="str">
        <f t="shared" si="2"/>
        <v>ok</v>
      </c>
      <c r="Q55" s="860">
        <v>0</v>
      </c>
      <c r="R55" s="860">
        <v>0</v>
      </c>
      <c r="S55" s="860"/>
      <c r="T55" s="860">
        <v>0.85</v>
      </c>
      <c r="U55" s="860">
        <v>0.85</v>
      </c>
      <c r="V55" s="860">
        <v>0.85</v>
      </c>
      <c r="W55" s="860">
        <v>0.85</v>
      </c>
      <c r="X55" s="860">
        <v>0.85</v>
      </c>
      <c r="Y55" s="860">
        <v>0</v>
      </c>
    </row>
    <row r="56" spans="2:25" x14ac:dyDescent="0.2">
      <c r="B56" s="820" t="s">
        <v>140</v>
      </c>
      <c r="D56" s="614">
        <v>0</v>
      </c>
      <c r="E56" s="602">
        <v>0.85</v>
      </c>
      <c r="F56" s="602"/>
      <c r="G56" s="602">
        <v>0.85</v>
      </c>
      <c r="H56" s="614">
        <v>0</v>
      </c>
      <c r="I56" s="614">
        <v>0</v>
      </c>
      <c r="J56" s="614">
        <v>0</v>
      </c>
      <c r="K56" s="614">
        <v>0</v>
      </c>
      <c r="L56" s="592">
        <v>0.85</v>
      </c>
      <c r="N56" s="832"/>
      <c r="O56" t="s">
        <v>140</v>
      </c>
      <c r="P56" s="820" t="str">
        <f t="shared" si="2"/>
        <v>ok</v>
      </c>
      <c r="Q56" s="860">
        <v>0</v>
      </c>
      <c r="R56" s="860">
        <v>0.85</v>
      </c>
      <c r="S56" s="860"/>
      <c r="T56" s="860">
        <v>0.85</v>
      </c>
      <c r="U56" s="860">
        <v>0</v>
      </c>
      <c r="V56" s="860">
        <v>0</v>
      </c>
      <c r="W56" s="860">
        <v>0</v>
      </c>
      <c r="X56" s="860">
        <v>0</v>
      </c>
      <c r="Y56" s="860">
        <v>0.85</v>
      </c>
    </row>
    <row r="57" spans="2:25" x14ac:dyDescent="0.2">
      <c r="B57" s="820" t="s">
        <v>134</v>
      </c>
      <c r="D57" s="602">
        <v>0.85</v>
      </c>
      <c r="E57" s="602">
        <v>0.85</v>
      </c>
      <c r="F57" s="602"/>
      <c r="G57" s="602">
        <v>0.85</v>
      </c>
      <c r="H57" s="614">
        <v>0</v>
      </c>
      <c r="I57" s="602">
        <v>0.85</v>
      </c>
      <c r="J57" s="614">
        <v>0</v>
      </c>
      <c r="K57" s="602">
        <v>0.85</v>
      </c>
      <c r="L57" s="614">
        <v>0</v>
      </c>
      <c r="N57" s="832"/>
      <c r="O57" t="s">
        <v>134</v>
      </c>
      <c r="P57" s="820" t="str">
        <f t="shared" si="2"/>
        <v>ok</v>
      </c>
      <c r="Q57" s="860">
        <v>0.85</v>
      </c>
      <c r="R57" s="860">
        <v>0.85</v>
      </c>
      <c r="S57" s="860"/>
      <c r="T57" s="860">
        <v>0.85</v>
      </c>
      <c r="U57" s="860">
        <v>0</v>
      </c>
      <c r="V57" s="860">
        <v>0.85</v>
      </c>
      <c r="W57" s="860">
        <v>0</v>
      </c>
      <c r="X57" s="860">
        <v>0.85</v>
      </c>
      <c r="Y57" s="860">
        <v>0</v>
      </c>
    </row>
    <row r="58" spans="2:25" x14ac:dyDescent="0.2">
      <c r="B58" s="820" t="s">
        <v>136</v>
      </c>
      <c r="D58" s="602">
        <v>0.85</v>
      </c>
      <c r="E58" s="602">
        <v>0.85</v>
      </c>
      <c r="F58" s="602"/>
      <c r="G58" s="614">
        <v>0</v>
      </c>
      <c r="H58" s="614">
        <v>0</v>
      </c>
      <c r="I58" s="602">
        <v>0.85</v>
      </c>
      <c r="J58" s="602">
        <v>0.85</v>
      </c>
      <c r="K58" s="602">
        <v>0.85</v>
      </c>
      <c r="L58" s="614">
        <v>0</v>
      </c>
      <c r="N58" s="832"/>
      <c r="O58" t="s">
        <v>136</v>
      </c>
      <c r="P58" s="820" t="str">
        <f t="shared" si="2"/>
        <v>ok</v>
      </c>
      <c r="Q58" s="860">
        <v>0.85</v>
      </c>
      <c r="R58" s="860">
        <v>0.85</v>
      </c>
      <c r="S58" s="860"/>
      <c r="T58" s="860">
        <v>0</v>
      </c>
      <c r="U58" s="860">
        <v>0</v>
      </c>
      <c r="V58" s="860">
        <v>0.85</v>
      </c>
      <c r="W58" s="860">
        <v>0.85</v>
      </c>
      <c r="X58" s="860">
        <v>0.85</v>
      </c>
      <c r="Y58" s="860">
        <v>0</v>
      </c>
    </row>
    <row r="59" spans="2:25" x14ac:dyDescent="0.2">
      <c r="B59" s="820" t="s">
        <v>147</v>
      </c>
      <c r="D59" s="859">
        <v>0</v>
      </c>
      <c r="E59" s="858">
        <v>0.42499999999999999</v>
      </c>
      <c r="F59" s="858"/>
      <c r="G59" s="858">
        <v>0.42499999999999999</v>
      </c>
      <c r="H59" s="858">
        <v>0</v>
      </c>
      <c r="I59" s="858">
        <v>0</v>
      </c>
      <c r="J59" s="858">
        <v>0</v>
      </c>
      <c r="K59" s="858">
        <v>0.42499999999999999</v>
      </c>
      <c r="L59" s="858">
        <v>0</v>
      </c>
      <c r="N59" s="832"/>
      <c r="O59" t="s">
        <v>147</v>
      </c>
      <c r="P59" s="820" t="str">
        <f t="shared" si="2"/>
        <v>ok</v>
      </c>
      <c r="Q59" s="860">
        <v>0</v>
      </c>
      <c r="R59" s="860">
        <v>0.42499999999999999</v>
      </c>
      <c r="S59" s="860"/>
      <c r="T59" s="860">
        <v>0.42499999999999999</v>
      </c>
      <c r="U59" s="860">
        <v>0</v>
      </c>
      <c r="V59" s="860">
        <v>0</v>
      </c>
      <c r="W59" s="860">
        <v>0</v>
      </c>
      <c r="X59" s="860">
        <v>0.42499999999999999</v>
      </c>
      <c r="Y59" s="860">
        <v>0</v>
      </c>
    </row>
    <row r="60" spans="2:25" x14ac:dyDescent="0.2">
      <c r="B60" s="820" t="s">
        <v>230</v>
      </c>
      <c r="D60" s="858">
        <v>0.42499999999999999</v>
      </c>
      <c r="E60" s="858">
        <v>0.42499999999999999</v>
      </c>
      <c r="F60" s="858"/>
      <c r="G60" s="858">
        <v>0.42499999999999999</v>
      </c>
      <c r="H60" s="858">
        <v>0</v>
      </c>
      <c r="I60" s="858">
        <v>0</v>
      </c>
      <c r="J60" s="859">
        <v>0</v>
      </c>
      <c r="K60" s="858">
        <v>0.42499999999999999</v>
      </c>
      <c r="L60" s="859">
        <v>0</v>
      </c>
      <c r="N60" s="832"/>
      <c r="O60" t="s">
        <v>230</v>
      </c>
      <c r="P60" s="820" t="str">
        <f t="shared" si="2"/>
        <v>ok</v>
      </c>
      <c r="Q60" s="860">
        <v>0.42499999999999999</v>
      </c>
      <c r="R60" s="860">
        <v>0.42499999999999999</v>
      </c>
      <c r="S60" s="860"/>
      <c r="T60" s="860">
        <v>0.42499999999999999</v>
      </c>
      <c r="U60" s="860">
        <v>0</v>
      </c>
      <c r="V60" s="860">
        <v>0</v>
      </c>
      <c r="W60" s="860">
        <v>0</v>
      </c>
      <c r="X60" s="860">
        <v>0.42499999999999999</v>
      </c>
      <c r="Y60" s="860">
        <v>0</v>
      </c>
    </row>
    <row r="61" spans="2:25" x14ac:dyDescent="0.2">
      <c r="B61" s="820" t="s">
        <v>157</v>
      </c>
      <c r="D61" s="859">
        <v>0</v>
      </c>
      <c r="E61" s="859">
        <v>0</v>
      </c>
      <c r="F61" s="859"/>
      <c r="G61" s="858">
        <v>0</v>
      </c>
      <c r="H61" s="858">
        <v>0</v>
      </c>
      <c r="I61" s="858">
        <v>0</v>
      </c>
      <c r="J61" s="859">
        <v>0</v>
      </c>
      <c r="K61" s="858">
        <v>0.42499999999999999</v>
      </c>
      <c r="L61" s="858">
        <v>0.42499999999999999</v>
      </c>
      <c r="N61" s="832"/>
      <c r="O61" t="s">
        <v>157</v>
      </c>
      <c r="P61" s="820" t="str">
        <f t="shared" si="2"/>
        <v>ok</v>
      </c>
      <c r="Q61" s="860">
        <v>0</v>
      </c>
      <c r="R61" s="860">
        <v>0</v>
      </c>
      <c r="S61" s="860"/>
      <c r="T61" s="860">
        <v>0</v>
      </c>
      <c r="U61" s="860">
        <v>0</v>
      </c>
      <c r="V61" s="860">
        <v>0</v>
      </c>
      <c r="W61" s="860">
        <v>0</v>
      </c>
      <c r="X61" s="860">
        <v>0.42499999999999999</v>
      </c>
      <c r="Y61" s="860">
        <v>0.42499999999999999</v>
      </c>
    </row>
    <row r="62" spans="2:25" x14ac:dyDescent="0.2">
      <c r="B62" s="820" t="s">
        <v>150</v>
      </c>
      <c r="D62" s="859">
        <v>0</v>
      </c>
      <c r="E62" s="858">
        <v>0.42499999999999999</v>
      </c>
      <c r="F62" s="858"/>
      <c r="G62" s="858">
        <v>0</v>
      </c>
      <c r="H62" s="858">
        <v>0</v>
      </c>
      <c r="I62" s="858">
        <v>0</v>
      </c>
      <c r="J62" s="859">
        <v>0</v>
      </c>
      <c r="K62" s="858">
        <v>0.42499999999999999</v>
      </c>
      <c r="L62" s="858">
        <v>0.42499999999999999</v>
      </c>
      <c r="N62" s="832"/>
      <c r="O62" t="s">
        <v>150</v>
      </c>
      <c r="P62" s="820" t="str">
        <f t="shared" si="2"/>
        <v>ok</v>
      </c>
      <c r="Q62" s="860">
        <v>0</v>
      </c>
      <c r="R62" s="860">
        <v>0.42499999999999999</v>
      </c>
      <c r="S62" s="860"/>
      <c r="T62" s="860">
        <v>0</v>
      </c>
      <c r="U62" s="860">
        <v>0</v>
      </c>
      <c r="V62" s="860">
        <v>0</v>
      </c>
      <c r="W62" s="860">
        <v>0</v>
      </c>
      <c r="X62" s="860">
        <v>0.42499999999999999</v>
      </c>
      <c r="Y62" s="860">
        <v>0.42499999999999999</v>
      </c>
    </row>
    <row r="63" spans="2:25" x14ac:dyDescent="0.2">
      <c r="B63" s="820" t="s">
        <v>151</v>
      </c>
      <c r="D63" s="859">
        <v>0</v>
      </c>
      <c r="E63" s="861">
        <v>0.42499999999999999</v>
      </c>
      <c r="F63" s="861"/>
      <c r="G63" s="858">
        <v>0</v>
      </c>
      <c r="H63" s="858">
        <v>0</v>
      </c>
      <c r="I63" s="858">
        <v>0</v>
      </c>
      <c r="J63" s="859">
        <v>0</v>
      </c>
      <c r="K63" s="858">
        <v>0</v>
      </c>
      <c r="L63" s="859">
        <v>0</v>
      </c>
      <c r="N63" s="832"/>
      <c r="O63" t="s">
        <v>151</v>
      </c>
      <c r="P63" s="820" t="str">
        <f t="shared" si="2"/>
        <v>ok</v>
      </c>
      <c r="Q63" s="860">
        <v>0</v>
      </c>
      <c r="R63" s="860">
        <v>0.42499999999999999</v>
      </c>
      <c r="S63" s="860"/>
      <c r="T63" s="860">
        <v>0</v>
      </c>
      <c r="U63" s="860">
        <v>0</v>
      </c>
      <c r="V63" s="860">
        <v>0</v>
      </c>
      <c r="W63" s="860">
        <v>0</v>
      </c>
      <c r="X63" s="860">
        <v>0</v>
      </c>
      <c r="Y63" s="860">
        <v>0</v>
      </c>
    </row>
    <row r="64" spans="2:25" x14ac:dyDescent="0.2">
      <c r="B64" s="820" t="s">
        <v>153</v>
      </c>
      <c r="D64" s="859">
        <v>0</v>
      </c>
      <c r="E64" s="858">
        <v>0.42499999999999999</v>
      </c>
      <c r="F64" s="858"/>
      <c r="G64" s="858">
        <v>0.42499999999999999</v>
      </c>
      <c r="H64" s="858">
        <v>0</v>
      </c>
      <c r="I64" s="858">
        <v>0</v>
      </c>
      <c r="J64" s="859">
        <v>0</v>
      </c>
      <c r="K64" s="858">
        <v>0.42499999999999999</v>
      </c>
      <c r="L64" s="861">
        <v>0.42499999999999999</v>
      </c>
      <c r="N64" s="832"/>
      <c r="O64" t="s">
        <v>153</v>
      </c>
      <c r="P64" s="820" t="str">
        <f t="shared" si="2"/>
        <v>ok</v>
      </c>
      <c r="Q64" s="860">
        <v>0</v>
      </c>
      <c r="R64" s="860">
        <v>0.42499999999999999</v>
      </c>
      <c r="S64" s="860"/>
      <c r="T64" s="860">
        <v>0.42499999999999999</v>
      </c>
      <c r="U64" s="860">
        <v>0</v>
      </c>
      <c r="V64" s="860">
        <v>0</v>
      </c>
      <c r="W64" s="860">
        <v>0</v>
      </c>
      <c r="X64" s="860">
        <v>0.42499999999999999</v>
      </c>
      <c r="Y64" s="860">
        <v>0.42499999999999999</v>
      </c>
    </row>
    <row r="65" spans="2:25" x14ac:dyDescent="0.2">
      <c r="B65" s="820" t="s">
        <v>159</v>
      </c>
      <c r="D65" s="858">
        <v>0.42499999999999999</v>
      </c>
      <c r="E65" s="859">
        <v>0</v>
      </c>
      <c r="F65" s="859"/>
      <c r="G65" s="858">
        <v>0</v>
      </c>
      <c r="H65" s="858">
        <v>0</v>
      </c>
      <c r="I65" s="858">
        <v>0</v>
      </c>
      <c r="J65" s="859">
        <v>0</v>
      </c>
      <c r="K65" s="859">
        <v>0</v>
      </c>
      <c r="L65" s="859">
        <v>0</v>
      </c>
      <c r="N65" s="832"/>
      <c r="O65" t="s">
        <v>159</v>
      </c>
      <c r="P65" s="820" t="str">
        <f t="shared" si="2"/>
        <v>ok</v>
      </c>
      <c r="Q65" s="860">
        <v>0.42499999999999999</v>
      </c>
      <c r="R65" s="860">
        <v>0</v>
      </c>
      <c r="S65" s="860"/>
      <c r="T65" s="860">
        <v>0</v>
      </c>
      <c r="U65" s="860">
        <v>0</v>
      </c>
      <c r="V65" s="860">
        <v>0</v>
      </c>
      <c r="W65" s="860">
        <v>0</v>
      </c>
      <c r="X65" s="860">
        <v>0</v>
      </c>
      <c r="Y65" s="860">
        <v>0</v>
      </c>
    </row>
    <row r="66" spans="2:25" x14ac:dyDescent="0.2">
      <c r="B66" s="820" t="s">
        <v>154</v>
      </c>
      <c r="D66" s="859">
        <v>0</v>
      </c>
      <c r="E66" s="858">
        <v>0.42499999999999999</v>
      </c>
      <c r="F66" s="858"/>
      <c r="G66" s="858">
        <v>0</v>
      </c>
      <c r="H66" s="858">
        <v>0</v>
      </c>
      <c r="I66" s="858">
        <v>0</v>
      </c>
      <c r="J66" s="859">
        <v>0</v>
      </c>
      <c r="K66" s="858">
        <v>0</v>
      </c>
      <c r="L66" s="859">
        <v>0</v>
      </c>
      <c r="N66" s="832"/>
      <c r="O66" t="s">
        <v>154</v>
      </c>
      <c r="P66" s="820" t="str">
        <f t="shared" si="2"/>
        <v>ok</v>
      </c>
      <c r="Q66" s="860">
        <v>0</v>
      </c>
      <c r="R66" s="860">
        <v>0.42499999999999999</v>
      </c>
      <c r="S66" s="860"/>
      <c r="T66" s="860">
        <v>0</v>
      </c>
      <c r="U66" s="860">
        <v>0</v>
      </c>
      <c r="V66" s="860">
        <v>0</v>
      </c>
      <c r="W66" s="860">
        <v>0</v>
      </c>
      <c r="X66" s="860">
        <v>0</v>
      </c>
      <c r="Y66" s="860">
        <v>0</v>
      </c>
    </row>
    <row r="67" spans="2:25" x14ac:dyDescent="0.2">
      <c r="B67" s="820" t="s">
        <v>155</v>
      </c>
      <c r="D67" s="859">
        <v>0</v>
      </c>
      <c r="E67" s="858">
        <v>0.42499999999999999</v>
      </c>
      <c r="F67" s="858"/>
      <c r="G67" s="858">
        <v>0.42499999999999999</v>
      </c>
      <c r="H67" s="858">
        <v>0</v>
      </c>
      <c r="I67" s="858">
        <v>0</v>
      </c>
      <c r="J67" s="859">
        <v>0</v>
      </c>
      <c r="K67" s="858">
        <v>0.42499999999999999</v>
      </c>
      <c r="L67" s="859">
        <v>0</v>
      </c>
      <c r="N67" s="832"/>
      <c r="O67" t="s">
        <v>155</v>
      </c>
      <c r="P67" s="820" t="str">
        <f t="shared" si="2"/>
        <v>ok</v>
      </c>
      <c r="Q67" s="860">
        <v>0</v>
      </c>
      <c r="R67" s="860">
        <v>0.42499999999999999</v>
      </c>
      <c r="S67" s="860"/>
      <c r="T67" s="860">
        <v>0.42499999999999999</v>
      </c>
      <c r="U67" s="860">
        <v>0</v>
      </c>
      <c r="V67" s="860">
        <v>0</v>
      </c>
      <c r="W67" s="860">
        <v>0</v>
      </c>
      <c r="X67" s="860">
        <v>0.42499999999999999</v>
      </c>
      <c r="Y67" s="860">
        <v>0</v>
      </c>
    </row>
    <row r="68" spans="2:25" x14ac:dyDescent="0.2">
      <c r="B68" s="820" t="s">
        <v>156</v>
      </c>
      <c r="D68" s="859">
        <v>0</v>
      </c>
      <c r="E68" s="858">
        <v>0.42499999999999999</v>
      </c>
      <c r="F68" s="858"/>
      <c r="G68" s="858">
        <v>0</v>
      </c>
      <c r="H68" s="858">
        <v>0</v>
      </c>
      <c r="I68" s="858">
        <v>0</v>
      </c>
      <c r="J68" s="859">
        <v>0</v>
      </c>
      <c r="K68" s="859">
        <v>0</v>
      </c>
      <c r="L68" s="859">
        <v>0</v>
      </c>
      <c r="N68" s="832"/>
      <c r="O68" t="s">
        <v>156</v>
      </c>
      <c r="P68" s="820" t="str">
        <f t="shared" si="2"/>
        <v>ok</v>
      </c>
      <c r="Q68" s="860">
        <v>0</v>
      </c>
      <c r="R68" s="860">
        <v>0.42499999999999999</v>
      </c>
      <c r="S68" s="860"/>
      <c r="T68" s="860">
        <v>0</v>
      </c>
      <c r="U68" s="860">
        <v>0</v>
      </c>
      <c r="V68" s="860">
        <v>0</v>
      </c>
      <c r="W68" s="860">
        <v>0</v>
      </c>
      <c r="X68" s="860">
        <v>0</v>
      </c>
      <c r="Y68" s="860">
        <v>0</v>
      </c>
    </row>
    <row r="69" spans="2:25" x14ac:dyDescent="0.2">
      <c r="B69" s="820" t="s">
        <v>152</v>
      </c>
      <c r="D69" s="859">
        <v>0</v>
      </c>
      <c r="E69" s="858">
        <v>0.42499999999999999</v>
      </c>
      <c r="F69" s="858"/>
      <c r="G69" s="858">
        <v>0</v>
      </c>
      <c r="H69" s="858">
        <v>0</v>
      </c>
      <c r="I69" s="858">
        <v>0</v>
      </c>
      <c r="J69" s="859">
        <v>0</v>
      </c>
      <c r="K69" s="858">
        <v>0.42499999999999999</v>
      </c>
      <c r="L69" s="862">
        <v>0.125</v>
      </c>
      <c r="N69" s="832"/>
      <c r="O69" t="s">
        <v>152</v>
      </c>
      <c r="P69" s="820" t="str">
        <f t="shared" si="2"/>
        <v>ok</v>
      </c>
      <c r="Q69" s="860">
        <v>0</v>
      </c>
      <c r="R69" s="860">
        <v>0.42499999999999999</v>
      </c>
      <c r="S69" s="860"/>
      <c r="T69" s="860">
        <v>0</v>
      </c>
      <c r="U69" s="860">
        <v>0</v>
      </c>
      <c r="V69" s="860">
        <v>0</v>
      </c>
      <c r="W69" s="860">
        <v>0</v>
      </c>
      <c r="X69" s="860">
        <v>0.42499999999999999</v>
      </c>
      <c r="Y69" s="860">
        <v>0.125</v>
      </c>
    </row>
    <row r="70" spans="2:25" x14ac:dyDescent="0.2">
      <c r="B70" s="820" t="s">
        <v>133</v>
      </c>
      <c r="D70" s="602">
        <v>0.25</v>
      </c>
      <c r="E70" s="602">
        <v>0.25</v>
      </c>
      <c r="F70" s="602"/>
      <c r="G70" s="602">
        <v>0.25</v>
      </c>
      <c r="H70" s="602">
        <v>0</v>
      </c>
      <c r="I70" s="602">
        <v>0</v>
      </c>
      <c r="J70" s="614">
        <v>0</v>
      </c>
      <c r="K70" s="602">
        <v>0.25</v>
      </c>
      <c r="L70" s="614">
        <v>0</v>
      </c>
      <c r="N70" s="832"/>
      <c r="O70" t="s">
        <v>133</v>
      </c>
      <c r="P70" s="820" t="str">
        <f t="shared" si="2"/>
        <v>ok</v>
      </c>
      <c r="Q70" s="860">
        <v>0.25</v>
      </c>
      <c r="R70" s="860">
        <v>0.25</v>
      </c>
      <c r="S70" s="860"/>
      <c r="T70" s="860">
        <v>0.25</v>
      </c>
      <c r="U70" s="860">
        <v>0</v>
      </c>
      <c r="V70" s="860">
        <v>0</v>
      </c>
      <c r="W70" s="860">
        <v>0</v>
      </c>
      <c r="X70" s="860">
        <v>0.25</v>
      </c>
      <c r="Y70" s="860">
        <v>0</v>
      </c>
    </row>
    <row r="71" spans="2:25" x14ac:dyDescent="0.2">
      <c r="D71" s="835"/>
      <c r="E71" s="835"/>
      <c r="F71" s="835"/>
      <c r="G71" s="835"/>
      <c r="H71" s="835"/>
      <c r="I71" s="835"/>
      <c r="J71" s="835"/>
      <c r="K71" s="835"/>
      <c r="L71" s="835"/>
      <c r="N71" s="832"/>
    </row>
    <row r="72" spans="2:25" x14ac:dyDescent="0.2">
      <c r="D72" s="836"/>
      <c r="E72" s="836"/>
      <c r="F72" s="836"/>
      <c r="G72" s="836"/>
      <c r="H72" s="836"/>
      <c r="I72" s="836"/>
      <c r="J72" s="836"/>
      <c r="K72" s="836"/>
      <c r="L72" s="836"/>
      <c r="N72" s="832"/>
    </row>
    <row r="73" spans="2:25" x14ac:dyDescent="0.2">
      <c r="D73" s="836"/>
      <c r="E73" s="836"/>
      <c r="F73" s="836"/>
      <c r="G73" s="836"/>
      <c r="H73" s="836"/>
      <c r="I73" s="836"/>
      <c r="J73" s="836"/>
      <c r="K73" s="836"/>
      <c r="L73" s="836"/>
      <c r="N73" s="832"/>
    </row>
    <row r="74" spans="2:25" x14ac:dyDescent="0.2">
      <c r="N74" s="832"/>
    </row>
    <row r="75" spans="2:25" x14ac:dyDescent="0.2">
      <c r="D75" s="838" t="s">
        <v>239</v>
      </c>
      <c r="E75" s="838" t="s">
        <v>238</v>
      </c>
      <c r="F75" s="839" t="s">
        <v>573</v>
      </c>
      <c r="G75" s="838" t="s">
        <v>258</v>
      </c>
      <c r="H75" s="840" t="s">
        <v>574</v>
      </c>
      <c r="I75" s="838" t="s">
        <v>262</v>
      </c>
      <c r="J75" s="838" t="s">
        <v>263</v>
      </c>
    </row>
    <row r="76" spans="2:25" x14ac:dyDescent="0.2">
      <c r="D76" s="995" t="s">
        <v>512</v>
      </c>
      <c r="E76" s="996"/>
      <c r="F76" s="996"/>
      <c r="G76" s="996"/>
      <c r="H76" s="996"/>
      <c r="I76" s="996"/>
      <c r="J76" s="997"/>
    </row>
    <row r="78" spans="2:25" x14ac:dyDescent="0.2">
      <c r="B78" s="820" t="s">
        <v>229</v>
      </c>
      <c r="D78" s="607">
        <f t="shared" ref="D78:E93" si="3">D45*D8</f>
        <v>1391.1418325</v>
      </c>
      <c r="E78" s="607">
        <f t="shared" si="3"/>
        <v>47.439562500000001</v>
      </c>
      <c r="F78" s="607">
        <f>+E78+G78</f>
        <v>47.439562500000001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49.500557499999999</v>
      </c>
      <c r="J78" s="607">
        <f t="shared" si="6"/>
        <v>81.358175000000003</v>
      </c>
      <c r="K78" s="607"/>
    </row>
    <row r="79" spans="2:25" x14ac:dyDescent="0.2">
      <c r="B79" s="820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5" x14ac:dyDescent="0.2">
      <c r="B80" s="820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">
      <c r="B81" s="820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">
      <c r="B82" s="820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">
      <c r="B83" s="820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">
      <c r="B84" s="820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247.11582500000003</v>
      </c>
      <c r="J84" s="607">
        <f t="shared" si="6"/>
        <v>0</v>
      </c>
      <c r="K84" s="607"/>
    </row>
    <row r="85" spans="2:11" x14ac:dyDescent="0.2">
      <c r="B85" s="820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">
      <c r="B86" s="820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3.3449200000000001</v>
      </c>
      <c r="J86" s="607">
        <f t="shared" si="6"/>
        <v>0</v>
      </c>
      <c r="K86" s="607"/>
    </row>
    <row r="87" spans="2:11" x14ac:dyDescent="0.2">
      <c r="B87" s="820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">
      <c r="B88" s="820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">
      <c r="B89" s="820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">
      <c r="B90" s="820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">
      <c r="B91" s="820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">
      <c r="B92" s="820" t="s">
        <v>147</v>
      </c>
      <c r="D92" s="607">
        <f t="shared" si="3"/>
        <v>0</v>
      </c>
      <c r="E92" s="607">
        <f t="shared" si="3"/>
        <v>144.863035</v>
      </c>
      <c r="F92" s="607">
        <f t="shared" si="7"/>
        <v>245.87745999999999</v>
      </c>
      <c r="G92" s="607">
        <f t="shared" si="4"/>
        <v>101.014425</v>
      </c>
      <c r="H92" s="607">
        <f t="shared" si="5"/>
        <v>0</v>
      </c>
      <c r="I92" s="607">
        <f t="shared" si="6"/>
        <v>480.49828500000001</v>
      </c>
      <c r="J92" s="607">
        <f t="shared" si="6"/>
        <v>0</v>
      </c>
      <c r="K92" s="607"/>
    </row>
    <row r="93" spans="2:11" x14ac:dyDescent="0.2">
      <c r="B93" s="820" t="s">
        <v>230</v>
      </c>
      <c r="D93" s="607">
        <f t="shared" si="3"/>
        <v>361.94950749999998</v>
      </c>
      <c r="E93" s="607">
        <f t="shared" si="3"/>
        <v>108.519415</v>
      </c>
      <c r="F93" s="607">
        <f t="shared" si="7"/>
        <v>128.73776999999998</v>
      </c>
      <c r="G93" s="607">
        <f t="shared" si="4"/>
        <v>20.218354999999999</v>
      </c>
      <c r="H93" s="607">
        <f t="shared" si="5"/>
        <v>0</v>
      </c>
      <c r="I93" s="607">
        <f t="shared" si="6"/>
        <v>195.1575775</v>
      </c>
      <c r="J93" s="607">
        <f t="shared" si="6"/>
        <v>0</v>
      </c>
      <c r="K93" s="607"/>
    </row>
    <row r="94" spans="2:11" x14ac:dyDescent="0.2">
      <c r="B94" s="820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143.946055</v>
      </c>
      <c r="J94" s="607">
        <f t="shared" si="9"/>
        <v>29.7510625</v>
      </c>
      <c r="K94" s="607"/>
    </row>
    <row r="95" spans="2:11" x14ac:dyDescent="0.2">
      <c r="B95" s="820" t="s">
        <v>150</v>
      </c>
      <c r="D95" s="607">
        <f t="shared" si="8"/>
        <v>0</v>
      </c>
      <c r="E95" s="607">
        <f t="shared" si="8"/>
        <v>18.299479999999999</v>
      </c>
      <c r="F95" s="607">
        <f t="shared" si="7"/>
        <v>18.299479999999999</v>
      </c>
      <c r="G95" s="607">
        <f t="shared" si="4"/>
        <v>0</v>
      </c>
      <c r="H95" s="607">
        <f t="shared" si="5"/>
        <v>0</v>
      </c>
      <c r="I95" s="607">
        <f t="shared" si="9"/>
        <v>116.14198125000001</v>
      </c>
      <c r="J95" s="607">
        <f t="shared" si="9"/>
        <v>41.994167549999993</v>
      </c>
      <c r="K95" s="607"/>
    </row>
    <row r="96" spans="2:11" x14ac:dyDescent="0.2">
      <c r="B96" s="820" t="s">
        <v>151</v>
      </c>
      <c r="D96" s="607">
        <f t="shared" si="8"/>
        <v>0</v>
      </c>
      <c r="E96" s="607">
        <f t="shared" si="8"/>
        <v>17.184705000000001</v>
      </c>
      <c r="F96" s="607">
        <f t="shared" si="7"/>
        <v>17.184705000000001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7" x14ac:dyDescent="0.2">
      <c r="B97" s="820" t="s">
        <v>153</v>
      </c>
      <c r="D97" s="607">
        <f t="shared" si="8"/>
        <v>0</v>
      </c>
      <c r="E97" s="607">
        <f t="shared" si="8"/>
        <v>287.15745499999997</v>
      </c>
      <c r="F97" s="607">
        <f t="shared" si="7"/>
        <v>320.61056499999995</v>
      </c>
      <c r="G97" s="607">
        <f t="shared" si="4"/>
        <v>33.453110000000002</v>
      </c>
      <c r="H97" s="607">
        <f t="shared" si="5"/>
        <v>0</v>
      </c>
      <c r="I97" s="607">
        <f t="shared" si="9"/>
        <v>204.61973499999999</v>
      </c>
      <c r="J97" s="607">
        <f t="shared" si="9"/>
        <v>61.845489999999998</v>
      </c>
      <c r="K97" s="607"/>
    </row>
    <row r="98" spans="2:17" x14ac:dyDescent="0.2">
      <c r="B98" s="820" t="s">
        <v>159</v>
      </c>
      <c r="D98" s="607">
        <f t="shared" si="8"/>
        <v>48.640825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7" x14ac:dyDescent="0.2">
      <c r="B99" s="820" t="s">
        <v>154</v>
      </c>
      <c r="D99" s="607">
        <f t="shared" si="8"/>
        <v>0</v>
      </c>
      <c r="E99" s="607">
        <f t="shared" si="8"/>
        <v>8.3878424999999996</v>
      </c>
      <c r="F99" s="607">
        <f t="shared" si="7"/>
        <v>8.3878424999999996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7" x14ac:dyDescent="0.2">
      <c r="B100" s="820" t="s">
        <v>155</v>
      </c>
      <c r="D100" s="607">
        <f t="shared" si="8"/>
        <v>0</v>
      </c>
      <c r="E100" s="607">
        <f t="shared" si="8"/>
        <v>14.255180000000001</v>
      </c>
      <c r="F100" s="607">
        <f t="shared" si="7"/>
        <v>15.9608325</v>
      </c>
      <c r="G100" s="607">
        <f t="shared" si="4"/>
        <v>1.7056525</v>
      </c>
      <c r="H100" s="607">
        <f t="shared" si="5"/>
        <v>0</v>
      </c>
      <c r="I100" s="607">
        <f t="shared" si="9"/>
        <v>12.733212499999999</v>
      </c>
      <c r="J100" s="607">
        <f t="shared" si="9"/>
        <v>0</v>
      </c>
      <c r="K100" s="607"/>
    </row>
    <row r="101" spans="2:17" x14ac:dyDescent="0.2">
      <c r="B101" s="820" t="s">
        <v>156</v>
      </c>
      <c r="D101" s="607">
        <f t="shared" si="8"/>
        <v>0</v>
      </c>
      <c r="E101" s="607">
        <f t="shared" si="8"/>
        <v>4.9524399999999993</v>
      </c>
      <c r="F101" s="607">
        <f t="shared" si="7"/>
        <v>4.9524399999999993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7" x14ac:dyDescent="0.2">
      <c r="B102" s="820" t="s">
        <v>152</v>
      </c>
      <c r="D102" s="607">
        <f t="shared" si="8"/>
        <v>0</v>
      </c>
      <c r="E102" s="607">
        <f t="shared" si="8"/>
        <v>149.85155750000001</v>
      </c>
      <c r="F102" s="607">
        <f t="shared" si="7"/>
        <v>149.85155750000001</v>
      </c>
      <c r="G102" s="607">
        <f t="shared" si="4"/>
        <v>0</v>
      </c>
      <c r="H102" s="607">
        <f t="shared" si="5"/>
        <v>0</v>
      </c>
      <c r="I102" s="607">
        <f t="shared" si="9"/>
        <v>42.169690000000003</v>
      </c>
      <c r="J102" s="607">
        <f t="shared" si="9"/>
        <v>36.852362499999998</v>
      </c>
      <c r="K102" s="607"/>
    </row>
    <row r="103" spans="2:17" x14ac:dyDescent="0.2">
      <c r="B103" s="820" t="s">
        <v>133</v>
      </c>
      <c r="D103" s="734">
        <f t="shared" si="8"/>
        <v>26.448025000000001</v>
      </c>
      <c r="E103" s="734">
        <f t="shared" si="8"/>
        <v>6.4553750000000001</v>
      </c>
      <c r="F103" s="734">
        <f t="shared" si="7"/>
        <v>7.2396000000000003</v>
      </c>
      <c r="G103" s="734">
        <f t="shared" si="4"/>
        <v>0.78422499999999995</v>
      </c>
      <c r="H103" s="734">
        <f t="shared" si="5"/>
        <v>0</v>
      </c>
      <c r="I103" s="734">
        <f t="shared" si="9"/>
        <v>131.18924999999999</v>
      </c>
      <c r="J103" s="734">
        <f t="shared" si="9"/>
        <v>0</v>
      </c>
      <c r="K103" s="607"/>
    </row>
    <row r="104" spans="2:17" hidden="1" x14ac:dyDescent="0.2">
      <c r="D104" s="835"/>
      <c r="E104" s="835"/>
      <c r="F104" s="607">
        <f t="shared" si="7"/>
        <v>0</v>
      </c>
      <c r="G104" s="835"/>
      <c r="H104" s="835"/>
      <c r="I104" s="835"/>
      <c r="J104" s="835"/>
      <c r="K104" s="836"/>
    </row>
    <row r="105" spans="2:17" hidden="1" x14ac:dyDescent="0.2">
      <c r="F105" s="607">
        <f t="shared" si="7"/>
        <v>0</v>
      </c>
    </row>
    <row r="106" spans="2:17" x14ac:dyDescent="0.2">
      <c r="B106" s="820" t="s">
        <v>0</v>
      </c>
      <c r="D106" s="837">
        <f t="shared" ref="D106:J106" si="10">SUM(D78:D104)</f>
        <v>2521.8076449999999</v>
      </c>
      <c r="E106" s="837">
        <f t="shared" si="10"/>
        <v>1043.0869425000001</v>
      </c>
      <c r="F106" s="837">
        <f t="shared" si="10"/>
        <v>1817.7664599999996</v>
      </c>
      <c r="G106" s="837">
        <f t="shared" si="10"/>
        <v>774.67951749999997</v>
      </c>
      <c r="H106" s="837">
        <f t="shared" si="10"/>
        <v>880.19896999999992</v>
      </c>
      <c r="I106" s="837">
        <f t="shared" si="10"/>
        <v>3306.3592137499995</v>
      </c>
      <c r="J106" s="837">
        <f t="shared" si="10"/>
        <v>1416.3240375499997</v>
      </c>
      <c r="K106" s="837"/>
    </row>
    <row r="107" spans="2:17" x14ac:dyDescent="0.2">
      <c r="D107" s="837">
        <f>+D106+E106+G106+H106+I106+J106</f>
        <v>9942.4563262999982</v>
      </c>
      <c r="E107" s="837"/>
      <c r="F107" s="837"/>
      <c r="G107" s="837"/>
      <c r="H107" s="837"/>
      <c r="I107" s="837"/>
      <c r="J107" s="837"/>
      <c r="K107" s="837"/>
    </row>
    <row r="108" spans="2:17" x14ac:dyDescent="0.2">
      <c r="K108" s="837"/>
    </row>
    <row r="109" spans="2:17" x14ac:dyDescent="0.2">
      <c r="D109" s="838" t="s">
        <v>239</v>
      </c>
      <c r="E109" s="838" t="s">
        <v>238</v>
      </c>
      <c r="F109" s="840" t="s">
        <v>575</v>
      </c>
      <c r="G109" s="838" t="s">
        <v>258</v>
      </c>
      <c r="H109" s="840" t="s">
        <v>574</v>
      </c>
      <c r="I109" s="838" t="s">
        <v>262</v>
      </c>
      <c r="J109" s="838" t="s">
        <v>263</v>
      </c>
      <c r="K109" s="837"/>
      <c r="Q109" s="820" t="s">
        <v>589</v>
      </c>
    </row>
    <row r="110" spans="2:17" x14ac:dyDescent="0.2">
      <c r="C110" s="841" t="s">
        <v>130</v>
      </c>
      <c r="D110" s="985" t="s">
        <v>576</v>
      </c>
      <c r="E110" s="986"/>
      <c r="F110" s="986"/>
      <c r="G110" s="986"/>
      <c r="H110" s="986"/>
      <c r="I110" s="986"/>
      <c r="J110" s="987"/>
    </row>
    <row r="112" spans="2:17" x14ac:dyDescent="0.2">
      <c r="B112" s="820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417.34254974999999</v>
      </c>
      <c r="E112" s="607">
        <f t="shared" si="11"/>
        <v>14.23186875</v>
      </c>
      <c r="F112" s="607">
        <f>+E112+G112</f>
        <v>14.23186875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14.850167249999998</v>
      </c>
      <c r="J112" s="607">
        <f t="shared" si="12"/>
        <v>24.407452500000002</v>
      </c>
      <c r="O112" s="820">
        <v>0.3</v>
      </c>
      <c r="P112" s="820" t="str">
        <f>IF(EXACT(O112,C112),"ok","help")</f>
        <v>ok</v>
      </c>
    </row>
    <row r="113" spans="2:16" x14ac:dyDescent="0.2">
      <c r="B113" s="820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  <c r="O113" s="820">
        <v>0.7</v>
      </c>
      <c r="P113" s="820" t="str">
        <f t="shared" ref="P113:P137" si="14">IF(EXACT(O113,C113),"ok","help")</f>
        <v>ok</v>
      </c>
    </row>
    <row r="114" spans="2:16" x14ac:dyDescent="0.2">
      <c r="B114" s="820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  <c r="O114" s="820">
        <v>0.9</v>
      </c>
      <c r="P114" s="820" t="str">
        <f t="shared" si="14"/>
        <v>ok</v>
      </c>
    </row>
    <row r="115" spans="2:16" x14ac:dyDescent="0.2">
      <c r="B115" s="820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  <c r="O115" s="820">
        <v>0.9</v>
      </c>
      <c r="P115" s="820" t="str">
        <f t="shared" si="14"/>
        <v>ok</v>
      </c>
    </row>
    <row r="116" spans="2:16" x14ac:dyDescent="0.2">
      <c r="B116" s="820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  <c r="O116" s="820">
        <v>0.9</v>
      </c>
      <c r="P116" s="820" t="str">
        <f t="shared" si="14"/>
        <v>ok</v>
      </c>
    </row>
    <row r="117" spans="2:16" x14ac:dyDescent="0.2">
      <c r="B117" s="820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  <c r="O117" s="820">
        <v>0.65</v>
      </c>
      <c r="P117" s="820" t="str">
        <f t="shared" si="14"/>
        <v>ok</v>
      </c>
    </row>
    <row r="118" spans="2:16" x14ac:dyDescent="0.2">
      <c r="B118" s="820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172.9810775</v>
      </c>
      <c r="J118" s="607">
        <f t="shared" si="12"/>
        <v>0</v>
      </c>
      <c r="O118" s="820">
        <v>0.7</v>
      </c>
      <c r="P118" s="820" t="str">
        <f t="shared" si="14"/>
        <v>ok</v>
      </c>
    </row>
    <row r="119" spans="2:16" x14ac:dyDescent="0.2">
      <c r="B119" s="820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  <c r="O119" s="820">
        <v>0.3</v>
      </c>
      <c r="P119" s="820" t="str">
        <f t="shared" si="14"/>
        <v>ok</v>
      </c>
    </row>
    <row r="120" spans="2:16" x14ac:dyDescent="0.2">
      <c r="B120" s="820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2.3414440000000001</v>
      </c>
      <c r="J120" s="607">
        <f t="shared" si="12"/>
        <v>0</v>
      </c>
      <c r="O120" s="820">
        <v>0.7</v>
      </c>
      <c r="P120" s="820" t="str">
        <f t="shared" si="14"/>
        <v>ok</v>
      </c>
    </row>
    <row r="121" spans="2:16" x14ac:dyDescent="0.2">
      <c r="B121" s="820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  <c r="O121" s="820">
        <v>0.5</v>
      </c>
      <c r="P121" s="820" t="str">
        <f t="shared" si="14"/>
        <v>ok</v>
      </c>
    </row>
    <row r="122" spans="2:16" x14ac:dyDescent="0.2">
      <c r="B122" s="820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  <c r="O122" s="820">
        <v>0.9</v>
      </c>
      <c r="P122" s="820" t="str">
        <f t="shared" si="14"/>
        <v>ok</v>
      </c>
    </row>
    <row r="123" spans="2:16" x14ac:dyDescent="0.2">
      <c r="B123" s="820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  <c r="O123" s="820">
        <v>0.1</v>
      </c>
      <c r="P123" s="820" t="str">
        <f t="shared" si="14"/>
        <v>ok</v>
      </c>
    </row>
    <row r="124" spans="2:16" x14ac:dyDescent="0.2">
      <c r="B124" s="820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  <c r="O124" s="820">
        <v>0.1</v>
      </c>
      <c r="P124" s="820" t="str">
        <f t="shared" si="14"/>
        <v>ok</v>
      </c>
    </row>
    <row r="125" spans="2:16" x14ac:dyDescent="0.2">
      <c r="B125" s="820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  <c r="O125" s="820">
        <v>0.1</v>
      </c>
      <c r="P125" s="820" t="str">
        <f t="shared" si="14"/>
        <v>ok</v>
      </c>
    </row>
    <row r="126" spans="2:16" x14ac:dyDescent="0.2">
      <c r="B126" s="820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43.458910499999995</v>
      </c>
      <c r="F126" s="607">
        <f t="shared" si="13"/>
        <v>73.763238000000001</v>
      </c>
      <c r="G126" s="607">
        <f t="shared" si="12"/>
        <v>30.304327499999999</v>
      </c>
      <c r="H126" s="607">
        <f t="shared" si="12"/>
        <v>0</v>
      </c>
      <c r="I126" s="607">
        <f t="shared" si="12"/>
        <v>144.1494855</v>
      </c>
      <c r="J126" s="607">
        <f t="shared" si="12"/>
        <v>0</v>
      </c>
      <c r="O126" s="820">
        <v>0.3</v>
      </c>
      <c r="P126" s="820" t="str">
        <f t="shared" si="14"/>
        <v>ok</v>
      </c>
    </row>
    <row r="127" spans="2:16" x14ac:dyDescent="0.2">
      <c r="B127" s="820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108.58485225</v>
      </c>
      <c r="E127" s="607">
        <f t="shared" si="11"/>
        <v>32.5558245</v>
      </c>
      <c r="F127" s="607">
        <f t="shared" si="13"/>
        <v>38.621330999999998</v>
      </c>
      <c r="G127" s="607">
        <f t="shared" si="12"/>
        <v>6.0655064999999997</v>
      </c>
      <c r="H127" s="607">
        <f t="shared" si="12"/>
        <v>0</v>
      </c>
      <c r="I127" s="607">
        <f t="shared" si="12"/>
        <v>58.547273249999996</v>
      </c>
      <c r="J127" s="607">
        <f t="shared" si="12"/>
        <v>0</v>
      </c>
      <c r="O127" s="820">
        <v>0.3</v>
      </c>
      <c r="P127" s="820" t="str">
        <f t="shared" si="14"/>
        <v>ok</v>
      </c>
    </row>
    <row r="128" spans="2:16" x14ac:dyDescent="0.2">
      <c r="B128" s="820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5">$C128*D94</f>
        <v>0</v>
      </c>
      <c r="E128" s="607">
        <f t="shared" si="15"/>
        <v>0</v>
      </c>
      <c r="F128" s="607">
        <f t="shared" si="13"/>
        <v>0</v>
      </c>
      <c r="G128" s="607">
        <f t="shared" ref="G128:J137" si="16">$C128*G94</f>
        <v>0</v>
      </c>
      <c r="H128" s="607">
        <f t="shared" si="16"/>
        <v>0</v>
      </c>
      <c r="I128" s="607">
        <f t="shared" si="16"/>
        <v>100.7622385</v>
      </c>
      <c r="J128" s="607">
        <f t="shared" si="16"/>
        <v>20.825743749999997</v>
      </c>
      <c r="O128" s="820">
        <v>0.7</v>
      </c>
      <c r="P128" s="820" t="str">
        <f t="shared" si="14"/>
        <v>ok</v>
      </c>
    </row>
    <row r="129" spans="2:16" x14ac:dyDescent="0.2">
      <c r="B129" s="820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5"/>
        <v>0</v>
      </c>
      <c r="E129" s="607">
        <f t="shared" si="15"/>
        <v>16.469532000000001</v>
      </c>
      <c r="F129" s="607">
        <f t="shared" si="13"/>
        <v>16.469532000000001</v>
      </c>
      <c r="G129" s="607">
        <f t="shared" si="16"/>
        <v>0</v>
      </c>
      <c r="H129" s="607">
        <f t="shared" si="16"/>
        <v>0</v>
      </c>
      <c r="I129" s="607">
        <f t="shared" si="16"/>
        <v>104.52778312500001</v>
      </c>
      <c r="J129" s="607">
        <f t="shared" si="16"/>
        <v>37.794750794999992</v>
      </c>
      <c r="O129" s="820">
        <v>0.9</v>
      </c>
      <c r="P129" s="820" t="str">
        <f t="shared" si="14"/>
        <v>ok</v>
      </c>
    </row>
    <row r="130" spans="2:16" x14ac:dyDescent="0.2">
      <c r="B130" s="820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5"/>
        <v>0</v>
      </c>
      <c r="E130" s="607">
        <f t="shared" si="15"/>
        <v>15.466234500000001</v>
      </c>
      <c r="F130" s="607">
        <f t="shared" si="13"/>
        <v>15.466234500000001</v>
      </c>
      <c r="G130" s="607">
        <f t="shared" si="16"/>
        <v>0</v>
      </c>
      <c r="H130" s="607">
        <f t="shared" si="16"/>
        <v>0</v>
      </c>
      <c r="I130" s="607">
        <f t="shared" si="16"/>
        <v>0</v>
      </c>
      <c r="J130" s="607">
        <f t="shared" si="16"/>
        <v>0</v>
      </c>
      <c r="O130" s="820">
        <v>0.9</v>
      </c>
      <c r="P130" s="820" t="str">
        <f t="shared" si="14"/>
        <v>ok</v>
      </c>
    </row>
    <row r="131" spans="2:16" x14ac:dyDescent="0.2">
      <c r="B131" s="820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5"/>
        <v>0</v>
      </c>
      <c r="E131" s="607">
        <f t="shared" si="15"/>
        <v>86.147236499999991</v>
      </c>
      <c r="F131" s="607">
        <f t="shared" si="13"/>
        <v>96.183169499999991</v>
      </c>
      <c r="G131" s="607">
        <f t="shared" si="16"/>
        <v>10.035933</v>
      </c>
      <c r="H131" s="607">
        <f t="shared" si="16"/>
        <v>0</v>
      </c>
      <c r="I131" s="607">
        <f t="shared" si="16"/>
        <v>61.385920499999997</v>
      </c>
      <c r="J131" s="607">
        <f t="shared" si="16"/>
        <v>18.553646999999998</v>
      </c>
      <c r="O131" s="820">
        <v>0.3</v>
      </c>
      <c r="P131" s="820" t="str">
        <f t="shared" si="14"/>
        <v>ok</v>
      </c>
    </row>
    <row r="132" spans="2:16" x14ac:dyDescent="0.2">
      <c r="B132" s="820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5"/>
        <v>34.0485775</v>
      </c>
      <c r="E132" s="607">
        <f t="shared" si="15"/>
        <v>0</v>
      </c>
      <c r="F132" s="607">
        <f t="shared" si="13"/>
        <v>0</v>
      </c>
      <c r="G132" s="607">
        <f t="shared" si="16"/>
        <v>0</v>
      </c>
      <c r="H132" s="607">
        <f t="shared" si="16"/>
        <v>0</v>
      </c>
      <c r="I132" s="607">
        <f t="shared" si="16"/>
        <v>0</v>
      </c>
      <c r="J132" s="607">
        <f t="shared" si="16"/>
        <v>0</v>
      </c>
      <c r="O132" s="820">
        <v>0.7</v>
      </c>
      <c r="P132" s="820" t="str">
        <f t="shared" si="14"/>
        <v>ok</v>
      </c>
    </row>
    <row r="133" spans="2:16" x14ac:dyDescent="0.2">
      <c r="B133" s="820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5"/>
        <v>0</v>
      </c>
      <c r="E133" s="607">
        <f t="shared" si="15"/>
        <v>4.1939212499999998</v>
      </c>
      <c r="F133" s="607">
        <f t="shared" si="13"/>
        <v>4.1939212499999998</v>
      </c>
      <c r="G133" s="607">
        <f t="shared" si="16"/>
        <v>0</v>
      </c>
      <c r="H133" s="607">
        <f t="shared" si="16"/>
        <v>0</v>
      </c>
      <c r="I133" s="607">
        <f t="shared" si="16"/>
        <v>0</v>
      </c>
      <c r="J133" s="607">
        <f t="shared" si="16"/>
        <v>0</v>
      </c>
      <c r="O133" s="820">
        <v>0.5</v>
      </c>
      <c r="P133" s="820" t="str">
        <f t="shared" si="14"/>
        <v>ok</v>
      </c>
    </row>
    <row r="134" spans="2:16" x14ac:dyDescent="0.2">
      <c r="B134" s="820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5"/>
        <v>0</v>
      </c>
      <c r="E134" s="607">
        <f t="shared" si="15"/>
        <v>1.4255180000000003</v>
      </c>
      <c r="F134" s="607">
        <f t="shared" si="13"/>
        <v>1.5960832500000004</v>
      </c>
      <c r="G134" s="607">
        <f t="shared" si="16"/>
        <v>0.17056525</v>
      </c>
      <c r="H134" s="607">
        <f t="shared" si="16"/>
        <v>0</v>
      </c>
      <c r="I134" s="607">
        <f t="shared" si="16"/>
        <v>1.27332125</v>
      </c>
      <c r="J134" s="607">
        <f t="shared" si="16"/>
        <v>0</v>
      </c>
      <c r="O134" s="820">
        <v>0.1</v>
      </c>
      <c r="P134" s="820" t="str">
        <f t="shared" si="14"/>
        <v>ok</v>
      </c>
    </row>
    <row r="135" spans="2:16" x14ac:dyDescent="0.2">
      <c r="B135" s="820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5"/>
        <v>0</v>
      </c>
      <c r="E135" s="607">
        <f t="shared" si="15"/>
        <v>0.49524399999999996</v>
      </c>
      <c r="F135" s="607">
        <f t="shared" si="13"/>
        <v>0.49524399999999996</v>
      </c>
      <c r="G135" s="607">
        <f t="shared" si="16"/>
        <v>0</v>
      </c>
      <c r="H135" s="607">
        <f t="shared" si="16"/>
        <v>0</v>
      </c>
      <c r="I135" s="607">
        <f t="shared" si="16"/>
        <v>0</v>
      </c>
      <c r="J135" s="607">
        <f t="shared" si="16"/>
        <v>0</v>
      </c>
      <c r="O135" s="820">
        <v>0.1</v>
      </c>
      <c r="P135" s="820" t="str">
        <f t="shared" si="14"/>
        <v>ok</v>
      </c>
    </row>
    <row r="136" spans="2:16" x14ac:dyDescent="0.2">
      <c r="B136" s="820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5"/>
        <v>0</v>
      </c>
      <c r="E136" s="607">
        <f t="shared" si="15"/>
        <v>44.955467250000005</v>
      </c>
      <c r="F136" s="607">
        <f t="shared" si="13"/>
        <v>44.955467250000005</v>
      </c>
      <c r="G136" s="607">
        <f t="shared" si="16"/>
        <v>0</v>
      </c>
      <c r="H136" s="607">
        <f t="shared" si="16"/>
        <v>0</v>
      </c>
      <c r="I136" s="607">
        <f t="shared" si="16"/>
        <v>12.650907</v>
      </c>
      <c r="J136" s="607">
        <f t="shared" si="16"/>
        <v>11.055708749999999</v>
      </c>
      <c r="O136" s="820">
        <v>0.3</v>
      </c>
      <c r="P136" s="820" t="str">
        <f t="shared" si="14"/>
        <v>ok</v>
      </c>
    </row>
    <row r="137" spans="2:16" x14ac:dyDescent="0.2">
      <c r="B137" s="820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5"/>
        <v>7.9344074999999998</v>
      </c>
      <c r="E137" s="607">
        <f t="shared" si="15"/>
        <v>1.9366124999999998</v>
      </c>
      <c r="F137" s="607">
        <f t="shared" si="13"/>
        <v>2.1718799999999998</v>
      </c>
      <c r="G137" s="607">
        <f t="shared" si="16"/>
        <v>0.23526749999999996</v>
      </c>
      <c r="H137" s="607">
        <f t="shared" si="16"/>
        <v>0</v>
      </c>
      <c r="I137" s="607">
        <f t="shared" si="16"/>
        <v>39.356774999999992</v>
      </c>
      <c r="J137" s="607">
        <f t="shared" si="16"/>
        <v>0</v>
      </c>
      <c r="O137" s="820">
        <v>0.3</v>
      </c>
      <c r="P137" s="820" t="str">
        <f t="shared" si="14"/>
        <v>ok</v>
      </c>
    </row>
    <row r="138" spans="2:16" ht="6.75" customHeight="1" x14ac:dyDescent="0.2">
      <c r="D138" s="835"/>
      <c r="E138" s="835"/>
      <c r="F138" s="835"/>
      <c r="G138" s="835"/>
      <c r="H138" s="835"/>
      <c r="I138" s="835"/>
      <c r="J138" s="835"/>
    </row>
    <row r="139" spans="2:16" ht="5.25" customHeight="1" x14ac:dyDescent="0.2"/>
    <row r="140" spans="2:16" x14ac:dyDescent="0.2">
      <c r="B140" s="820" t="s">
        <v>0</v>
      </c>
      <c r="D140" s="837">
        <f t="shared" ref="D140:J140" si="17">SUM(D112:D138)</f>
        <v>876.22361950000004</v>
      </c>
      <c r="E140" s="837">
        <f t="shared" si="17"/>
        <v>327.37709425000008</v>
      </c>
      <c r="F140" s="837">
        <f t="shared" si="17"/>
        <v>659.31103224999993</v>
      </c>
      <c r="G140" s="837">
        <f t="shared" si="17"/>
        <v>331.93393799999996</v>
      </c>
      <c r="H140" s="837">
        <f t="shared" si="17"/>
        <v>526.80590249999989</v>
      </c>
      <c r="I140" s="837">
        <f t="shared" si="17"/>
        <v>1310.5501158750001</v>
      </c>
      <c r="J140" s="837">
        <f t="shared" si="17"/>
        <v>532.57735479499991</v>
      </c>
      <c r="K140" s="837">
        <f>D140+F140+H140+I140+J140</f>
        <v>3905.4680249199996</v>
      </c>
    </row>
    <row r="141" spans="2:16" x14ac:dyDescent="0.2">
      <c r="D141" s="857">
        <f>D140/$K$140</f>
        <v>0.22435815986944324</v>
      </c>
      <c r="E141" s="857">
        <f t="shared" ref="E141:J141" si="18">E140/$K$140</f>
        <v>8.3825316751045764E-2</v>
      </c>
      <c r="F141" s="857">
        <f t="shared" si="18"/>
        <v>0.16881741907578551</v>
      </c>
      <c r="G141" s="857">
        <f t="shared" si="18"/>
        <v>8.4992102324739777E-2</v>
      </c>
      <c r="H141" s="857">
        <f t="shared" si="18"/>
        <v>0.13488931394100739</v>
      </c>
      <c r="I141" s="857">
        <f t="shared" si="18"/>
        <v>0.33556800555340499</v>
      </c>
      <c r="J141" s="857">
        <f t="shared" si="18"/>
        <v>0.13636710156035892</v>
      </c>
      <c r="K141" s="857">
        <f>K140/$K$140</f>
        <v>1</v>
      </c>
    </row>
    <row r="142" spans="2:16" x14ac:dyDescent="0.2">
      <c r="D142" s="837"/>
      <c r="E142" s="837"/>
      <c r="F142" s="837"/>
      <c r="G142" s="837"/>
      <c r="H142" s="837"/>
      <c r="I142" s="837"/>
      <c r="J142" s="837"/>
    </row>
    <row r="143" spans="2:16" x14ac:dyDescent="0.2">
      <c r="D143" s="838" t="s">
        <v>239</v>
      </c>
      <c r="E143" s="838" t="s">
        <v>238</v>
      </c>
      <c r="F143" s="840" t="s">
        <v>575</v>
      </c>
      <c r="G143" s="838" t="s">
        <v>258</v>
      </c>
      <c r="H143" s="840" t="s">
        <v>574</v>
      </c>
      <c r="I143" s="838" t="s">
        <v>262</v>
      </c>
      <c r="J143" s="838" t="s">
        <v>263</v>
      </c>
    </row>
    <row r="144" spans="2:16" x14ac:dyDescent="0.2">
      <c r="D144" s="985" t="s">
        <v>577</v>
      </c>
      <c r="E144" s="986"/>
      <c r="F144" s="986"/>
      <c r="G144" s="986"/>
      <c r="H144" s="986"/>
      <c r="I144" s="986"/>
      <c r="J144" s="987"/>
    </row>
    <row r="145" spans="2:10" x14ac:dyDescent="0.2">
      <c r="B145" s="820" t="s">
        <v>229</v>
      </c>
      <c r="D145" s="592">
        <f t="shared" ref="D145:J160" si="19">+D112/D$140</f>
        <v>0.47629684987052551</v>
      </c>
      <c r="E145" s="592">
        <f t="shared" si="19"/>
        <v>4.347240231514761E-2</v>
      </c>
      <c r="F145" s="592">
        <f t="shared" si="19"/>
        <v>2.1585970890600097E-2</v>
      </c>
      <c r="G145" s="592">
        <f t="shared" si="19"/>
        <v>0</v>
      </c>
      <c r="H145" s="592">
        <f t="shared" si="19"/>
        <v>0</v>
      </c>
      <c r="I145" s="592">
        <f t="shared" si="19"/>
        <v>1.1331247138218103E-2</v>
      </c>
      <c r="J145" s="592">
        <f t="shared" si="19"/>
        <v>4.5828934107412317E-2</v>
      </c>
    </row>
    <row r="146" spans="2:10" x14ac:dyDescent="0.2">
      <c r="B146" s="820" t="s">
        <v>149</v>
      </c>
      <c r="D146" s="592">
        <f t="shared" si="19"/>
        <v>0</v>
      </c>
      <c r="E146" s="592">
        <f t="shared" si="19"/>
        <v>0</v>
      </c>
      <c r="F146" s="592">
        <f t="shared" si="19"/>
        <v>0</v>
      </c>
      <c r="G146" s="592">
        <f t="shared" si="19"/>
        <v>0</v>
      </c>
      <c r="H146" s="592">
        <f t="shared" si="19"/>
        <v>0</v>
      </c>
      <c r="I146" s="592">
        <f t="shared" si="19"/>
        <v>0</v>
      </c>
      <c r="J146" s="592">
        <f t="shared" si="19"/>
        <v>0.20107989578569552</v>
      </c>
    </row>
    <row r="147" spans="2:10" x14ac:dyDescent="0.2">
      <c r="B147" s="820" t="s">
        <v>144</v>
      </c>
      <c r="D147" s="592">
        <f t="shared" si="19"/>
        <v>0</v>
      </c>
      <c r="E147" s="592">
        <f t="shared" si="19"/>
        <v>0</v>
      </c>
      <c r="F147" s="592">
        <f t="shared" si="19"/>
        <v>0</v>
      </c>
      <c r="G147" s="592">
        <f t="shared" si="19"/>
        <v>0</v>
      </c>
      <c r="H147" s="592">
        <f t="shared" si="19"/>
        <v>1.4521477386066307E-3</v>
      </c>
      <c r="I147" s="592">
        <f t="shared" si="19"/>
        <v>0</v>
      </c>
      <c r="J147" s="592">
        <f t="shared" si="19"/>
        <v>0</v>
      </c>
    </row>
    <row r="148" spans="2:10" x14ac:dyDescent="0.2">
      <c r="B148" s="820" t="s">
        <v>142</v>
      </c>
      <c r="D148" s="592">
        <f t="shared" si="19"/>
        <v>0</v>
      </c>
      <c r="E148" s="592">
        <f t="shared" si="19"/>
        <v>4.2563988882371222E-2</v>
      </c>
      <c r="F148" s="592">
        <f t="shared" si="19"/>
        <v>8.2689395950116082E-2</v>
      </c>
      <c r="G148" s="592">
        <f t="shared" si="19"/>
        <v>0.12226395482344443</v>
      </c>
      <c r="H148" s="592">
        <f t="shared" si="19"/>
        <v>0.12766789187598371</v>
      </c>
      <c r="I148" s="592">
        <f t="shared" si="19"/>
        <v>2.7346201084475184E-2</v>
      </c>
      <c r="J148" s="592">
        <f t="shared" si="19"/>
        <v>3.3620062585823077E-2</v>
      </c>
    </row>
    <row r="149" spans="2:10" x14ac:dyDescent="0.2">
      <c r="B149" s="820" t="s">
        <v>143</v>
      </c>
      <c r="D149" s="592">
        <f t="shared" si="19"/>
        <v>0</v>
      </c>
      <c r="E149" s="592">
        <f t="shared" si="19"/>
        <v>3.977740877025332E-2</v>
      </c>
      <c r="F149" s="592">
        <f t="shared" si="19"/>
        <v>4.6507114245243251E-2</v>
      </c>
      <c r="G149" s="592">
        <f t="shared" si="19"/>
        <v>5.3144433215503273E-2</v>
      </c>
      <c r="H149" s="592">
        <f t="shared" si="19"/>
        <v>8.2873345368411108E-2</v>
      </c>
      <c r="I149" s="592">
        <f t="shared" si="19"/>
        <v>5.295156107301352E-2</v>
      </c>
      <c r="J149" s="592">
        <f t="shared" si="19"/>
        <v>0.14894505330692054</v>
      </c>
    </row>
    <row r="150" spans="2:10" x14ac:dyDescent="0.2">
      <c r="B150" s="820" t="s">
        <v>139</v>
      </c>
      <c r="D150" s="592">
        <f t="shared" si="19"/>
        <v>0</v>
      </c>
      <c r="E150" s="592">
        <f t="shared" si="19"/>
        <v>0</v>
      </c>
      <c r="F150" s="592">
        <f t="shared" si="19"/>
        <v>3.3374950021549568E-2</v>
      </c>
      <c r="G150" s="592">
        <f t="shared" si="19"/>
        <v>6.6291723234398539E-2</v>
      </c>
      <c r="H150" s="592">
        <f t="shared" si="19"/>
        <v>2.1747574288046256E-2</v>
      </c>
      <c r="I150" s="592">
        <f t="shared" si="19"/>
        <v>1.9325757323740318E-2</v>
      </c>
      <c r="J150" s="592">
        <f t="shared" si="19"/>
        <v>2.1631616320664789E-2</v>
      </c>
    </row>
    <row r="151" spans="2:10" x14ac:dyDescent="0.2">
      <c r="B151" s="820" t="s">
        <v>146</v>
      </c>
      <c r="D151" s="592">
        <f t="shared" si="19"/>
        <v>6.4867376015763742E-2</v>
      </c>
      <c r="E151" s="592">
        <f t="shared" si="19"/>
        <v>0</v>
      </c>
      <c r="F151" s="592">
        <f t="shared" si="19"/>
        <v>0</v>
      </c>
      <c r="G151" s="592">
        <f t="shared" si="19"/>
        <v>0</v>
      </c>
      <c r="H151" s="592">
        <f t="shared" si="19"/>
        <v>0.11153154552971244</v>
      </c>
      <c r="I151" s="592">
        <f t="shared" si="19"/>
        <v>0.1319911962195415</v>
      </c>
      <c r="J151" s="592">
        <f t="shared" si="19"/>
        <v>0</v>
      </c>
    </row>
    <row r="152" spans="2:10" x14ac:dyDescent="0.2">
      <c r="B152" s="820" t="s">
        <v>135</v>
      </c>
      <c r="D152" s="592">
        <f t="shared" si="19"/>
        <v>0.12898909648714393</v>
      </c>
      <c r="E152" s="592">
        <f t="shared" si="19"/>
        <v>8.4797326958985897E-2</v>
      </c>
      <c r="F152" s="592">
        <f t="shared" si="19"/>
        <v>0.20687042280263621</v>
      </c>
      <c r="G152" s="592">
        <f t="shared" si="19"/>
        <v>0.32726767908860233</v>
      </c>
      <c r="H152" s="592">
        <f t="shared" si="19"/>
        <v>0.10505320790326567</v>
      </c>
      <c r="I152" s="592">
        <f t="shared" si="19"/>
        <v>0.32291260736522959</v>
      </c>
      <c r="J152" s="592">
        <f t="shared" si="19"/>
        <v>0.2617783975318751</v>
      </c>
    </row>
    <row r="153" spans="2:10" x14ac:dyDescent="0.2">
      <c r="B153" s="820" t="s">
        <v>148</v>
      </c>
      <c r="D153" s="592">
        <f t="shared" si="19"/>
        <v>0.15296350442650897</v>
      </c>
      <c r="E153" s="592">
        <f t="shared" si="19"/>
        <v>0</v>
      </c>
      <c r="F153" s="592">
        <f t="shared" si="19"/>
        <v>0.12447420941817557</v>
      </c>
      <c r="G153" s="592">
        <f t="shared" si="19"/>
        <v>0.2472396163961999</v>
      </c>
      <c r="H153" s="592">
        <f t="shared" si="19"/>
        <v>0.43285889246466835</v>
      </c>
      <c r="I153" s="592">
        <f t="shared" si="19"/>
        <v>1.7866115699335273E-3</v>
      </c>
      <c r="J153" s="592">
        <f t="shared" si="19"/>
        <v>0</v>
      </c>
    </row>
    <row r="154" spans="2:10" x14ac:dyDescent="0.2">
      <c r="B154" s="820" t="s">
        <v>137</v>
      </c>
      <c r="D154" s="592">
        <f t="shared" si="19"/>
        <v>0</v>
      </c>
      <c r="E154" s="592">
        <f t="shared" si="19"/>
        <v>0</v>
      </c>
      <c r="F154" s="592">
        <f t="shared" si="19"/>
        <v>5.3453185637938336E-3</v>
      </c>
      <c r="G154" s="592">
        <f t="shared" si="19"/>
        <v>1.0617255714298186E-2</v>
      </c>
      <c r="H154" s="592">
        <f t="shared" si="19"/>
        <v>5.4630443325376379E-2</v>
      </c>
      <c r="I154" s="592">
        <f t="shared" si="19"/>
        <v>2.4738529345254213E-2</v>
      </c>
      <c r="J154" s="592">
        <f t="shared" si="19"/>
        <v>5.29880068048754E-2</v>
      </c>
    </row>
    <row r="155" spans="2:10" x14ac:dyDescent="0.2">
      <c r="B155" s="820" t="s">
        <v>145</v>
      </c>
      <c r="D155" s="592">
        <f t="shared" si="19"/>
        <v>0</v>
      </c>
      <c r="E155" s="592">
        <f t="shared" si="19"/>
        <v>0</v>
      </c>
      <c r="F155" s="592">
        <f t="shared" si="19"/>
        <v>1.2651702446922011E-2</v>
      </c>
      <c r="G155" s="592">
        <f t="shared" si="19"/>
        <v>2.5129720239694207E-2</v>
      </c>
      <c r="H155" s="592">
        <f t="shared" si="19"/>
        <v>5.1431878176421926E-2</v>
      </c>
      <c r="I155" s="592">
        <f t="shared" si="19"/>
        <v>5.7440809846282985E-3</v>
      </c>
      <c r="J155" s="592">
        <f t="shared" si="19"/>
        <v>0</v>
      </c>
    </row>
    <row r="156" spans="2:10" x14ac:dyDescent="0.2">
      <c r="B156" s="820" t="s">
        <v>140</v>
      </c>
      <c r="D156" s="592">
        <f t="shared" si="19"/>
        <v>0</v>
      </c>
      <c r="E156" s="592">
        <f t="shared" si="19"/>
        <v>3.844948293904651E-3</v>
      </c>
      <c r="F156" s="592">
        <f t="shared" si="19"/>
        <v>2.0371553550626942E-3</v>
      </c>
      <c r="G156" s="592">
        <f t="shared" si="19"/>
        <v>2.5418009531764121E-4</v>
      </c>
      <c r="H156" s="592">
        <f t="shared" si="19"/>
        <v>0</v>
      </c>
      <c r="I156" s="592">
        <f t="shared" si="19"/>
        <v>0</v>
      </c>
      <c r="J156" s="592">
        <f t="shared" si="19"/>
        <v>6.8462239657250859E-2</v>
      </c>
    </row>
    <row r="157" spans="2:10" x14ac:dyDescent="0.2">
      <c r="B157" s="820" t="s">
        <v>134</v>
      </c>
      <c r="D157" s="592">
        <f t="shared" si="19"/>
        <v>7.9504190996074837E-4</v>
      </c>
      <c r="E157" s="592">
        <f t="shared" si="19"/>
        <v>1.5279780069707791E-3</v>
      </c>
      <c r="F157" s="592">
        <f t="shared" si="19"/>
        <v>4.1643759404876857E-3</v>
      </c>
      <c r="G157" s="592">
        <f t="shared" si="19"/>
        <v>6.7645809691204289E-3</v>
      </c>
      <c r="H157" s="592">
        <f t="shared" si="19"/>
        <v>2.2933446536317049E-3</v>
      </c>
      <c r="I157" s="592">
        <f t="shared" si="19"/>
        <v>2.5975668223318037E-3</v>
      </c>
      <c r="J157" s="592">
        <f t="shared" si="19"/>
        <v>0</v>
      </c>
    </row>
    <row r="158" spans="2:10" x14ac:dyDescent="0.2">
      <c r="B158" s="820" t="s">
        <v>136</v>
      </c>
      <c r="D158" s="592">
        <f t="shared" si="19"/>
        <v>4.2509040125230267E-3</v>
      </c>
      <c r="E158" s="592">
        <f t="shared" si="19"/>
        <v>2.9215121240877707E-2</v>
      </c>
      <c r="F158" s="592">
        <f t="shared" si="19"/>
        <v>1.4506600120674685E-2</v>
      </c>
      <c r="G158" s="592">
        <f t="shared" si="19"/>
        <v>0</v>
      </c>
      <c r="H158" s="592">
        <f t="shared" si="19"/>
        <v>8.4597286758760284E-3</v>
      </c>
      <c r="I158" s="592">
        <f t="shared" si="19"/>
        <v>4.6982026291219513E-4</v>
      </c>
      <c r="J158" s="592">
        <f t="shared" si="19"/>
        <v>0</v>
      </c>
    </row>
    <row r="159" spans="2:10" x14ac:dyDescent="0.2">
      <c r="B159" s="820" t="s">
        <v>147</v>
      </c>
      <c r="D159" s="592">
        <f t="shared" si="19"/>
        <v>0</v>
      </c>
      <c r="E159" s="592">
        <f t="shared" si="19"/>
        <v>0.13274878194994544</v>
      </c>
      <c r="F159" s="592">
        <f t="shared" si="19"/>
        <v>0.11187927153026948</v>
      </c>
      <c r="G159" s="592">
        <f t="shared" si="19"/>
        <v>9.1296261185561584E-2</v>
      </c>
      <c r="H159" s="592">
        <f t="shared" si="19"/>
        <v>0</v>
      </c>
      <c r="I159" s="592">
        <f t="shared" si="19"/>
        <v>0.10999158578819961</v>
      </c>
      <c r="J159" s="592">
        <f t="shared" si="19"/>
        <v>0</v>
      </c>
    </row>
    <row r="160" spans="2:10" x14ac:dyDescent="0.2">
      <c r="B160" s="820" t="s">
        <v>230</v>
      </c>
      <c r="D160" s="592">
        <f t="shared" si="19"/>
        <v>0.12392367636923761</v>
      </c>
      <c r="E160" s="592">
        <f t="shared" si="19"/>
        <v>9.9444417681644179E-2</v>
      </c>
      <c r="F160" s="592">
        <f t="shared" si="19"/>
        <v>5.8578317532771727E-2</v>
      </c>
      <c r="G160" s="592">
        <f t="shared" si="19"/>
        <v>1.8273233934880142E-2</v>
      </c>
      <c r="H160" s="592">
        <f t="shared" si="19"/>
        <v>0</v>
      </c>
      <c r="I160" s="592">
        <f t="shared" si="19"/>
        <v>4.4673814866599285E-2</v>
      </c>
      <c r="J160" s="592">
        <f t="shared" si="19"/>
        <v>0</v>
      </c>
    </row>
    <row r="161" spans="2:12" x14ac:dyDescent="0.2">
      <c r="B161" s="820" t="s">
        <v>157</v>
      </c>
      <c r="D161" s="592">
        <f t="shared" ref="D161:J170" si="20">+D128/D$140</f>
        <v>0</v>
      </c>
      <c r="E161" s="592">
        <f t="shared" si="20"/>
        <v>0</v>
      </c>
      <c r="F161" s="592">
        <f t="shared" si="20"/>
        <v>0</v>
      </c>
      <c r="G161" s="592">
        <f t="shared" si="20"/>
        <v>0</v>
      </c>
      <c r="H161" s="592">
        <f t="shared" si="20"/>
        <v>0</v>
      </c>
      <c r="I161" s="592">
        <f t="shared" si="20"/>
        <v>7.6885452360381676E-2</v>
      </c>
      <c r="J161" s="592">
        <f t="shared" si="20"/>
        <v>3.910369744882649E-2</v>
      </c>
    </row>
    <row r="162" spans="2:12" x14ac:dyDescent="0.2">
      <c r="B162" s="820" t="s">
        <v>150</v>
      </c>
      <c r="D162" s="592">
        <f t="shared" si="20"/>
        <v>0</v>
      </c>
      <c r="E162" s="592">
        <f t="shared" si="20"/>
        <v>5.030752697506416E-2</v>
      </c>
      <c r="F162" s="592">
        <f t="shared" si="20"/>
        <v>2.4979912657907756E-2</v>
      </c>
      <c r="G162" s="592">
        <f t="shared" si="20"/>
        <v>0</v>
      </c>
      <c r="H162" s="592">
        <f t="shared" si="20"/>
        <v>0</v>
      </c>
      <c r="I162" s="592">
        <f t="shared" si="20"/>
        <v>7.9758707323612066E-2</v>
      </c>
      <c r="J162" s="592">
        <f t="shared" si="20"/>
        <v>7.0965748833890951E-2</v>
      </c>
    </row>
    <row r="163" spans="2:12" x14ac:dyDescent="0.2">
      <c r="B163" s="820" t="s">
        <v>151</v>
      </c>
      <c r="D163" s="592">
        <f t="shared" si="20"/>
        <v>0</v>
      </c>
      <c r="E163" s="592">
        <f t="shared" si="20"/>
        <v>4.7242873040437207E-2</v>
      </c>
      <c r="F163" s="592">
        <f t="shared" si="20"/>
        <v>2.3458176404570548E-2</v>
      </c>
      <c r="G163" s="592">
        <f t="shared" si="20"/>
        <v>0</v>
      </c>
      <c r="H163" s="592">
        <f t="shared" si="20"/>
        <v>0</v>
      </c>
      <c r="I163" s="592">
        <f t="shared" si="20"/>
        <v>0</v>
      </c>
      <c r="J163" s="592">
        <f t="shared" si="20"/>
        <v>0</v>
      </c>
    </row>
    <row r="164" spans="2:12" x14ac:dyDescent="0.2">
      <c r="B164" s="820" t="s">
        <v>153</v>
      </c>
      <c r="D164" s="592">
        <f t="shared" si="20"/>
        <v>0</v>
      </c>
      <c r="E164" s="592">
        <f t="shared" si="20"/>
        <v>0.26314375077877022</v>
      </c>
      <c r="F164" s="592">
        <f t="shared" si="20"/>
        <v>0.1458843623043288</v>
      </c>
      <c r="G164" s="592">
        <f t="shared" si="20"/>
        <v>3.0234730020284945E-2</v>
      </c>
      <c r="H164" s="592">
        <f t="shared" si="20"/>
        <v>0</v>
      </c>
      <c r="I164" s="592">
        <f t="shared" si="20"/>
        <v>4.6839811584782592E-2</v>
      </c>
      <c r="J164" s="592">
        <f t="shared" si="20"/>
        <v>3.483746883519237E-2</v>
      </c>
    </row>
    <row r="165" spans="2:12" x14ac:dyDescent="0.2">
      <c r="B165" s="820" t="s">
        <v>159</v>
      </c>
      <c r="D165" s="592">
        <f t="shared" si="20"/>
        <v>3.8858319659802319E-2</v>
      </c>
      <c r="E165" s="592">
        <f t="shared" si="20"/>
        <v>0</v>
      </c>
      <c r="F165" s="592">
        <f t="shared" si="20"/>
        <v>0</v>
      </c>
      <c r="G165" s="592">
        <f t="shared" si="20"/>
        <v>0</v>
      </c>
      <c r="H165" s="592">
        <f t="shared" si="20"/>
        <v>0</v>
      </c>
      <c r="I165" s="592">
        <f t="shared" si="20"/>
        <v>0</v>
      </c>
      <c r="J165" s="592">
        <f t="shared" si="20"/>
        <v>0</v>
      </c>
    </row>
    <row r="166" spans="2:12" x14ac:dyDescent="0.2">
      <c r="B166" s="820" t="s">
        <v>154</v>
      </c>
      <c r="D166" s="592">
        <f t="shared" si="20"/>
        <v>0</v>
      </c>
      <c r="E166" s="592">
        <f t="shared" si="20"/>
        <v>1.2810674062606622E-2</v>
      </c>
      <c r="F166" s="592">
        <f t="shared" si="20"/>
        <v>6.3610663933342674E-3</v>
      </c>
      <c r="G166" s="592">
        <f t="shared" si="20"/>
        <v>0</v>
      </c>
      <c r="H166" s="592">
        <f t="shared" si="20"/>
        <v>0</v>
      </c>
      <c r="I166" s="592">
        <f t="shared" si="20"/>
        <v>0</v>
      </c>
      <c r="J166" s="592">
        <f t="shared" si="20"/>
        <v>0</v>
      </c>
    </row>
    <row r="167" spans="2:12" x14ac:dyDescent="0.2">
      <c r="B167" s="820" t="s">
        <v>155</v>
      </c>
      <c r="D167" s="592">
        <f t="shared" si="20"/>
        <v>0</v>
      </c>
      <c r="E167" s="592">
        <f t="shared" si="20"/>
        <v>4.3543608427027269E-3</v>
      </c>
      <c r="F167" s="592">
        <f t="shared" si="20"/>
        <v>2.4208350413205157E-3</v>
      </c>
      <c r="G167" s="592">
        <f t="shared" si="20"/>
        <v>5.1385300047264231E-4</v>
      </c>
      <c r="H167" s="592">
        <f t="shared" si="20"/>
        <v>0</v>
      </c>
      <c r="I167" s="592">
        <f t="shared" si="20"/>
        <v>9.7159294755382627E-4</v>
      </c>
      <c r="J167" s="592">
        <f t="shared" si="20"/>
        <v>0</v>
      </c>
    </row>
    <row r="168" spans="2:12" x14ac:dyDescent="0.2">
      <c r="B168" s="820" t="s">
        <v>156</v>
      </c>
      <c r="D168" s="592">
        <f t="shared" si="20"/>
        <v>0</v>
      </c>
      <c r="E168" s="592">
        <f t="shared" si="20"/>
        <v>1.5127631367569323E-3</v>
      </c>
      <c r="F168" s="592">
        <f t="shared" si="20"/>
        <v>7.5115381932849498E-4</v>
      </c>
      <c r="G168" s="592">
        <f t="shared" si="20"/>
        <v>0</v>
      </c>
      <c r="H168" s="592">
        <f t="shared" si="20"/>
        <v>0</v>
      </c>
      <c r="I168" s="592">
        <f t="shared" si="20"/>
        <v>0</v>
      </c>
      <c r="J168" s="592">
        <f t="shared" si="20"/>
        <v>0</v>
      </c>
    </row>
    <row r="169" spans="2:12" x14ac:dyDescent="0.2">
      <c r="B169" s="820" t="s">
        <v>152</v>
      </c>
      <c r="D169" s="592">
        <f t="shared" si="20"/>
        <v>0</v>
      </c>
      <c r="E169" s="592">
        <f t="shared" si="20"/>
        <v>0.13732013644079191</v>
      </c>
      <c r="F169" s="592">
        <f t="shared" si="20"/>
        <v>6.8185522539464541E-2</v>
      </c>
      <c r="G169" s="592">
        <f t="shared" si="20"/>
        <v>0</v>
      </c>
      <c r="H169" s="592">
        <f t="shared" si="20"/>
        <v>0</v>
      </c>
      <c r="I169" s="592">
        <f t="shared" si="20"/>
        <v>9.6531272224973357E-3</v>
      </c>
      <c r="J169" s="592">
        <f t="shared" si="20"/>
        <v>2.0758878781572624E-2</v>
      </c>
    </row>
    <row r="170" spans="2:12" x14ac:dyDescent="0.2">
      <c r="B170" s="820" t="s">
        <v>133</v>
      </c>
      <c r="D170" s="592">
        <f t="shared" si="20"/>
        <v>9.0552312485340392E-3</v>
      </c>
      <c r="E170" s="592">
        <f t="shared" si="20"/>
        <v>5.9155406227691491E-3</v>
      </c>
      <c r="F170" s="592">
        <f t="shared" si="20"/>
        <v>3.2941660214423026E-3</v>
      </c>
      <c r="G170" s="592">
        <f t="shared" si="20"/>
        <v>7.0877808222189072E-4</v>
      </c>
      <c r="H170" s="592">
        <f t="shared" si="20"/>
        <v>0</v>
      </c>
      <c r="I170" s="592">
        <f t="shared" si="20"/>
        <v>3.0030728717095341E-2</v>
      </c>
      <c r="J170" s="592">
        <f t="shared" si="20"/>
        <v>0</v>
      </c>
    </row>
    <row r="171" spans="2:12" ht="4.5" customHeight="1" x14ac:dyDescent="0.2"/>
    <row r="172" spans="2:12" x14ac:dyDescent="0.2">
      <c r="B172" s="820" t="s">
        <v>0</v>
      </c>
      <c r="D172" s="842">
        <f>SUM(D145:D170)</f>
        <v>0.99999999999999989</v>
      </c>
      <c r="E172" s="842">
        <f t="shared" ref="E172:J172" si="21">SUM(E145:E170)</f>
        <v>0.99999999999999956</v>
      </c>
      <c r="F172" s="842">
        <f t="shared" si="21"/>
        <v>1</v>
      </c>
      <c r="G172" s="842">
        <f t="shared" si="21"/>
        <v>1</v>
      </c>
      <c r="H172" s="842">
        <f t="shared" si="21"/>
        <v>1.0000000000000002</v>
      </c>
      <c r="I172" s="842">
        <f t="shared" si="21"/>
        <v>1</v>
      </c>
      <c r="J172" s="842">
        <f t="shared" si="21"/>
        <v>1</v>
      </c>
    </row>
    <row r="174" spans="2:12" x14ac:dyDescent="0.2">
      <c r="B174" s="821" t="s">
        <v>578</v>
      </c>
      <c r="D174" s="865">
        <f>+'1. Storm Drainage Fee Calc Sum'!B41</f>
        <v>502523.52904275048</v>
      </c>
      <c r="E174" s="866">
        <f>+'1. Storm Drainage Fee Calc Sum'!C41</f>
        <v>4434786.9799260702</v>
      </c>
      <c r="F174" s="866">
        <f>+E174+G174</f>
        <v>4434786.9799260702</v>
      </c>
      <c r="G174" s="866">
        <f>+'1. Storm Drainage Fee Calc Sum'!D41</f>
        <v>0</v>
      </c>
      <c r="H174" s="866">
        <f>+'1. Storm Drainage Fee Calc Sum'!E41</f>
        <v>3035629.487601574</v>
      </c>
      <c r="I174" s="867">
        <f>+'1. Storm Drainage Fee Calc Sum'!F41</f>
        <v>14795132.247820064</v>
      </c>
      <c r="J174" s="866">
        <f>+'1. Storm Drainage Fee Calc Sum'!G41</f>
        <v>2677955.3415689934</v>
      </c>
      <c r="K174" s="868">
        <f>J174+I174+H174+F174+D174</f>
        <v>25446027.585959449</v>
      </c>
      <c r="L174" s="820" t="s">
        <v>591</v>
      </c>
    </row>
    <row r="175" spans="2:12" x14ac:dyDescent="0.2">
      <c r="B175" s="821"/>
      <c r="D175" s="593"/>
      <c r="E175" s="843"/>
      <c r="F175" s="843"/>
      <c r="G175" s="843"/>
      <c r="H175" s="843"/>
      <c r="I175" s="844"/>
      <c r="J175" s="843"/>
    </row>
    <row r="176" spans="2:12" x14ac:dyDescent="0.2">
      <c r="B176" s="821"/>
      <c r="D176" s="593"/>
      <c r="E176" s="593"/>
      <c r="F176" s="593"/>
      <c r="G176" s="593"/>
      <c r="H176" s="593"/>
      <c r="I176" s="593"/>
      <c r="J176" s="593"/>
    </row>
    <row r="177" spans="2:10" x14ac:dyDescent="0.2">
      <c r="D177" s="838" t="s">
        <v>239</v>
      </c>
      <c r="E177" s="840" t="s">
        <v>238</v>
      </c>
      <c r="F177" s="839" t="s">
        <v>575</v>
      </c>
      <c r="G177" s="840" t="s">
        <v>258</v>
      </c>
      <c r="H177" s="840" t="s">
        <v>574</v>
      </c>
      <c r="I177" s="838" t="s">
        <v>262</v>
      </c>
      <c r="J177" s="838" t="s">
        <v>263</v>
      </c>
    </row>
    <row r="178" spans="2:10" x14ac:dyDescent="0.2">
      <c r="D178" s="985" t="s">
        <v>579</v>
      </c>
      <c r="E178" s="986"/>
      <c r="F178" s="986"/>
      <c r="G178" s="986"/>
      <c r="H178" s="986"/>
      <c r="I178" s="986"/>
      <c r="J178" s="987"/>
    </row>
    <row r="179" spans="2:10" x14ac:dyDescent="0.2">
      <c r="B179" s="820" t="s">
        <v>229</v>
      </c>
      <c r="D179" s="616">
        <f t="shared" ref="D179:J194" si="22">+D$174*D145</f>
        <v>239350.37386888158</v>
      </c>
      <c r="E179" s="616">
        <f t="shared" si="22"/>
        <v>192790.84377332457</v>
      </c>
      <c r="F179" s="616">
        <f t="shared" si="22"/>
        <v>95729.182654696473</v>
      </c>
      <c r="G179" s="616">
        <f t="shared" si="22"/>
        <v>0</v>
      </c>
      <c r="H179" s="616">
        <f t="shared" si="22"/>
        <v>0</v>
      </c>
      <c r="I179" s="616">
        <f t="shared" si="22"/>
        <v>167647.29994266946</v>
      </c>
      <c r="J179" s="616">
        <f t="shared" si="22"/>
        <v>122727.83889135825</v>
      </c>
    </row>
    <row r="180" spans="2:10" x14ac:dyDescent="0.2">
      <c r="B180" s="820" t="s">
        <v>149</v>
      </c>
      <c r="D180" s="616">
        <f t="shared" si="22"/>
        <v>0</v>
      </c>
      <c r="E180" s="616">
        <f t="shared" si="22"/>
        <v>0</v>
      </c>
      <c r="F180" s="616">
        <f t="shared" si="22"/>
        <v>0</v>
      </c>
      <c r="G180" s="616">
        <f t="shared" si="22"/>
        <v>0</v>
      </c>
      <c r="H180" s="616">
        <f t="shared" si="22"/>
        <v>0</v>
      </c>
      <c r="I180" s="616">
        <f t="shared" si="22"/>
        <v>0</v>
      </c>
      <c r="J180" s="616">
        <f t="shared" si="22"/>
        <v>538482.98100143985</v>
      </c>
    </row>
    <row r="181" spans="2:10" x14ac:dyDescent="0.2">
      <c r="B181" s="820" t="s">
        <v>144</v>
      </c>
      <c r="D181" s="616">
        <f t="shared" si="22"/>
        <v>0</v>
      </c>
      <c r="E181" s="616">
        <f t="shared" si="22"/>
        <v>0</v>
      </c>
      <c r="F181" s="616">
        <f t="shared" si="22"/>
        <v>0</v>
      </c>
      <c r="G181" s="616">
        <f t="shared" si="22"/>
        <v>0</v>
      </c>
      <c r="H181" s="616">
        <f t="shared" si="22"/>
        <v>4408.1824956682312</v>
      </c>
      <c r="I181" s="616">
        <f t="shared" si="22"/>
        <v>0</v>
      </c>
      <c r="J181" s="616">
        <f t="shared" si="22"/>
        <v>0</v>
      </c>
    </row>
    <row r="182" spans="2:10" x14ac:dyDescent="0.2">
      <c r="B182" s="820" t="s">
        <v>142</v>
      </c>
      <c r="D182" s="616">
        <f t="shared" si="22"/>
        <v>0</v>
      </c>
      <c r="E182" s="616">
        <f t="shared" si="22"/>
        <v>188762.2237092579</v>
      </c>
      <c r="F182" s="616">
        <f t="shared" si="22"/>
        <v>366709.8565375263</v>
      </c>
      <c r="G182" s="616">
        <f t="shared" si="22"/>
        <v>0</v>
      </c>
      <c r="H182" s="616">
        <f t="shared" si="22"/>
        <v>387552.41719866556</v>
      </c>
      <c r="I182" s="616">
        <f t="shared" si="22"/>
        <v>404590.66152029083</v>
      </c>
      <c r="J182" s="616">
        <f t="shared" si="22"/>
        <v>90033.02618558878</v>
      </c>
    </row>
    <row r="183" spans="2:10" x14ac:dyDescent="0.2">
      <c r="B183" s="820" t="s">
        <v>143</v>
      </c>
      <c r="D183" s="616">
        <f t="shared" si="22"/>
        <v>0</v>
      </c>
      <c r="E183" s="616">
        <f t="shared" si="22"/>
        <v>176404.33450951648</v>
      </c>
      <c r="F183" s="616">
        <f t="shared" si="22"/>
        <v>206249.14472873905</v>
      </c>
      <c r="G183" s="616">
        <f t="shared" si="22"/>
        <v>0</v>
      </c>
      <c r="H183" s="616">
        <f t="shared" si="22"/>
        <v>251572.77093653809</v>
      </c>
      <c r="I183" s="616">
        <f t="shared" si="22"/>
        <v>783425.34880375594</v>
      </c>
      <c r="J183" s="616">
        <f t="shared" si="22"/>
        <v>398868.20110354631</v>
      </c>
    </row>
    <row r="184" spans="2:10" x14ac:dyDescent="0.2">
      <c r="B184" s="820" t="s">
        <v>139</v>
      </c>
      <c r="D184" s="616">
        <f t="shared" si="22"/>
        <v>0</v>
      </c>
      <c r="E184" s="616">
        <f t="shared" si="22"/>
        <v>0</v>
      </c>
      <c r="F184" s="616">
        <f t="shared" si="22"/>
        <v>148010.79381125135</v>
      </c>
      <c r="G184" s="616">
        <f t="shared" si="22"/>
        <v>0</v>
      </c>
      <c r="H184" s="616">
        <f t="shared" si="22"/>
        <v>66017.577792599026</v>
      </c>
      <c r="I184" s="616">
        <f t="shared" si="22"/>
        <v>285927.13539401517</v>
      </c>
      <c r="J184" s="616">
        <f t="shared" si="22"/>
        <v>57928.502472695291</v>
      </c>
    </row>
    <row r="185" spans="2:10" x14ac:dyDescent="0.2">
      <c r="B185" s="820" t="s">
        <v>146</v>
      </c>
      <c r="D185" s="616">
        <f t="shared" si="22"/>
        <v>32597.382715184667</v>
      </c>
      <c r="E185" s="616">
        <f t="shared" si="22"/>
        <v>0</v>
      </c>
      <c r="F185" s="616">
        <f t="shared" si="22"/>
        <v>0</v>
      </c>
      <c r="G185" s="616">
        <f t="shared" si="22"/>
        <v>0</v>
      </c>
      <c r="H185" s="616">
        <f t="shared" si="22"/>
        <v>338568.44840777258</v>
      </c>
      <c r="I185" s="616">
        <f t="shared" si="22"/>
        <v>1952827.2036160843</v>
      </c>
      <c r="J185" s="616">
        <f t="shared" si="22"/>
        <v>0</v>
      </c>
    </row>
    <row r="186" spans="2:10" x14ac:dyDescent="0.2">
      <c r="B186" s="820" t="s">
        <v>135</v>
      </c>
      <c r="D186" s="616">
        <f t="shared" si="22"/>
        <v>64820.055974755422</v>
      </c>
      <c r="E186" s="616">
        <f t="shared" si="22"/>
        <v>376058.08153024461</v>
      </c>
      <c r="F186" s="616">
        <f t="shared" si="22"/>
        <v>917426.25757693232</v>
      </c>
      <c r="G186" s="616">
        <f t="shared" si="22"/>
        <v>0</v>
      </c>
      <c r="H186" s="616">
        <f t="shared" si="22"/>
        <v>318902.615678292</v>
      </c>
      <c r="I186" s="616">
        <f t="shared" si="22"/>
        <v>4777534.7304569669</v>
      </c>
      <c r="J186" s="616">
        <f t="shared" si="22"/>
        <v>701030.8579778563</v>
      </c>
    </row>
    <row r="187" spans="2:10" x14ac:dyDescent="0.2">
      <c r="B187" s="820" t="s">
        <v>148</v>
      </c>
      <c r="D187" s="616">
        <f t="shared" si="22"/>
        <v>76867.760059155669</v>
      </c>
      <c r="E187" s="616">
        <f t="shared" si="22"/>
        <v>0</v>
      </c>
      <c r="F187" s="616">
        <f t="shared" si="22"/>
        <v>552016.60326431599</v>
      </c>
      <c r="G187" s="616">
        <f t="shared" si="22"/>
        <v>0</v>
      </c>
      <c r="H187" s="616">
        <f t="shared" si="22"/>
        <v>1313999.217936306</v>
      </c>
      <c r="I187" s="616">
        <f t="shared" si="22"/>
        <v>26433.154452651961</v>
      </c>
      <c r="J187" s="616">
        <f t="shared" si="22"/>
        <v>0</v>
      </c>
    </row>
    <row r="188" spans="2:10" x14ac:dyDescent="0.2">
      <c r="B188" s="820" t="s">
        <v>137</v>
      </c>
      <c r="D188" s="616">
        <f t="shared" si="22"/>
        <v>0</v>
      </c>
      <c r="E188" s="616">
        <f t="shared" si="22"/>
        <v>0</v>
      </c>
      <c r="F188" s="616">
        <f t="shared" si="22"/>
        <v>23705.349170270016</v>
      </c>
      <c r="G188" s="616">
        <f t="shared" si="22"/>
        <v>0</v>
      </c>
      <c r="H188" s="616">
        <f t="shared" si="22"/>
        <v>165837.78467925912</v>
      </c>
      <c r="I188" s="616">
        <f t="shared" si="22"/>
        <v>366009.81327961356</v>
      </c>
      <c r="J188" s="616">
        <f t="shared" si="22"/>
        <v>141899.51586221025</v>
      </c>
    </row>
    <row r="189" spans="2:10" x14ac:dyDescent="0.2">
      <c r="B189" s="820" t="s">
        <v>145</v>
      </c>
      <c r="D189" s="616">
        <f t="shared" si="22"/>
        <v>0</v>
      </c>
      <c r="E189" s="616">
        <f t="shared" si="22"/>
        <v>0</v>
      </c>
      <c r="F189" s="616">
        <f t="shared" si="22"/>
        <v>56107.605285508536</v>
      </c>
      <c r="G189" s="616">
        <f t="shared" si="22"/>
        <v>0</v>
      </c>
      <c r="H189" s="616">
        <f t="shared" si="22"/>
        <v>156128.12599507827</v>
      </c>
      <c r="I189" s="616">
        <f t="shared" si="22"/>
        <v>84984.43780976416</v>
      </c>
      <c r="J189" s="616">
        <f t="shared" si="22"/>
        <v>0</v>
      </c>
    </row>
    <row r="190" spans="2:10" x14ac:dyDescent="0.2">
      <c r="B190" s="820" t="s">
        <v>140</v>
      </c>
      <c r="D190" s="616">
        <f t="shared" si="22"/>
        <v>0</v>
      </c>
      <c r="E190" s="616">
        <f t="shared" si="22"/>
        <v>17051.526632297304</v>
      </c>
      <c r="F190" s="616">
        <f t="shared" si="22"/>
        <v>9034.3500447187071</v>
      </c>
      <c r="G190" s="616">
        <f t="shared" si="22"/>
        <v>0</v>
      </c>
      <c r="H190" s="616">
        <f t="shared" si="22"/>
        <v>0</v>
      </c>
      <c r="I190" s="616">
        <f t="shared" si="22"/>
        <v>0</v>
      </c>
      <c r="J190" s="616">
        <f t="shared" si="22"/>
        <v>183338.8203859115</v>
      </c>
    </row>
    <row r="191" spans="2:10" x14ac:dyDescent="0.2">
      <c r="B191" s="820" t="s">
        <v>134</v>
      </c>
      <c r="D191" s="616">
        <f t="shared" si="22"/>
        <v>399.52726633036394</v>
      </c>
      <c r="E191" s="616">
        <f t="shared" si="22"/>
        <v>6776.2569709273976</v>
      </c>
      <c r="F191" s="616">
        <f t="shared" si="22"/>
        <v>18468.120200392172</v>
      </c>
      <c r="G191" s="616">
        <f t="shared" si="22"/>
        <v>0</v>
      </c>
      <c r="H191" s="616">
        <f t="shared" si="22"/>
        <v>6961.7446557978219</v>
      </c>
      <c r="I191" s="616">
        <f t="shared" si="22"/>
        <v>38431.344658948758</v>
      </c>
      <c r="J191" s="616">
        <f t="shared" si="22"/>
        <v>0</v>
      </c>
    </row>
    <row r="192" spans="2:10" x14ac:dyDescent="0.2">
      <c r="B192" s="820" t="s">
        <v>136</v>
      </c>
      <c r="D192" s="616">
        <f t="shared" si="22"/>
        <v>2136.1792859950597</v>
      </c>
      <c r="E192" s="616">
        <f t="shared" si="22"/>
        <v>129562.83929600603</v>
      </c>
      <c r="F192" s="616">
        <f t="shared" si="22"/>
        <v>64333.681338162052</v>
      </c>
      <c r="G192" s="616">
        <f t="shared" si="22"/>
        <v>0</v>
      </c>
      <c r="H192" s="616">
        <f t="shared" si="22"/>
        <v>25680.601825597892</v>
      </c>
      <c r="I192" s="616">
        <f t="shared" si="22"/>
        <v>6951.052922491519</v>
      </c>
      <c r="J192" s="616">
        <f t="shared" si="22"/>
        <v>0</v>
      </c>
    </row>
    <row r="193" spans="2:11" x14ac:dyDescent="0.2">
      <c r="B193" s="820" t="s">
        <v>147</v>
      </c>
      <c r="D193" s="616">
        <f t="shared" si="22"/>
        <v>0</v>
      </c>
      <c r="E193" s="616">
        <f t="shared" si="22"/>
        <v>588712.56979266298</v>
      </c>
      <c r="F193" s="616">
        <f t="shared" si="22"/>
        <v>496160.73670605256</v>
      </c>
      <c r="G193" s="616">
        <f t="shared" si="22"/>
        <v>0</v>
      </c>
      <c r="H193" s="616">
        <f t="shared" si="22"/>
        <v>0</v>
      </c>
      <c r="I193" s="616">
        <f t="shared" si="22"/>
        <v>1627340.0578838591</v>
      </c>
      <c r="J193" s="616">
        <f t="shared" si="22"/>
        <v>0</v>
      </c>
    </row>
    <row r="194" spans="2:11" x14ac:dyDescent="0.2">
      <c r="B194" s="820" t="s">
        <v>230</v>
      </c>
      <c r="D194" s="616">
        <f t="shared" si="22"/>
        <v>62274.563181020989</v>
      </c>
      <c r="E194" s="616">
        <f t="shared" si="22"/>
        <v>441014.8087608855</v>
      </c>
      <c r="F194" s="616">
        <f t="shared" si="22"/>
        <v>259782.3599003111</v>
      </c>
      <c r="G194" s="616">
        <f t="shared" si="22"/>
        <v>0</v>
      </c>
      <c r="H194" s="616">
        <f t="shared" si="22"/>
        <v>0</v>
      </c>
      <c r="I194" s="616">
        <f t="shared" si="22"/>
        <v>660954.99896596652</v>
      </c>
      <c r="J194" s="616">
        <f t="shared" si="22"/>
        <v>0</v>
      </c>
    </row>
    <row r="195" spans="2:11" x14ac:dyDescent="0.2">
      <c r="B195" s="820" t="s">
        <v>157</v>
      </c>
      <c r="D195" s="616">
        <f t="shared" ref="D195:J204" si="23">+D$174*D161</f>
        <v>0</v>
      </c>
      <c r="E195" s="616">
        <f t="shared" si="23"/>
        <v>0</v>
      </c>
      <c r="F195" s="616">
        <f t="shared" si="23"/>
        <v>0</v>
      </c>
      <c r="G195" s="616">
        <f t="shared" si="23"/>
        <v>0</v>
      </c>
      <c r="H195" s="616">
        <f t="shared" si="23"/>
        <v>0</v>
      </c>
      <c r="I195" s="616">
        <f t="shared" si="23"/>
        <v>1137530.4356053162</v>
      </c>
      <c r="J195" s="616">
        <f t="shared" si="23"/>
        <v>104717.95545818273</v>
      </c>
    </row>
    <row r="196" spans="2:11" x14ac:dyDescent="0.2">
      <c r="B196" s="820" t="s">
        <v>150</v>
      </c>
      <c r="D196" s="616">
        <f t="shared" si="23"/>
        <v>0</v>
      </c>
      <c r="E196" s="616">
        <f t="shared" si="23"/>
        <v>223103.16562129409</v>
      </c>
      <c r="F196" s="616">
        <f t="shared" si="23"/>
        <v>110780.59141497975</v>
      </c>
      <c r="G196" s="616">
        <f t="shared" si="23"/>
        <v>0</v>
      </c>
      <c r="H196" s="616">
        <f t="shared" si="23"/>
        <v>0</v>
      </c>
      <c r="I196" s="616">
        <f t="shared" si="23"/>
        <v>1180040.6227680151</v>
      </c>
      <c r="J196" s="616">
        <f t="shared" si="23"/>
        <v>190043.10615816183</v>
      </c>
    </row>
    <row r="197" spans="2:11" x14ac:dyDescent="0.2">
      <c r="B197" s="820" t="s">
        <v>151</v>
      </c>
      <c r="D197" s="616">
        <f t="shared" si="23"/>
        <v>0</v>
      </c>
      <c r="E197" s="616">
        <f t="shared" si="23"/>
        <v>209512.07825403128</v>
      </c>
      <c r="F197" s="616">
        <f t="shared" si="23"/>
        <v>104032.01529179842</v>
      </c>
      <c r="G197" s="616">
        <f t="shared" si="23"/>
        <v>0</v>
      </c>
      <c r="H197" s="616">
        <f t="shared" si="23"/>
        <v>0</v>
      </c>
      <c r="I197" s="616">
        <f t="shared" si="23"/>
        <v>0</v>
      </c>
      <c r="J197" s="616">
        <f t="shared" si="23"/>
        <v>0</v>
      </c>
    </row>
    <row r="198" spans="2:11" x14ac:dyDescent="0.2">
      <c r="B198" s="820" t="s">
        <v>153</v>
      </c>
      <c r="D198" s="616">
        <f t="shared" si="23"/>
        <v>0</v>
      </c>
      <c r="E198" s="616">
        <f t="shared" si="23"/>
        <v>1166986.4798026008</v>
      </c>
      <c r="F198" s="616">
        <f t="shared" si="23"/>
        <v>646966.07052205491</v>
      </c>
      <c r="G198" s="616">
        <f t="shared" si="23"/>
        <v>0</v>
      </c>
      <c r="H198" s="616">
        <f t="shared" si="23"/>
        <v>0</v>
      </c>
      <c r="I198" s="616">
        <f t="shared" si="23"/>
        <v>693001.20685983275</v>
      </c>
      <c r="J198" s="616">
        <f t="shared" si="23"/>
        <v>93293.185753946746</v>
      </c>
    </row>
    <row r="199" spans="2:11" x14ac:dyDescent="0.2">
      <c r="B199" s="820" t="s">
        <v>159</v>
      </c>
      <c r="D199" s="616">
        <f t="shared" si="23"/>
        <v>19527.219928115152</v>
      </c>
      <c r="E199" s="616">
        <f t="shared" si="23"/>
        <v>0</v>
      </c>
      <c r="F199" s="616">
        <f t="shared" si="23"/>
        <v>0</v>
      </c>
      <c r="G199" s="616">
        <f t="shared" si="23"/>
        <v>0</v>
      </c>
      <c r="H199" s="616">
        <f t="shared" si="23"/>
        <v>0</v>
      </c>
      <c r="I199" s="616">
        <f t="shared" si="23"/>
        <v>0</v>
      </c>
      <c r="J199" s="616">
        <f t="shared" si="23"/>
        <v>0</v>
      </c>
    </row>
    <row r="200" spans="2:11" x14ac:dyDescent="0.2">
      <c r="B200" s="820" t="s">
        <v>154</v>
      </c>
      <c r="D200" s="616">
        <f t="shared" si="23"/>
        <v>0</v>
      </c>
      <c r="E200" s="616">
        <f t="shared" si="23"/>
        <v>56812.610536924461</v>
      </c>
      <c r="F200" s="616">
        <f t="shared" si="23"/>
        <v>28209.974419604096</v>
      </c>
      <c r="G200" s="616">
        <f t="shared" si="23"/>
        <v>0</v>
      </c>
      <c r="H200" s="616">
        <f t="shared" si="23"/>
        <v>0</v>
      </c>
      <c r="I200" s="616">
        <f t="shared" si="23"/>
        <v>0</v>
      </c>
      <c r="J200" s="616">
        <f t="shared" si="23"/>
        <v>0</v>
      </c>
    </row>
    <row r="201" spans="2:11" x14ac:dyDescent="0.2">
      <c r="B201" s="820" t="s">
        <v>155</v>
      </c>
      <c r="D201" s="616">
        <f t="shared" si="23"/>
        <v>0</v>
      </c>
      <c r="E201" s="616">
        <f t="shared" si="23"/>
        <v>19310.662771117964</v>
      </c>
      <c r="F201" s="616">
        <f t="shared" si="23"/>
        <v>10735.887721797013</v>
      </c>
      <c r="G201" s="616">
        <f t="shared" si="23"/>
        <v>0</v>
      </c>
      <c r="H201" s="616">
        <f t="shared" si="23"/>
        <v>0</v>
      </c>
      <c r="I201" s="616">
        <f t="shared" si="23"/>
        <v>14374.846150108164</v>
      </c>
      <c r="J201" s="616">
        <f t="shared" si="23"/>
        <v>0</v>
      </c>
    </row>
    <row r="202" spans="2:11" x14ac:dyDescent="0.2">
      <c r="B202" s="820" t="s">
        <v>156</v>
      </c>
      <c r="D202" s="616">
        <f t="shared" si="23"/>
        <v>0</v>
      </c>
      <c r="E202" s="616">
        <f t="shared" si="23"/>
        <v>6708.7822626017642</v>
      </c>
      <c r="F202" s="616">
        <f t="shared" si="23"/>
        <v>3331.207177879749</v>
      </c>
      <c r="G202" s="616">
        <f t="shared" si="23"/>
        <v>0</v>
      </c>
      <c r="H202" s="616">
        <f t="shared" si="23"/>
        <v>0</v>
      </c>
      <c r="I202" s="616">
        <f t="shared" si="23"/>
        <v>0</v>
      </c>
      <c r="J202" s="616">
        <f t="shared" si="23"/>
        <v>0</v>
      </c>
    </row>
    <row r="203" spans="2:11" x14ac:dyDescent="0.2">
      <c r="B203" s="820" t="s">
        <v>152</v>
      </c>
      <c r="D203" s="616">
        <f t="shared" si="23"/>
        <v>0</v>
      </c>
      <c r="E203" s="616">
        <f t="shared" si="23"/>
        <v>608985.55316929542</v>
      </c>
      <c r="F203" s="616">
        <f t="shared" si="23"/>
        <v>302388.26757747296</v>
      </c>
      <c r="G203" s="616">
        <f t="shared" si="23"/>
        <v>0</v>
      </c>
      <c r="H203" s="616">
        <f t="shared" si="23"/>
        <v>0</v>
      </c>
      <c r="I203" s="616">
        <f t="shared" si="23"/>
        <v>142819.29386188005</v>
      </c>
      <c r="J203" s="616">
        <f t="shared" si="23"/>
        <v>55591.350318095647</v>
      </c>
    </row>
    <row r="204" spans="2:11" x14ac:dyDescent="0.2">
      <c r="B204" s="820" t="s">
        <v>133</v>
      </c>
      <c r="D204" s="863">
        <f t="shared" si="23"/>
        <v>4550.4667633115168</v>
      </c>
      <c r="E204" s="863">
        <f t="shared" si="23"/>
        <v>26234.16253308038</v>
      </c>
      <c r="F204" s="863">
        <f t="shared" si="23"/>
        <v>14608.924581607187</v>
      </c>
      <c r="G204" s="863">
        <f t="shared" si="23"/>
        <v>0</v>
      </c>
      <c r="H204" s="863">
        <f t="shared" si="23"/>
        <v>0</v>
      </c>
      <c r="I204" s="863">
        <f t="shared" si="23"/>
        <v>444308.60286783334</v>
      </c>
      <c r="J204" s="863">
        <f t="shared" si="23"/>
        <v>0</v>
      </c>
    </row>
    <row r="205" spans="2:11" x14ac:dyDescent="0.2">
      <c r="D205" s="864">
        <f>SUM(D179:D204)</f>
        <v>502523.52904275048</v>
      </c>
      <c r="E205" s="864">
        <f t="shared" ref="E205:J205" si="24">SUM(E179:E204)</f>
        <v>4434786.9799260693</v>
      </c>
      <c r="F205" s="864">
        <f t="shared" si="24"/>
        <v>4434786.9799260702</v>
      </c>
      <c r="G205" s="864">
        <f t="shared" si="24"/>
        <v>0</v>
      </c>
      <c r="H205" s="864">
        <f t="shared" si="24"/>
        <v>3035629.487601574</v>
      </c>
      <c r="I205" s="864">
        <f t="shared" si="24"/>
        <v>14795132.247820061</v>
      </c>
      <c r="J205" s="864">
        <f t="shared" si="24"/>
        <v>2677955.3415689934</v>
      </c>
      <c r="K205" s="856">
        <f>J205+I205+H205+F205+D205</f>
        <v>25446027.585959449</v>
      </c>
    </row>
    <row r="208" spans="2:11" x14ac:dyDescent="0.2">
      <c r="D208" s="838" t="s">
        <v>239</v>
      </c>
      <c r="E208" s="838" t="s">
        <v>238</v>
      </c>
      <c r="F208" s="838" t="s">
        <v>580</v>
      </c>
      <c r="G208" s="838" t="s">
        <v>258</v>
      </c>
      <c r="H208" s="838" t="s">
        <v>574</v>
      </c>
      <c r="I208" s="838" t="s">
        <v>262</v>
      </c>
      <c r="J208" s="838" t="s">
        <v>263</v>
      </c>
    </row>
    <row r="209" spans="2:12" x14ac:dyDescent="0.2">
      <c r="D209" s="988" t="s">
        <v>581</v>
      </c>
      <c r="E209" s="989"/>
      <c r="F209" s="989"/>
      <c r="G209" s="989"/>
      <c r="H209" s="989"/>
      <c r="I209" s="989"/>
      <c r="J209" s="990"/>
    </row>
    <row r="210" spans="2:12" x14ac:dyDescent="0.2">
      <c r="D210" s="845"/>
      <c r="E210" s="845"/>
      <c r="F210" s="845"/>
      <c r="G210" s="845"/>
      <c r="H210" s="845"/>
      <c r="I210" s="845"/>
      <c r="J210" s="845"/>
    </row>
    <row r="211" spans="2:12" x14ac:dyDescent="0.2">
      <c r="B211" s="820" t="s">
        <v>229</v>
      </c>
      <c r="D211" s="616">
        <f>+D179/D78</f>
        <v>172.05317838710135</v>
      </c>
      <c r="E211" s="616">
        <f>+E179/E78</f>
        <v>4063.9254161191843</v>
      </c>
      <c r="F211" s="616">
        <f>+F179/F78</f>
        <v>2017.9187498766767</v>
      </c>
      <c r="G211" s="616"/>
      <c r="H211" s="616"/>
      <c r="I211" s="616">
        <f>+I179/I78</f>
        <v>3386.7759962636674</v>
      </c>
      <c r="J211" s="616">
        <f>+J179/J78</f>
        <v>1508.4881008129576</v>
      </c>
      <c r="K211" s="616"/>
      <c r="L211" s="616"/>
    </row>
    <row r="212" spans="2:12" x14ac:dyDescent="0.2">
      <c r="B212" s="820" t="s">
        <v>149</v>
      </c>
      <c r="D212" s="616"/>
      <c r="E212" s="616"/>
      <c r="F212" s="616"/>
      <c r="G212" s="616"/>
      <c r="H212" s="616"/>
      <c r="I212" s="616"/>
      <c r="J212" s="616">
        <f>+J180/J79</f>
        <v>3519.8055685635672</v>
      </c>
      <c r="K212" s="616"/>
      <c r="L212" s="616"/>
    </row>
    <row r="213" spans="2:12" x14ac:dyDescent="0.2">
      <c r="B213" s="820" t="s">
        <v>144</v>
      </c>
      <c r="D213" s="616"/>
      <c r="E213" s="616"/>
      <c r="F213" s="616"/>
      <c r="G213" s="616"/>
      <c r="H213" s="616">
        <f t="shared" ref="H213:J221" si="25">+H181/H80</f>
        <v>5186.0970537273306</v>
      </c>
      <c r="I213" s="616"/>
      <c r="J213" s="616"/>
      <c r="K213" s="616"/>
      <c r="L213" s="616"/>
    </row>
    <row r="214" spans="2:12" x14ac:dyDescent="0.2">
      <c r="B214" s="820" t="s">
        <v>142</v>
      </c>
      <c r="D214" s="616"/>
      <c r="E214" s="616">
        <f t="shared" ref="E214:G215" si="26">+E182/E81</f>
        <v>12191.776248357553</v>
      </c>
      <c r="F214" s="616">
        <f t="shared" si="26"/>
        <v>6053.7562496300288</v>
      </c>
      <c r="G214" s="616">
        <f t="shared" si="26"/>
        <v>0</v>
      </c>
      <c r="H214" s="616">
        <f t="shared" si="25"/>
        <v>5186.0970537273306</v>
      </c>
      <c r="I214" s="616">
        <f t="shared" si="25"/>
        <v>10160.327988791007</v>
      </c>
      <c r="J214" s="616">
        <f t="shared" si="25"/>
        <v>4525.4643024388724</v>
      </c>
      <c r="K214" s="616"/>
      <c r="L214" s="616"/>
    </row>
    <row r="215" spans="2:12" x14ac:dyDescent="0.2">
      <c r="B215" s="820" t="s">
        <v>143</v>
      </c>
      <c r="D215" s="616"/>
      <c r="E215" s="616">
        <f t="shared" si="26"/>
        <v>12191.776248357553</v>
      </c>
      <c r="F215" s="616">
        <f t="shared" si="26"/>
        <v>6053.7562496300316</v>
      </c>
      <c r="G215" s="616">
        <f t="shared" si="26"/>
        <v>0</v>
      </c>
      <c r="H215" s="616">
        <f t="shared" si="25"/>
        <v>5186.0970537273306</v>
      </c>
      <c r="I215" s="616">
        <f t="shared" si="25"/>
        <v>10160.327988791007</v>
      </c>
      <c r="J215" s="616">
        <f t="shared" si="25"/>
        <v>4525.4643024388724</v>
      </c>
      <c r="K215" s="616"/>
      <c r="L215" s="616"/>
    </row>
    <row r="216" spans="2:12" x14ac:dyDescent="0.2">
      <c r="B216" s="820" t="s">
        <v>139</v>
      </c>
      <c r="D216" s="616"/>
      <c r="E216" s="616"/>
      <c r="F216" s="616"/>
      <c r="G216" s="616">
        <f>+G184/G83</f>
        <v>0</v>
      </c>
      <c r="H216" s="616">
        <f t="shared" si="25"/>
        <v>3745.5145388030724</v>
      </c>
      <c r="I216" s="616">
        <f t="shared" si="25"/>
        <v>7338.0146585712819</v>
      </c>
      <c r="J216" s="616">
        <f t="shared" si="25"/>
        <v>3268.3908850947414</v>
      </c>
      <c r="K216" s="616"/>
      <c r="L216" s="616"/>
    </row>
    <row r="217" spans="2:12" x14ac:dyDescent="0.2">
      <c r="B217" s="820" t="s">
        <v>146</v>
      </c>
      <c r="D217" s="616">
        <f>+D185/D84</f>
        <v>401.45741623656988</v>
      </c>
      <c r="E217" s="616"/>
      <c r="F217" s="616"/>
      <c r="G217" s="616"/>
      <c r="H217" s="616">
        <f t="shared" si="25"/>
        <v>4033.6310417879231</v>
      </c>
      <c r="I217" s="616">
        <f>+I185/I84</f>
        <v>7902.4773246152245</v>
      </c>
      <c r="J217" s="616"/>
      <c r="K217" s="593"/>
      <c r="L217" s="616"/>
    </row>
    <row r="218" spans="2:12" x14ac:dyDescent="0.2">
      <c r="B218" s="820" t="s">
        <v>135</v>
      </c>
      <c r="D218" s="869">
        <f>+D186/D85</f>
        <v>172.05317838710138</v>
      </c>
      <c r="E218" s="869">
        <f>+E186/E85</f>
        <v>4063.9254161191848</v>
      </c>
      <c r="F218" s="869">
        <f>+F186/F85</f>
        <v>2017.9187498766764</v>
      </c>
      <c r="G218" s="869">
        <f>+G186/G85</f>
        <v>0</v>
      </c>
      <c r="H218" s="869">
        <f t="shared" si="25"/>
        <v>1728.6990179091101</v>
      </c>
      <c r="I218" s="869">
        <f>+I186/I85</f>
        <v>3386.7759962636683</v>
      </c>
      <c r="J218" s="869">
        <f>+J186/J85</f>
        <v>1508.4881008129573</v>
      </c>
      <c r="K218" s="616"/>
      <c r="L218" s="616"/>
    </row>
    <row r="219" spans="2:12" x14ac:dyDescent="0.2">
      <c r="B219" s="820" t="s">
        <v>148</v>
      </c>
      <c r="D219" s="616">
        <f>+D187/D86</f>
        <v>401.45741623656983</v>
      </c>
      <c r="E219" s="616"/>
      <c r="F219" s="616"/>
      <c r="G219" s="616">
        <f>+G187/G86</f>
        <v>0</v>
      </c>
      <c r="H219" s="616">
        <f t="shared" si="25"/>
        <v>4033.6310417879236</v>
      </c>
      <c r="I219" s="616">
        <f>+I187/I86</f>
        <v>7902.4773246152254</v>
      </c>
      <c r="J219" s="616"/>
      <c r="K219" s="616"/>
      <c r="L219" s="616"/>
    </row>
    <row r="220" spans="2:12" x14ac:dyDescent="0.2">
      <c r="B220" s="820" t="s">
        <v>137</v>
      </c>
      <c r="D220" s="616"/>
      <c r="E220" s="616"/>
      <c r="F220" s="616"/>
      <c r="G220" s="616">
        <f>+G188/G87</f>
        <v>0</v>
      </c>
      <c r="H220" s="616">
        <f t="shared" si="25"/>
        <v>2881.165029848517</v>
      </c>
      <c r="I220" s="616">
        <f>+I188/I87</f>
        <v>5644.6266604394468</v>
      </c>
      <c r="J220" s="616">
        <f>+J188/J87</f>
        <v>2514.1468346882625</v>
      </c>
      <c r="K220" s="616"/>
      <c r="L220" s="616"/>
    </row>
    <row r="221" spans="2:12" x14ac:dyDescent="0.2">
      <c r="B221" s="820" t="s">
        <v>145</v>
      </c>
      <c r="D221" s="616"/>
      <c r="E221" s="616"/>
      <c r="F221" s="616"/>
      <c r="G221" s="616">
        <f>+G189/G88</f>
        <v>0</v>
      </c>
      <c r="H221" s="616">
        <f t="shared" si="25"/>
        <v>5186.0970537273306</v>
      </c>
      <c r="I221" s="616">
        <f>+I189/I88</f>
        <v>10160.327988791005</v>
      </c>
      <c r="J221" s="616"/>
      <c r="K221" s="616"/>
      <c r="L221" s="616"/>
    </row>
    <row r="222" spans="2:12" x14ac:dyDescent="0.2">
      <c r="B222" s="820" t="s">
        <v>140</v>
      </c>
      <c r="D222" s="616"/>
      <c r="E222" s="616">
        <f t="shared" ref="E222:F224" si="27">+E190/E89</f>
        <v>1354.6418053730615</v>
      </c>
      <c r="F222" s="616">
        <f t="shared" si="27"/>
        <v>672.63958329222567</v>
      </c>
      <c r="G222" s="616">
        <f>+G190/G89</f>
        <v>0</v>
      </c>
      <c r="H222" s="616"/>
      <c r="I222" s="616"/>
      <c r="J222" s="616">
        <f>+J190/J89</f>
        <v>502.82936693765254</v>
      </c>
      <c r="K222" s="616"/>
      <c r="L222" s="616"/>
    </row>
    <row r="223" spans="2:12" x14ac:dyDescent="0.2">
      <c r="B223" s="820" t="s">
        <v>134</v>
      </c>
      <c r="D223" s="616">
        <f>+D191/D90</f>
        <v>57.351059462367125</v>
      </c>
      <c r="E223" s="616">
        <f t="shared" si="27"/>
        <v>1354.6418053730615</v>
      </c>
      <c r="F223" s="616">
        <f t="shared" si="27"/>
        <v>672.63958329222567</v>
      </c>
      <c r="G223" s="616">
        <f>+G191/G90</f>
        <v>0</v>
      </c>
      <c r="H223" s="616">
        <f>+H191/H90</f>
        <v>576.23300596970341</v>
      </c>
      <c r="I223" s="616">
        <f>+I191/I90</f>
        <v>1128.9253320878895</v>
      </c>
      <c r="J223" s="616"/>
      <c r="K223" s="616"/>
      <c r="L223" s="616"/>
    </row>
    <row r="224" spans="2:12" x14ac:dyDescent="0.2">
      <c r="B224" s="820" t="s">
        <v>136</v>
      </c>
      <c r="D224" s="616">
        <f>+D192/D91</f>
        <v>57.351059462367118</v>
      </c>
      <c r="E224" s="616">
        <f t="shared" si="27"/>
        <v>1354.6418053730615</v>
      </c>
      <c r="F224" s="616">
        <f t="shared" si="27"/>
        <v>672.63958329222555</v>
      </c>
      <c r="G224" s="616"/>
      <c r="H224" s="616">
        <f>+H192/H91</f>
        <v>576.23300596970341</v>
      </c>
      <c r="I224" s="616">
        <f>+I192/I91</f>
        <v>1128.9253320878895</v>
      </c>
      <c r="J224" s="616"/>
      <c r="K224" s="616"/>
      <c r="L224" s="616"/>
    </row>
    <row r="225" spans="2:12" x14ac:dyDescent="0.2">
      <c r="B225" s="820" t="s">
        <v>147</v>
      </c>
      <c r="D225" s="616"/>
      <c r="E225" s="616"/>
      <c r="F225" s="616"/>
      <c r="G225" s="616"/>
      <c r="H225" s="616"/>
      <c r="I225" s="616">
        <f>+I193/I92</f>
        <v>3386.7759962636683</v>
      </c>
      <c r="J225" s="616"/>
      <c r="K225" s="616"/>
      <c r="L225" s="616"/>
    </row>
    <row r="226" spans="2:12" x14ac:dyDescent="0.2">
      <c r="B226" s="820" t="s">
        <v>230</v>
      </c>
      <c r="D226" s="616">
        <f>+D194/D93</f>
        <v>172.05317838710138</v>
      </c>
      <c r="E226" s="616">
        <f>+E194/E93</f>
        <v>4063.9254161191848</v>
      </c>
      <c r="F226" s="616">
        <f>+F194/F93</f>
        <v>2017.9187498766767</v>
      </c>
      <c r="G226" s="616"/>
      <c r="H226" s="616"/>
      <c r="I226" s="616">
        <f>+I194/I93</f>
        <v>3386.7759962636683</v>
      </c>
      <c r="J226" s="616"/>
      <c r="K226" s="616"/>
      <c r="L226" s="616"/>
    </row>
    <row r="227" spans="2:12" x14ac:dyDescent="0.2">
      <c r="B227" s="820" t="s">
        <v>157</v>
      </c>
      <c r="D227" s="616"/>
      <c r="E227" s="616"/>
      <c r="F227" s="616"/>
      <c r="G227" s="616"/>
      <c r="H227" s="616"/>
      <c r="I227" s="616">
        <f>+I195/I94</f>
        <v>7902.4773246152263</v>
      </c>
      <c r="J227" s="616">
        <f>+J195/J94</f>
        <v>3519.8055685635672</v>
      </c>
      <c r="K227" s="616"/>
      <c r="L227" s="616"/>
    </row>
    <row r="228" spans="2:12" x14ac:dyDescent="0.2">
      <c r="B228" s="820" t="s">
        <v>150</v>
      </c>
      <c r="D228" s="616"/>
      <c r="E228" s="616">
        <f t="shared" ref="E228:F230" si="28">+E196/E95</f>
        <v>12191.776248357555</v>
      </c>
      <c r="F228" s="616">
        <f t="shared" si="28"/>
        <v>6053.7562496300307</v>
      </c>
      <c r="G228" s="616"/>
      <c r="H228" s="616"/>
      <c r="I228" s="616">
        <f>+I196/I95</f>
        <v>10160.327988791003</v>
      </c>
      <c r="J228" s="616">
        <f>+J196/J95</f>
        <v>4525.4643024388715</v>
      </c>
      <c r="K228" s="616"/>
      <c r="L228" s="616"/>
    </row>
    <row r="229" spans="2:12" x14ac:dyDescent="0.2">
      <c r="B229" s="820" t="s">
        <v>151</v>
      </c>
      <c r="D229" s="616"/>
      <c r="E229" s="616">
        <f t="shared" si="28"/>
        <v>12191.776248357552</v>
      </c>
      <c r="F229" s="616">
        <f t="shared" si="28"/>
        <v>6053.7562496300297</v>
      </c>
      <c r="G229" s="616"/>
      <c r="H229" s="616"/>
      <c r="I229" s="616"/>
      <c r="J229" s="616"/>
      <c r="K229" s="616"/>
      <c r="L229" s="616"/>
    </row>
    <row r="230" spans="2:12" x14ac:dyDescent="0.2">
      <c r="B230" s="820" t="s">
        <v>153</v>
      </c>
      <c r="D230" s="616"/>
      <c r="E230" s="616">
        <f t="shared" si="28"/>
        <v>4063.9254161191843</v>
      </c>
      <c r="F230" s="616">
        <f t="shared" si="28"/>
        <v>2017.9187498766767</v>
      </c>
      <c r="G230" s="616"/>
      <c r="H230" s="616"/>
      <c r="I230" s="616">
        <f>+I198/I97</f>
        <v>3386.7759962636683</v>
      </c>
      <c r="J230" s="616">
        <f>+J198/J97</f>
        <v>1508.4881008129573</v>
      </c>
      <c r="K230" s="616"/>
      <c r="L230" s="616"/>
    </row>
    <row r="231" spans="2:12" x14ac:dyDescent="0.2">
      <c r="B231" s="820" t="s">
        <v>159</v>
      </c>
      <c r="D231" s="616">
        <f>+D199/D98</f>
        <v>401.45741623656983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">
      <c r="B232" s="820" t="s">
        <v>154</v>
      </c>
      <c r="D232" s="616"/>
      <c r="E232" s="616">
        <f>+E200/E99</f>
        <v>6773.2090268653074</v>
      </c>
      <c r="F232" s="616">
        <f>+F200/F99</f>
        <v>3363.1979164611275</v>
      </c>
      <c r="G232" s="616"/>
      <c r="H232" s="616"/>
      <c r="I232" s="616"/>
      <c r="J232" s="616"/>
      <c r="K232" s="616"/>
      <c r="L232" s="616"/>
    </row>
    <row r="233" spans="2:12" x14ac:dyDescent="0.2">
      <c r="B233" s="820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">
      <c r="B234" s="820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">
      <c r="B235" s="820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">
      <c r="B236" s="820" t="s">
        <v>133</v>
      </c>
      <c r="D236" s="616">
        <f>+D204/D103</f>
        <v>172.05317838710135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">
      <c r="D238" s="838" t="s">
        <v>239</v>
      </c>
      <c r="E238" s="838" t="s">
        <v>238</v>
      </c>
      <c r="F238" s="838" t="s">
        <v>580</v>
      </c>
      <c r="G238" s="838" t="s">
        <v>258</v>
      </c>
      <c r="H238" s="838" t="s">
        <v>574</v>
      </c>
      <c r="I238" s="838" t="s">
        <v>262</v>
      </c>
      <c r="J238" s="838" t="s">
        <v>263</v>
      </c>
    </row>
    <row r="239" spans="2:12" x14ac:dyDescent="0.2">
      <c r="B239" s="821" t="s">
        <v>582</v>
      </c>
      <c r="D239" s="846">
        <f>+D218/5</f>
        <v>34.410635677420274</v>
      </c>
      <c r="E239" s="846">
        <f t="shared" ref="E239:J239" si="29">+E218/5</f>
        <v>812.78508322383698</v>
      </c>
      <c r="F239" s="846">
        <f t="shared" si="29"/>
        <v>403.58374997533531</v>
      </c>
      <c r="G239" s="846">
        <f t="shared" si="29"/>
        <v>0</v>
      </c>
      <c r="H239" s="846">
        <f t="shared" si="29"/>
        <v>345.739803581822</v>
      </c>
      <c r="I239" s="846">
        <f t="shared" si="29"/>
        <v>677.35519925273366</v>
      </c>
      <c r="J239" s="846">
        <f t="shared" si="29"/>
        <v>301.69762016259148</v>
      </c>
      <c r="K239" s="820" t="s">
        <v>592</v>
      </c>
    </row>
    <row r="241" spans="2:10" x14ac:dyDescent="0.2">
      <c r="B241" s="821" t="s">
        <v>583</v>
      </c>
      <c r="D241" s="821" t="s">
        <v>584</v>
      </c>
      <c r="E241" s="820">
        <v>1282</v>
      </c>
      <c r="F241" s="847">
        <f>+(E241+G241)/2</f>
        <v>1011.5</v>
      </c>
      <c r="G241" s="820">
        <v>741</v>
      </c>
      <c r="H241" s="820">
        <v>513</v>
      </c>
      <c r="I241" s="820">
        <v>1368</v>
      </c>
      <c r="J241" s="821" t="s">
        <v>584</v>
      </c>
    </row>
    <row r="242" spans="2:10" s="848" customFormat="1" x14ac:dyDescent="0.2">
      <c r="B242" s="848" t="s">
        <v>585</v>
      </c>
      <c r="E242" s="849">
        <f>+(E239-E241)/E241</f>
        <v>-0.3660022751764142</v>
      </c>
      <c r="F242" s="849">
        <f>+(F239-F241)/F241</f>
        <v>-0.60100469602042972</v>
      </c>
      <c r="G242" s="849">
        <f>+(G239-G241)/G241</f>
        <v>-1</v>
      </c>
      <c r="H242" s="849">
        <f>+(H239-H241)/H241</f>
        <v>-0.32604326787169202</v>
      </c>
      <c r="I242" s="849">
        <f>+(I239-I241)/I241</f>
        <v>-0.50485731048776783</v>
      </c>
    </row>
    <row r="244" spans="2:10" x14ac:dyDescent="0.2">
      <c r="B244" s="819" t="s">
        <v>586</v>
      </c>
    </row>
    <row r="245" spans="2:10" x14ac:dyDescent="0.2">
      <c r="B245" s="820" t="s">
        <v>229</v>
      </c>
      <c r="D245" s="843">
        <f t="shared" ref="D245:J260" si="30">+D211*D78</f>
        <v>239350.37386888158</v>
      </c>
      <c r="E245" s="843">
        <f t="shared" si="30"/>
        <v>192790.84377332457</v>
      </c>
      <c r="F245" s="843">
        <f t="shared" si="30"/>
        <v>95729.182654696473</v>
      </c>
      <c r="G245" s="843">
        <f t="shared" si="30"/>
        <v>0</v>
      </c>
      <c r="H245" s="843">
        <f t="shared" si="30"/>
        <v>0</v>
      </c>
      <c r="I245" s="843">
        <f t="shared" si="30"/>
        <v>167647.29994266946</v>
      </c>
      <c r="J245" s="843">
        <f t="shared" si="30"/>
        <v>122727.83889135825</v>
      </c>
    </row>
    <row r="246" spans="2:10" x14ac:dyDescent="0.2">
      <c r="B246" s="820" t="s">
        <v>149</v>
      </c>
      <c r="D246" s="843">
        <f t="shared" si="30"/>
        <v>0</v>
      </c>
      <c r="E246" s="843">
        <f t="shared" si="30"/>
        <v>0</v>
      </c>
      <c r="F246" s="843">
        <f t="shared" si="30"/>
        <v>0</v>
      </c>
      <c r="G246" s="843">
        <f t="shared" si="30"/>
        <v>0</v>
      </c>
      <c r="H246" s="843">
        <f t="shared" si="30"/>
        <v>0</v>
      </c>
      <c r="I246" s="843">
        <f t="shared" si="30"/>
        <v>0</v>
      </c>
      <c r="J246" s="843">
        <f t="shared" si="30"/>
        <v>538482.98100143985</v>
      </c>
    </row>
    <row r="247" spans="2:10" x14ac:dyDescent="0.2">
      <c r="B247" s="820" t="s">
        <v>144</v>
      </c>
      <c r="D247" s="843">
        <f t="shared" si="30"/>
        <v>0</v>
      </c>
      <c r="E247" s="843">
        <f t="shared" si="30"/>
        <v>0</v>
      </c>
      <c r="F247" s="843">
        <f t="shared" si="30"/>
        <v>0</v>
      </c>
      <c r="G247" s="843">
        <f t="shared" si="30"/>
        <v>0</v>
      </c>
      <c r="H247" s="843">
        <f t="shared" si="30"/>
        <v>4408.1824956682312</v>
      </c>
      <c r="I247" s="843">
        <f t="shared" si="30"/>
        <v>0</v>
      </c>
      <c r="J247" s="843">
        <f t="shared" si="30"/>
        <v>0</v>
      </c>
    </row>
    <row r="248" spans="2:10" x14ac:dyDescent="0.2">
      <c r="B248" s="820" t="s">
        <v>142</v>
      </c>
      <c r="D248" s="843">
        <f t="shared" si="30"/>
        <v>0</v>
      </c>
      <c r="E248" s="843">
        <f t="shared" si="30"/>
        <v>188762.2237092579</v>
      </c>
      <c r="F248" s="843">
        <f t="shared" si="30"/>
        <v>366709.8565375263</v>
      </c>
      <c r="G248" s="843">
        <f t="shared" si="30"/>
        <v>0</v>
      </c>
      <c r="H248" s="843">
        <f t="shared" si="30"/>
        <v>387552.41719866556</v>
      </c>
      <c r="I248" s="843">
        <f t="shared" si="30"/>
        <v>404590.66152029083</v>
      </c>
      <c r="J248" s="843">
        <f t="shared" si="30"/>
        <v>90033.026185588766</v>
      </c>
    </row>
    <row r="249" spans="2:10" x14ac:dyDescent="0.2">
      <c r="B249" s="820" t="s">
        <v>143</v>
      </c>
      <c r="D249" s="843">
        <f t="shared" si="30"/>
        <v>0</v>
      </c>
      <c r="E249" s="843">
        <f t="shared" si="30"/>
        <v>176404.33450951648</v>
      </c>
      <c r="F249" s="843">
        <f t="shared" si="30"/>
        <v>206249.14472873905</v>
      </c>
      <c r="G249" s="843">
        <f t="shared" si="30"/>
        <v>0</v>
      </c>
      <c r="H249" s="843">
        <f t="shared" si="30"/>
        <v>251572.77093653809</v>
      </c>
      <c r="I249" s="843">
        <f t="shared" si="30"/>
        <v>783425.34880375594</v>
      </c>
      <c r="J249" s="843">
        <f t="shared" si="30"/>
        <v>398868.20110354631</v>
      </c>
    </row>
    <row r="250" spans="2:10" x14ac:dyDescent="0.2">
      <c r="B250" s="820" t="s">
        <v>139</v>
      </c>
      <c r="D250" s="843">
        <f t="shared" si="30"/>
        <v>0</v>
      </c>
      <c r="E250" s="843">
        <f t="shared" si="30"/>
        <v>0</v>
      </c>
      <c r="F250" s="843">
        <f t="shared" si="30"/>
        <v>0</v>
      </c>
      <c r="G250" s="843">
        <f t="shared" si="30"/>
        <v>0</v>
      </c>
      <c r="H250" s="843">
        <f t="shared" si="30"/>
        <v>66017.577792599026</v>
      </c>
      <c r="I250" s="843">
        <f t="shared" si="30"/>
        <v>285927.13539401517</v>
      </c>
      <c r="J250" s="843">
        <f t="shared" si="30"/>
        <v>57928.502472695291</v>
      </c>
    </row>
    <row r="251" spans="2:10" x14ac:dyDescent="0.2">
      <c r="B251" s="820" t="s">
        <v>146</v>
      </c>
      <c r="D251" s="843">
        <f t="shared" si="30"/>
        <v>32597.382715184667</v>
      </c>
      <c r="E251" s="843">
        <f t="shared" si="30"/>
        <v>0</v>
      </c>
      <c r="F251" s="843">
        <f t="shared" si="30"/>
        <v>0</v>
      </c>
      <c r="G251" s="843">
        <f t="shared" si="30"/>
        <v>0</v>
      </c>
      <c r="H251" s="843">
        <f t="shared" si="30"/>
        <v>338568.44840777258</v>
      </c>
      <c r="I251" s="850">
        <f t="shared" si="30"/>
        <v>1952827.2036160843</v>
      </c>
      <c r="J251" s="843">
        <f t="shared" si="30"/>
        <v>0</v>
      </c>
    </row>
    <row r="252" spans="2:10" x14ac:dyDescent="0.2">
      <c r="B252" s="820" t="s">
        <v>135</v>
      </c>
      <c r="D252" s="843">
        <f t="shared" si="30"/>
        <v>64820.055974755422</v>
      </c>
      <c r="E252" s="843">
        <f t="shared" si="30"/>
        <v>376058.08153024461</v>
      </c>
      <c r="F252" s="843">
        <f t="shared" si="30"/>
        <v>917426.25757693232</v>
      </c>
      <c r="G252" s="843">
        <f t="shared" si="30"/>
        <v>0</v>
      </c>
      <c r="H252" s="843">
        <f t="shared" si="30"/>
        <v>318902.615678292</v>
      </c>
      <c r="I252" s="843">
        <f t="shared" si="30"/>
        <v>4777534.7304569669</v>
      </c>
      <c r="J252" s="843">
        <f t="shared" si="30"/>
        <v>701030.8579778563</v>
      </c>
    </row>
    <row r="253" spans="2:10" x14ac:dyDescent="0.2">
      <c r="B253" s="820" t="s">
        <v>148</v>
      </c>
      <c r="D253" s="843">
        <f t="shared" si="30"/>
        <v>76867.760059155669</v>
      </c>
      <c r="E253" s="843">
        <f t="shared" si="30"/>
        <v>0</v>
      </c>
      <c r="F253" s="843">
        <f t="shared" si="30"/>
        <v>0</v>
      </c>
      <c r="G253" s="843">
        <f t="shared" si="30"/>
        <v>0</v>
      </c>
      <c r="H253" s="843">
        <f t="shared" si="30"/>
        <v>1313999.217936306</v>
      </c>
      <c r="I253" s="851">
        <f t="shared" si="30"/>
        <v>26433.154452651961</v>
      </c>
      <c r="J253" s="843">
        <f t="shared" si="30"/>
        <v>0</v>
      </c>
    </row>
    <row r="254" spans="2:10" x14ac:dyDescent="0.2">
      <c r="B254" s="820" t="s">
        <v>137</v>
      </c>
      <c r="D254" s="843">
        <f t="shared" si="30"/>
        <v>0</v>
      </c>
      <c r="E254" s="843">
        <f t="shared" si="30"/>
        <v>0</v>
      </c>
      <c r="F254" s="843">
        <f t="shared" si="30"/>
        <v>0</v>
      </c>
      <c r="G254" s="843">
        <f t="shared" si="30"/>
        <v>0</v>
      </c>
      <c r="H254" s="843">
        <f t="shared" si="30"/>
        <v>165837.78467925912</v>
      </c>
      <c r="I254" s="843">
        <f t="shared" si="30"/>
        <v>366009.81327961356</v>
      </c>
      <c r="J254" s="843">
        <f t="shared" si="30"/>
        <v>141899.51586221025</v>
      </c>
    </row>
    <row r="255" spans="2:10" x14ac:dyDescent="0.2">
      <c r="B255" s="820" t="s">
        <v>145</v>
      </c>
      <c r="D255" s="843">
        <f t="shared" si="30"/>
        <v>0</v>
      </c>
      <c r="E255" s="843">
        <f t="shared" si="30"/>
        <v>0</v>
      </c>
      <c r="F255" s="843">
        <f t="shared" si="30"/>
        <v>0</v>
      </c>
      <c r="G255" s="843">
        <f t="shared" si="30"/>
        <v>0</v>
      </c>
      <c r="H255" s="843">
        <f t="shared" si="30"/>
        <v>156128.12599507827</v>
      </c>
      <c r="I255" s="843">
        <f t="shared" si="30"/>
        <v>84984.43780976416</v>
      </c>
      <c r="J255" s="843">
        <f t="shared" si="30"/>
        <v>0</v>
      </c>
    </row>
    <row r="256" spans="2:10" x14ac:dyDescent="0.2">
      <c r="B256" s="820" t="s">
        <v>140</v>
      </c>
      <c r="D256" s="843">
        <f t="shared" si="30"/>
        <v>0</v>
      </c>
      <c r="E256" s="843">
        <f t="shared" si="30"/>
        <v>17051.526632297304</v>
      </c>
      <c r="F256" s="843">
        <f t="shared" si="30"/>
        <v>9034.3500447187071</v>
      </c>
      <c r="G256" s="843">
        <f t="shared" si="30"/>
        <v>0</v>
      </c>
      <c r="H256" s="843">
        <f t="shared" si="30"/>
        <v>0</v>
      </c>
      <c r="I256" s="843">
        <f t="shared" si="30"/>
        <v>0</v>
      </c>
      <c r="J256" s="843">
        <f t="shared" si="30"/>
        <v>183338.8203859115</v>
      </c>
    </row>
    <row r="257" spans="2:11" x14ac:dyDescent="0.2">
      <c r="B257" s="820" t="s">
        <v>134</v>
      </c>
      <c r="D257" s="843">
        <f t="shared" si="30"/>
        <v>399.52726633036394</v>
      </c>
      <c r="E257" s="843">
        <f t="shared" si="30"/>
        <v>6776.2569709273967</v>
      </c>
      <c r="F257" s="843">
        <f t="shared" si="30"/>
        <v>18468.120200392172</v>
      </c>
      <c r="G257" s="843">
        <f t="shared" si="30"/>
        <v>0</v>
      </c>
      <c r="H257" s="843">
        <f t="shared" si="30"/>
        <v>6961.7446557978219</v>
      </c>
      <c r="I257" s="843">
        <f t="shared" si="30"/>
        <v>38431.344658948758</v>
      </c>
      <c r="J257" s="843">
        <f t="shared" si="30"/>
        <v>0</v>
      </c>
    </row>
    <row r="258" spans="2:11" x14ac:dyDescent="0.2">
      <c r="B258" s="820" t="s">
        <v>136</v>
      </c>
      <c r="D258" s="843">
        <f t="shared" si="30"/>
        <v>2136.1792859950597</v>
      </c>
      <c r="E258" s="843">
        <f t="shared" si="30"/>
        <v>129562.83929600603</v>
      </c>
      <c r="F258" s="843">
        <f t="shared" si="30"/>
        <v>64333.681338162052</v>
      </c>
      <c r="G258" s="843">
        <f t="shared" si="30"/>
        <v>0</v>
      </c>
      <c r="H258" s="843">
        <f t="shared" si="30"/>
        <v>25680.601825597892</v>
      </c>
      <c r="I258" s="843">
        <f t="shared" si="30"/>
        <v>6951.052922491519</v>
      </c>
      <c r="J258" s="843">
        <f t="shared" si="30"/>
        <v>0</v>
      </c>
    </row>
    <row r="259" spans="2:11" x14ac:dyDescent="0.2">
      <c r="B259" s="820" t="s">
        <v>147</v>
      </c>
      <c r="D259" s="843">
        <f t="shared" si="30"/>
        <v>0</v>
      </c>
      <c r="E259" s="843">
        <f t="shared" si="30"/>
        <v>0</v>
      </c>
      <c r="F259" s="843">
        <f t="shared" si="30"/>
        <v>0</v>
      </c>
      <c r="G259" s="843">
        <f t="shared" si="30"/>
        <v>0</v>
      </c>
      <c r="H259" s="843">
        <f t="shared" si="30"/>
        <v>0</v>
      </c>
      <c r="I259" s="843">
        <f t="shared" si="30"/>
        <v>1627340.0578838591</v>
      </c>
      <c r="J259" s="843">
        <f t="shared" si="30"/>
        <v>0</v>
      </c>
    </row>
    <row r="260" spans="2:11" x14ac:dyDescent="0.2">
      <c r="B260" s="820" t="s">
        <v>230</v>
      </c>
      <c r="D260" s="843">
        <f t="shared" si="30"/>
        <v>62274.563181020989</v>
      </c>
      <c r="E260" s="843">
        <f t="shared" si="30"/>
        <v>441014.8087608855</v>
      </c>
      <c r="F260" s="843">
        <f t="shared" si="30"/>
        <v>259782.3599003111</v>
      </c>
      <c r="G260" s="843">
        <f t="shared" si="30"/>
        <v>0</v>
      </c>
      <c r="H260" s="843">
        <f t="shared" si="30"/>
        <v>0</v>
      </c>
      <c r="I260" s="843">
        <f t="shared" si="30"/>
        <v>660954.99896596652</v>
      </c>
      <c r="J260" s="843">
        <f t="shared" si="30"/>
        <v>0</v>
      </c>
    </row>
    <row r="261" spans="2:11" x14ac:dyDescent="0.2">
      <c r="B261" s="820" t="s">
        <v>157</v>
      </c>
      <c r="D261" s="843">
        <f t="shared" ref="D261:J266" si="31">+D227*D94</f>
        <v>0</v>
      </c>
      <c r="E261" s="843">
        <f t="shared" si="31"/>
        <v>0</v>
      </c>
      <c r="F261" s="843">
        <f t="shared" si="31"/>
        <v>0</v>
      </c>
      <c r="G261" s="843">
        <f t="shared" si="31"/>
        <v>0</v>
      </c>
      <c r="H261" s="843">
        <f t="shared" si="31"/>
        <v>0</v>
      </c>
      <c r="I261" s="843">
        <f t="shared" si="31"/>
        <v>1137530.4356053162</v>
      </c>
      <c r="J261" s="843">
        <f t="shared" si="31"/>
        <v>104717.95545818273</v>
      </c>
    </row>
    <row r="262" spans="2:11" x14ac:dyDescent="0.2">
      <c r="B262" s="820" t="s">
        <v>150</v>
      </c>
      <c r="D262" s="843">
        <f t="shared" si="31"/>
        <v>0</v>
      </c>
      <c r="E262" s="843">
        <f t="shared" si="31"/>
        <v>223103.16562129412</v>
      </c>
      <c r="F262" s="843">
        <f t="shared" si="31"/>
        <v>110780.59141497975</v>
      </c>
      <c r="G262" s="843">
        <f t="shared" si="31"/>
        <v>0</v>
      </c>
      <c r="H262" s="843">
        <f t="shared" si="31"/>
        <v>0</v>
      </c>
      <c r="I262" s="843">
        <f t="shared" si="31"/>
        <v>1180040.6227680151</v>
      </c>
      <c r="J262" s="843">
        <f t="shared" si="31"/>
        <v>190043.10615816183</v>
      </c>
    </row>
    <row r="263" spans="2:11" x14ac:dyDescent="0.2">
      <c r="B263" s="820" t="s">
        <v>151</v>
      </c>
      <c r="D263" s="843">
        <f t="shared" si="31"/>
        <v>0</v>
      </c>
      <c r="E263" s="843">
        <f t="shared" si="31"/>
        <v>209512.07825403128</v>
      </c>
      <c r="F263" s="843">
        <f t="shared" si="31"/>
        <v>104032.01529179842</v>
      </c>
      <c r="G263" s="843">
        <f t="shared" si="31"/>
        <v>0</v>
      </c>
      <c r="H263" s="843">
        <f t="shared" si="31"/>
        <v>0</v>
      </c>
      <c r="I263" s="843">
        <f t="shared" si="31"/>
        <v>0</v>
      </c>
      <c r="J263" s="843">
        <f t="shared" si="31"/>
        <v>0</v>
      </c>
    </row>
    <row r="264" spans="2:11" x14ac:dyDescent="0.2">
      <c r="B264" s="820" t="s">
        <v>153</v>
      </c>
      <c r="D264" s="843">
        <f t="shared" si="31"/>
        <v>0</v>
      </c>
      <c r="E264" s="843">
        <f t="shared" si="31"/>
        <v>1166986.4798026008</v>
      </c>
      <c r="F264" s="843">
        <f t="shared" si="31"/>
        <v>646966.07052205491</v>
      </c>
      <c r="G264" s="843">
        <f t="shared" si="31"/>
        <v>0</v>
      </c>
      <c r="H264" s="843">
        <f t="shared" si="31"/>
        <v>0</v>
      </c>
      <c r="I264" s="843">
        <f t="shared" si="31"/>
        <v>693001.20685983275</v>
      </c>
      <c r="J264" s="843">
        <f t="shared" si="31"/>
        <v>93293.185753946746</v>
      </c>
    </row>
    <row r="265" spans="2:11" x14ac:dyDescent="0.2">
      <c r="B265" s="820" t="s">
        <v>159</v>
      </c>
      <c r="D265" s="843">
        <f t="shared" si="31"/>
        <v>19527.219928115152</v>
      </c>
      <c r="E265" s="843">
        <f t="shared" si="31"/>
        <v>0</v>
      </c>
      <c r="F265" s="843">
        <f t="shared" si="31"/>
        <v>0</v>
      </c>
      <c r="G265" s="843">
        <f t="shared" si="31"/>
        <v>0</v>
      </c>
      <c r="H265" s="843">
        <f t="shared" si="31"/>
        <v>0</v>
      </c>
      <c r="I265" s="843">
        <f t="shared" si="31"/>
        <v>0</v>
      </c>
      <c r="J265" s="843">
        <f t="shared" si="31"/>
        <v>0</v>
      </c>
    </row>
    <row r="266" spans="2:11" x14ac:dyDescent="0.2">
      <c r="B266" s="820" t="s">
        <v>154</v>
      </c>
      <c r="D266" s="843">
        <f t="shared" si="31"/>
        <v>0</v>
      </c>
      <c r="E266" s="843">
        <f t="shared" si="31"/>
        <v>56812.610536924461</v>
      </c>
      <c r="F266" s="843">
        <f t="shared" si="31"/>
        <v>28209.974419604096</v>
      </c>
      <c r="G266" s="843">
        <f t="shared" si="31"/>
        <v>0</v>
      </c>
      <c r="H266" s="843">
        <f t="shared" si="31"/>
        <v>0</v>
      </c>
      <c r="I266" s="843">
        <f t="shared" si="31"/>
        <v>0</v>
      </c>
      <c r="J266" s="843">
        <f t="shared" si="31"/>
        <v>0</v>
      </c>
    </row>
    <row r="267" spans="2:11" x14ac:dyDescent="0.2">
      <c r="B267" s="820" t="s">
        <v>155</v>
      </c>
      <c r="D267" s="843">
        <f>+D233*D100</f>
        <v>0</v>
      </c>
      <c r="E267" s="843"/>
      <c r="F267" s="843">
        <f>+F233*F100</f>
        <v>0</v>
      </c>
      <c r="G267" s="843"/>
      <c r="H267" s="843">
        <f>+H233*H100</f>
        <v>0</v>
      </c>
      <c r="I267" s="843"/>
      <c r="J267" s="843">
        <f>+J233*J100</f>
        <v>0</v>
      </c>
    </row>
    <row r="268" spans="2:11" x14ac:dyDescent="0.2">
      <c r="B268" s="820" t="s">
        <v>156</v>
      </c>
      <c r="D268" s="843">
        <f>+D234*D101</f>
        <v>0</v>
      </c>
      <c r="E268" s="843"/>
      <c r="F268" s="843">
        <f>+F234*F101</f>
        <v>0</v>
      </c>
      <c r="G268" s="843">
        <f>+G234*G101</f>
        <v>0</v>
      </c>
      <c r="H268" s="843">
        <f>+H234*H101</f>
        <v>0</v>
      </c>
      <c r="I268" s="843">
        <f>+I234*I101</f>
        <v>0</v>
      </c>
      <c r="J268" s="843">
        <f>+J234*J101</f>
        <v>0</v>
      </c>
    </row>
    <row r="269" spans="2:11" x14ac:dyDescent="0.2">
      <c r="B269" s="820" t="s">
        <v>152</v>
      </c>
      <c r="D269" s="843">
        <f>+D235*D102</f>
        <v>0</v>
      </c>
      <c r="E269" s="843"/>
      <c r="F269" s="843">
        <f>+F235*F102</f>
        <v>0</v>
      </c>
      <c r="G269" s="843">
        <f>+G235*G102</f>
        <v>0</v>
      </c>
      <c r="H269" s="843">
        <f>+H235*H102</f>
        <v>0</v>
      </c>
      <c r="I269" s="843"/>
      <c r="J269" s="843"/>
    </row>
    <row r="270" spans="2:11" x14ac:dyDescent="0.2">
      <c r="B270" s="820" t="s">
        <v>133</v>
      </c>
      <c r="D270" s="852">
        <f>+D236*D103</f>
        <v>4550.4667633115168</v>
      </c>
      <c r="E270" s="852">
        <f>+E236*E103</f>
        <v>0</v>
      </c>
      <c r="F270" s="852">
        <f>+F236*F103</f>
        <v>0</v>
      </c>
      <c r="G270" s="852">
        <f>+G236*G103</f>
        <v>0</v>
      </c>
      <c r="H270" s="852">
        <f>+H236*H103</f>
        <v>0</v>
      </c>
      <c r="I270" s="852">
        <f>+I236*I103</f>
        <v>0</v>
      </c>
      <c r="J270" s="852">
        <f>+J236*J103</f>
        <v>0</v>
      </c>
    </row>
    <row r="271" spans="2:11" x14ac:dyDescent="0.2">
      <c r="C271" s="853" t="s">
        <v>587</v>
      </c>
      <c r="D271" s="854">
        <f>SUM(D245:D270)</f>
        <v>502523.52904275048</v>
      </c>
      <c r="E271" s="854">
        <f t="shared" ref="E271:J271" si="32">SUM(E245:E270)</f>
        <v>3184835.2493973104</v>
      </c>
      <c r="F271" s="854">
        <f t="shared" si="32"/>
        <v>2827721.6046299152</v>
      </c>
      <c r="G271" s="854">
        <f t="shared" si="32"/>
        <v>0</v>
      </c>
      <c r="H271" s="854">
        <f t="shared" si="32"/>
        <v>3035629.487601574</v>
      </c>
      <c r="I271" s="855">
        <f t="shared" si="32"/>
        <v>14193629.504940238</v>
      </c>
      <c r="J271" s="854">
        <f t="shared" si="32"/>
        <v>2622363.9912508978</v>
      </c>
      <c r="K271" s="856">
        <f>J271+I271+H271+F271+D271</f>
        <v>23181868.117465377</v>
      </c>
    </row>
    <row r="272" spans="2:11" x14ac:dyDescent="0.2">
      <c r="B272" s="821" t="s">
        <v>588</v>
      </c>
      <c r="D272" s="856">
        <f>+D174-D271</f>
        <v>0</v>
      </c>
      <c r="E272" s="856">
        <f>+E174-E271</f>
        <v>1249951.7305287598</v>
      </c>
      <c r="F272" s="856"/>
      <c r="G272" s="856">
        <f>+G174-G271</f>
        <v>0</v>
      </c>
      <c r="H272" s="856">
        <f>+H174-H271</f>
        <v>0</v>
      </c>
      <c r="I272" s="856">
        <f>+I174-I271</f>
        <v>601502.74287982658</v>
      </c>
      <c r="J272" s="856">
        <f>+J174-J271</f>
        <v>55591.350318095647</v>
      </c>
      <c r="K272" s="856">
        <f>J272+I272+H272+F272+D272</f>
        <v>657094.09319792222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8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B108" sqref="B108"/>
    </sheetView>
  </sheetViews>
  <sheetFormatPr defaultColWidth="11.42578125" defaultRowHeight="15.75" x14ac:dyDescent="0.25"/>
  <cols>
    <col min="1" max="1" width="51.5703125" style="673" bestFit="1" customWidth="1"/>
    <col min="2" max="2" width="16.140625" style="673" bestFit="1" customWidth="1"/>
    <col min="3" max="3" width="14.28515625" style="673" customWidth="1"/>
    <col min="4" max="4" width="17.5703125" style="673" bestFit="1" customWidth="1"/>
    <col min="5" max="5" width="11.42578125" style="673" customWidth="1"/>
    <col min="6" max="6" width="13.28515625" style="673" customWidth="1"/>
    <col min="7" max="8" width="11.42578125" style="673" customWidth="1"/>
    <col min="9" max="9" width="48.7109375" style="673" customWidth="1"/>
    <col min="10" max="11" width="11.42578125" style="673" customWidth="1"/>
    <col min="12" max="12" width="16.5703125" style="673" bestFit="1" customWidth="1"/>
    <col min="13" max="13" width="11.42578125" style="673" customWidth="1"/>
    <col min="14" max="14" width="30.42578125" style="673" bestFit="1" customWidth="1"/>
    <col min="15" max="16384" width="11.42578125" style="673"/>
  </cols>
  <sheetData>
    <row r="1" spans="1:7" x14ac:dyDescent="0.25">
      <c r="A1" s="782" t="s">
        <v>542</v>
      </c>
      <c r="B1" s="778" t="str">
        <f>'1. Storm Drainage Fee Calc Sum'!$J$1</f>
        <v>Internal</v>
      </c>
      <c r="C1" s="783"/>
      <c r="G1" s="674" t="s">
        <v>439</v>
      </c>
    </row>
    <row r="2" spans="1:7" x14ac:dyDescent="0.25">
      <c r="A2" s="782" t="s">
        <v>406</v>
      </c>
      <c r="B2" s="779" t="str">
        <f>'1. Storm Drainage Fee Calc Sum'!$J$2</f>
        <v>Working Draft - v9</v>
      </c>
      <c r="C2" s="783"/>
      <c r="G2" s="674"/>
    </row>
    <row r="3" spans="1:7" x14ac:dyDescent="0.25">
      <c r="A3" s="782" t="s">
        <v>438</v>
      </c>
      <c r="B3" s="780">
        <f>'1. Storm Drainage Fee Calc Sum'!$J$3</f>
        <v>41289</v>
      </c>
      <c r="C3" s="783"/>
      <c r="G3" s="674"/>
    </row>
    <row r="4" spans="1:7" x14ac:dyDescent="0.25">
      <c r="A4" s="782" t="s">
        <v>543</v>
      </c>
      <c r="B4" s="581"/>
      <c r="C4" s="783"/>
      <c r="G4" s="674"/>
    </row>
    <row r="5" spans="1:7" x14ac:dyDescent="0.25">
      <c r="A5" s="783"/>
      <c r="B5" s="783"/>
      <c r="C5" s="783"/>
      <c r="G5" s="674"/>
    </row>
    <row r="6" spans="1:7" x14ac:dyDescent="0.25">
      <c r="A6" s="783"/>
      <c r="B6" s="783"/>
      <c r="C6" s="783"/>
      <c r="G6" s="674"/>
    </row>
    <row r="7" spans="1:7" x14ac:dyDescent="0.25">
      <c r="A7" s="783"/>
      <c r="B7" s="784"/>
      <c r="C7" s="783"/>
      <c r="G7" s="674"/>
    </row>
    <row r="8" spans="1:7" x14ac:dyDescent="0.25">
      <c r="A8" s="783"/>
      <c r="B8" s="783"/>
      <c r="C8" s="783"/>
      <c r="D8" s="676"/>
      <c r="E8" s="676"/>
      <c r="F8" s="676"/>
      <c r="G8" s="674"/>
    </row>
    <row r="9" spans="1:7" x14ac:dyDescent="0.25">
      <c r="A9" s="785" t="s">
        <v>392</v>
      </c>
      <c r="B9" s="786" t="s">
        <v>440</v>
      </c>
      <c r="C9" s="783"/>
      <c r="D9" s="676"/>
      <c r="E9" s="676"/>
      <c r="F9" s="676"/>
      <c r="G9" s="674"/>
    </row>
    <row r="10" spans="1:7" x14ac:dyDescent="0.25">
      <c r="A10" s="787"/>
      <c r="B10" s="787"/>
      <c r="C10" s="783"/>
      <c r="D10" s="679"/>
      <c r="E10" s="679"/>
      <c r="F10" s="676"/>
      <c r="G10" s="674"/>
    </row>
    <row r="11" spans="1:7" x14ac:dyDescent="0.25">
      <c r="A11" s="783" t="s">
        <v>496</v>
      </c>
      <c r="B11" s="788">
        <v>0.02</v>
      </c>
      <c r="C11" s="783"/>
      <c r="D11" s="676"/>
      <c r="E11" s="676"/>
      <c r="F11" s="676"/>
      <c r="G11" s="674"/>
    </row>
    <row r="12" spans="1:7" x14ac:dyDescent="0.25">
      <c r="A12" s="783" t="s">
        <v>441</v>
      </c>
      <c r="B12" s="789">
        <v>30</v>
      </c>
      <c r="C12" s="783"/>
      <c r="G12" s="674"/>
    </row>
    <row r="13" spans="1:7" x14ac:dyDescent="0.25">
      <c r="A13" s="783" t="s">
        <v>442</v>
      </c>
      <c r="B13" s="789">
        <v>1</v>
      </c>
      <c r="C13" s="783"/>
      <c r="G13" s="674"/>
    </row>
    <row r="14" spans="1:7" x14ac:dyDescent="0.25">
      <c r="A14" s="783" t="s">
        <v>500</v>
      </c>
      <c r="B14" s="790">
        <f>(PMT(B11/B13,B12*B13,-1000))*B13</f>
        <v>44.649922293402959</v>
      </c>
      <c r="C14" s="791"/>
      <c r="D14" s="681"/>
      <c r="E14" s="681"/>
      <c r="F14" s="681"/>
      <c r="G14" s="674"/>
    </row>
    <row r="15" spans="1:7" hidden="1" x14ac:dyDescent="0.25">
      <c r="A15" s="783" t="s">
        <v>443</v>
      </c>
      <c r="B15" s="790">
        <f>(-PMT(B11/B13,B12*B13,B34,0))*B13</f>
        <v>14451.486502796428</v>
      </c>
      <c r="C15" s="792"/>
      <c r="D15" s="681"/>
      <c r="E15" s="681"/>
      <c r="F15" s="681"/>
      <c r="G15" s="674"/>
    </row>
    <row r="16" spans="1:7" x14ac:dyDescent="0.25">
      <c r="A16" s="783" t="s">
        <v>501</v>
      </c>
      <c r="B16" s="790">
        <f>(B14-((PMT(0/B13,B12*B13,-1000))*B13))</f>
        <v>11.316588960069623</v>
      </c>
      <c r="C16" s="792"/>
      <c r="D16" s="681"/>
      <c r="E16" s="681"/>
      <c r="F16" s="681"/>
      <c r="G16" s="674"/>
    </row>
    <row r="17" spans="1:7" x14ac:dyDescent="0.25">
      <c r="A17" s="783"/>
      <c r="B17" s="790"/>
      <c r="C17" s="792"/>
      <c r="D17" s="681"/>
      <c r="E17" s="681"/>
      <c r="F17" s="681"/>
      <c r="G17" s="674"/>
    </row>
    <row r="18" spans="1:7" hidden="1" x14ac:dyDescent="0.25">
      <c r="A18" s="783"/>
      <c r="B18" s="790"/>
      <c r="C18" s="792"/>
      <c r="D18" s="681"/>
      <c r="E18" s="681"/>
      <c r="F18" s="681"/>
      <c r="G18" s="674"/>
    </row>
    <row r="19" spans="1:7" hidden="1" x14ac:dyDescent="0.25">
      <c r="A19" s="783"/>
      <c r="B19" s="792"/>
      <c r="C19" s="792"/>
      <c r="D19" s="681"/>
      <c r="E19" s="681"/>
      <c r="F19" s="681"/>
      <c r="G19" s="674"/>
    </row>
    <row r="20" spans="1:7" hidden="1" x14ac:dyDescent="0.25">
      <c r="A20" s="783" t="s">
        <v>444</v>
      </c>
      <c r="B20" s="792">
        <f>'1. Storm Drainage Fee Calc Sum'!B23</f>
        <v>323662.07510582026</v>
      </c>
      <c r="C20" s="793"/>
      <c r="D20" s="682"/>
      <c r="G20" s="674"/>
    </row>
    <row r="21" spans="1:7" hidden="1" x14ac:dyDescent="0.25">
      <c r="A21" s="783"/>
      <c r="B21" s="794"/>
      <c r="C21" s="783"/>
      <c r="D21" s="683"/>
      <c r="E21" s="707"/>
      <c r="G21" s="674"/>
    </row>
    <row r="22" spans="1:7" hidden="1" x14ac:dyDescent="0.25">
      <c r="A22" s="783" t="s">
        <v>445</v>
      </c>
      <c r="B22" s="792">
        <f>SUM(B20:B20)</f>
        <v>323662.07510582026</v>
      </c>
      <c r="C22" s="795">
        <f>B22/B34</f>
        <v>1</v>
      </c>
      <c r="E22" s="707"/>
      <c r="F22" s="707"/>
      <c r="G22" s="674"/>
    </row>
    <row r="23" spans="1:7" hidden="1" x14ac:dyDescent="0.25">
      <c r="A23" s="783"/>
      <c r="B23" s="783"/>
      <c r="C23" s="783"/>
      <c r="G23" s="674"/>
    </row>
    <row r="24" spans="1:7" hidden="1" x14ac:dyDescent="0.25">
      <c r="A24" s="783" t="s">
        <v>446</v>
      </c>
      <c r="B24" s="792"/>
      <c r="C24" s="792"/>
      <c r="D24" s="681"/>
      <c r="E24" s="681"/>
      <c r="F24" s="681"/>
      <c r="G24" s="674"/>
    </row>
    <row r="25" spans="1:7" hidden="1" x14ac:dyDescent="0.25">
      <c r="A25" s="783" t="s">
        <v>447</v>
      </c>
      <c r="B25" s="792">
        <f>B62+$B$34*C62</f>
        <v>0</v>
      </c>
      <c r="C25" s="792"/>
      <c r="D25" s="681"/>
      <c r="E25" s="681"/>
      <c r="F25" s="681"/>
      <c r="G25" s="674"/>
    </row>
    <row r="26" spans="1:7" hidden="1" x14ac:dyDescent="0.25">
      <c r="A26" s="783" t="s">
        <v>448</v>
      </c>
      <c r="B26" s="792">
        <f>B63+$B$34*C63</f>
        <v>0</v>
      </c>
      <c r="C26" s="796">
        <f>B26/B34</f>
        <v>0</v>
      </c>
      <c r="D26" s="681"/>
      <c r="E26" s="681"/>
      <c r="F26" s="681"/>
      <c r="G26" s="674"/>
    </row>
    <row r="27" spans="1:7" hidden="1" x14ac:dyDescent="0.25">
      <c r="A27" s="783" t="s">
        <v>449</v>
      </c>
      <c r="B27" s="792">
        <f>B64+$B$34*C64</f>
        <v>0</v>
      </c>
      <c r="C27" s="783"/>
      <c r="G27" s="674"/>
    </row>
    <row r="28" spans="1:7" hidden="1" x14ac:dyDescent="0.25">
      <c r="A28" s="783" t="s">
        <v>450</v>
      </c>
      <c r="B28" s="792">
        <f>B65+$B$34*C65</f>
        <v>0</v>
      </c>
      <c r="C28" s="795"/>
      <c r="D28" s="681"/>
      <c r="E28" s="681"/>
      <c r="F28" s="681"/>
      <c r="G28" s="674"/>
    </row>
    <row r="29" spans="1:7" hidden="1" x14ac:dyDescent="0.25">
      <c r="A29" s="783" t="s">
        <v>451</v>
      </c>
      <c r="B29" s="792">
        <f>B66+$B$34*C66</f>
        <v>0</v>
      </c>
      <c r="C29" s="795"/>
      <c r="G29" s="674"/>
    </row>
    <row r="30" spans="1:7" hidden="1" x14ac:dyDescent="0.25">
      <c r="A30" s="783" t="s">
        <v>452</v>
      </c>
      <c r="B30" s="792">
        <f>SUM(B68:B71)+$B$34*SUM(C68:C71)</f>
        <v>0</v>
      </c>
      <c r="C30" s="795"/>
      <c r="G30" s="674"/>
    </row>
    <row r="31" spans="1:7" hidden="1" x14ac:dyDescent="0.25">
      <c r="A31" s="783"/>
      <c r="B31" s="794"/>
      <c r="C31" s="797"/>
      <c r="D31" s="681"/>
      <c r="E31" s="681"/>
      <c r="F31" s="681"/>
      <c r="G31" s="674"/>
    </row>
    <row r="32" spans="1:7" hidden="1" x14ac:dyDescent="0.25">
      <c r="A32" s="783" t="s">
        <v>453</v>
      </c>
      <c r="B32" s="792">
        <f>SUM(B24:B31)</f>
        <v>0</v>
      </c>
      <c r="C32" s="788">
        <f>B32/B34</f>
        <v>0</v>
      </c>
      <c r="G32" s="674"/>
    </row>
    <row r="33" spans="1:7" hidden="1" x14ac:dyDescent="0.25">
      <c r="A33" s="783"/>
      <c r="B33" s="794"/>
      <c r="C33" s="788"/>
      <c r="G33" s="674"/>
    </row>
    <row r="34" spans="1:7" hidden="1" x14ac:dyDescent="0.25">
      <c r="A34" s="792" t="s">
        <v>454</v>
      </c>
      <c r="B34" s="792">
        <f>(+B22+B73)/(1-C73)</f>
        <v>323662.07510582026</v>
      </c>
      <c r="C34" s="788">
        <f>SUM(C22:C33)</f>
        <v>1</v>
      </c>
      <c r="G34" s="674"/>
    </row>
    <row r="35" spans="1:7" hidden="1" x14ac:dyDescent="0.25">
      <c r="A35" s="783"/>
      <c r="B35" s="783"/>
      <c r="C35" s="783"/>
      <c r="G35" s="674"/>
    </row>
    <row r="36" spans="1:7" hidden="1" x14ac:dyDescent="0.25">
      <c r="A36" s="783" t="s">
        <v>455</v>
      </c>
      <c r="B36" s="792">
        <f>B22+B32</f>
        <v>323662.07510582026</v>
      </c>
      <c r="C36" s="783"/>
      <c r="D36" s="681"/>
      <c r="E36" s="681"/>
      <c r="F36" s="681"/>
      <c r="G36" s="674"/>
    </row>
    <row r="37" spans="1:7" hidden="1" x14ac:dyDescent="0.25">
      <c r="A37" s="783"/>
      <c r="B37" s="783"/>
      <c r="C37" s="783"/>
      <c r="G37" s="674"/>
    </row>
    <row r="38" spans="1:7" hidden="1" x14ac:dyDescent="0.25">
      <c r="A38" s="783" t="s">
        <v>456</v>
      </c>
      <c r="B38" s="792">
        <f>IF(MOD(B34,5000)&gt;0,TRUNC(B34/5000)*5000+5000,B34)</f>
        <v>325000</v>
      </c>
      <c r="C38" s="792"/>
      <c r="G38" s="674"/>
    </row>
    <row r="39" spans="1:7" hidden="1" x14ac:dyDescent="0.25">
      <c r="A39" s="787" t="s">
        <v>457</v>
      </c>
      <c r="B39" s="792"/>
      <c r="C39" s="792"/>
      <c r="G39" s="674"/>
    </row>
    <row r="40" spans="1:7" x14ac:dyDescent="0.25">
      <c r="A40" s="783"/>
      <c r="B40" s="783"/>
      <c r="C40" s="783"/>
      <c r="G40" s="674"/>
    </row>
    <row r="41" spans="1:7" hidden="1" x14ac:dyDescent="0.25">
      <c r="A41" s="783" t="s">
        <v>495</v>
      </c>
      <c r="B41" s="783"/>
      <c r="C41" s="783"/>
      <c r="G41" s="674"/>
    </row>
    <row r="42" spans="1:7" x14ac:dyDescent="0.25">
      <c r="A42" s="783"/>
      <c r="B42" s="783"/>
      <c r="C42" s="783"/>
      <c r="G42" s="674"/>
    </row>
    <row r="43" spans="1:7" x14ac:dyDescent="0.25">
      <c r="A43" s="798" t="s">
        <v>510</v>
      </c>
      <c r="B43" s="783"/>
      <c r="C43" s="783"/>
      <c r="G43" s="674"/>
    </row>
    <row r="44" spans="1:7" x14ac:dyDescent="0.25">
      <c r="A44" s="783"/>
      <c r="B44" s="783"/>
      <c r="C44" s="783"/>
      <c r="G44" s="674"/>
    </row>
    <row r="45" spans="1:7" x14ac:dyDescent="0.25">
      <c r="A45" s="798" t="s">
        <v>511</v>
      </c>
      <c r="B45" s="783"/>
      <c r="C45" s="783"/>
      <c r="G45" s="674"/>
    </row>
    <row r="46" spans="1:7" x14ac:dyDescent="0.25">
      <c r="A46" s="684"/>
      <c r="G46" s="674"/>
    </row>
    <row r="47" spans="1:7" hidden="1" x14ac:dyDescent="0.25"/>
    <row r="48" spans="1:7" hidden="1" x14ac:dyDescent="0.25">
      <c r="A48" s="677"/>
      <c r="B48" s="677"/>
      <c r="C48" s="677"/>
      <c r="D48" s="677"/>
      <c r="E48" s="677"/>
      <c r="F48" s="677"/>
      <c r="G48" s="677"/>
    </row>
    <row r="49" spans="1:4" hidden="1" x14ac:dyDescent="0.25"/>
    <row r="50" spans="1:4" hidden="1" x14ac:dyDescent="0.25">
      <c r="A50" s="673" t="s">
        <v>458</v>
      </c>
    </row>
    <row r="51" spans="1:4" hidden="1" x14ac:dyDescent="0.25"/>
    <row r="52" spans="1:4" hidden="1" x14ac:dyDescent="0.25">
      <c r="A52" s="673" t="s">
        <v>459</v>
      </c>
    </row>
    <row r="53" spans="1:4" hidden="1" x14ac:dyDescent="0.25"/>
    <row r="54" spans="1:4" hidden="1" x14ac:dyDescent="0.25"/>
    <row r="55" spans="1:4" hidden="1" x14ac:dyDescent="0.25">
      <c r="A55" s="685"/>
    </row>
    <row r="56" spans="1:4" hidden="1" x14ac:dyDescent="0.25">
      <c r="A56" s="686"/>
    </row>
    <row r="57" spans="1:4" hidden="1" x14ac:dyDescent="0.25"/>
    <row r="58" spans="1:4" hidden="1" x14ac:dyDescent="0.25"/>
    <row r="59" spans="1:4" hidden="1" x14ac:dyDescent="0.25">
      <c r="A59" s="687"/>
      <c r="B59" s="687" t="s">
        <v>460</v>
      </c>
      <c r="C59" s="687" t="s">
        <v>461</v>
      </c>
      <c r="D59" s="688"/>
    </row>
    <row r="60" spans="1:4" hidden="1" x14ac:dyDescent="0.25">
      <c r="A60" s="678" t="s">
        <v>462</v>
      </c>
      <c r="B60" s="678" t="s">
        <v>463</v>
      </c>
      <c r="C60" s="678" t="s">
        <v>463</v>
      </c>
      <c r="D60" s="678" t="s">
        <v>464</v>
      </c>
    </row>
    <row r="61" spans="1:4" hidden="1" x14ac:dyDescent="0.25"/>
    <row r="62" spans="1:4" hidden="1" x14ac:dyDescent="0.25">
      <c r="A62" s="673" t="s">
        <v>465</v>
      </c>
      <c r="B62" s="689">
        <v>0</v>
      </c>
      <c r="C62" s="690">
        <v>0</v>
      </c>
      <c r="D62" s="673" t="s">
        <v>466</v>
      </c>
    </row>
    <row r="63" spans="1:4" hidden="1" x14ac:dyDescent="0.25">
      <c r="A63" s="673" t="s">
        <v>467</v>
      </c>
      <c r="B63" s="689">
        <v>0</v>
      </c>
      <c r="C63" s="691">
        <v>0</v>
      </c>
      <c r="D63" s="673" t="s">
        <v>468</v>
      </c>
    </row>
    <row r="64" spans="1:4" hidden="1" x14ac:dyDescent="0.25">
      <c r="A64" s="673" t="s">
        <v>469</v>
      </c>
      <c r="B64" s="689">
        <v>0</v>
      </c>
      <c r="C64" s="691">
        <v>0</v>
      </c>
    </row>
    <row r="65" spans="1:6" hidden="1" x14ac:dyDescent="0.25">
      <c r="A65" s="673" t="s">
        <v>470</v>
      </c>
      <c r="B65" s="692">
        <v>0</v>
      </c>
      <c r="C65" s="691">
        <v>0</v>
      </c>
      <c r="D65" s="673" t="s">
        <v>400</v>
      </c>
    </row>
    <row r="66" spans="1:6" hidden="1" x14ac:dyDescent="0.25">
      <c r="A66" s="673" t="s">
        <v>471</v>
      </c>
      <c r="B66" s="693">
        <v>0</v>
      </c>
      <c r="C66" s="693">
        <v>0</v>
      </c>
    </row>
    <row r="67" spans="1:6" hidden="1" x14ac:dyDescent="0.25">
      <c r="A67" s="673" t="s">
        <v>472</v>
      </c>
      <c r="B67" s="681"/>
      <c r="C67" s="694"/>
    </row>
    <row r="68" spans="1:6" hidden="1" x14ac:dyDescent="0.25">
      <c r="A68" s="673" t="s">
        <v>473</v>
      </c>
      <c r="B68" s="692">
        <v>0</v>
      </c>
      <c r="C68" s="693">
        <v>0</v>
      </c>
    </row>
    <row r="69" spans="1:6" hidden="1" x14ac:dyDescent="0.25">
      <c r="A69" s="673" t="s">
        <v>474</v>
      </c>
      <c r="B69" s="692">
        <v>0</v>
      </c>
      <c r="C69" s="693">
        <v>0</v>
      </c>
    </row>
    <row r="70" spans="1:6" hidden="1" x14ac:dyDescent="0.25">
      <c r="A70" s="673" t="s">
        <v>475</v>
      </c>
      <c r="B70" s="692">
        <v>0</v>
      </c>
      <c r="C70" s="693">
        <v>0</v>
      </c>
    </row>
    <row r="71" spans="1:6" hidden="1" x14ac:dyDescent="0.25">
      <c r="A71" s="673" t="s">
        <v>476</v>
      </c>
      <c r="B71" s="695">
        <f>0.1*(B68+B69+B70)</f>
        <v>0</v>
      </c>
      <c r="C71" s="691">
        <v>0</v>
      </c>
    </row>
    <row r="72" spans="1:6" hidden="1" x14ac:dyDescent="0.25">
      <c r="B72" s="696" t="s">
        <v>477</v>
      </c>
      <c r="C72" s="696" t="s">
        <v>477</v>
      </c>
    </row>
    <row r="73" spans="1:6" hidden="1" x14ac:dyDescent="0.25">
      <c r="B73" s="681">
        <f>SUM(B61:B72)</f>
        <v>0</v>
      </c>
      <c r="C73" s="680">
        <f>SUM(C61:C72)</f>
        <v>0</v>
      </c>
      <c r="F73" s="697"/>
    </row>
    <row r="74" spans="1:6" hidden="1" x14ac:dyDescent="0.25">
      <c r="B74" s="681"/>
      <c r="C74" s="680"/>
      <c r="F74" s="697"/>
    </row>
    <row r="75" spans="1:6" hidden="1" x14ac:dyDescent="0.25">
      <c r="B75" s="681"/>
      <c r="F75" s="698"/>
    </row>
    <row r="76" spans="1:6" hidden="1" x14ac:dyDescent="0.25">
      <c r="A76" s="673" t="s">
        <v>478</v>
      </c>
      <c r="B76" s="681">
        <f>B22</f>
        <v>323662.07510582026</v>
      </c>
      <c r="C76" s="699">
        <f>B76/$B$79</f>
        <v>1</v>
      </c>
      <c r="F76" s="682"/>
    </row>
    <row r="77" spans="1:6" hidden="1" x14ac:dyDescent="0.25">
      <c r="A77" s="673" t="s">
        <v>479</v>
      </c>
      <c r="B77" s="681">
        <f>B73</f>
        <v>0</v>
      </c>
      <c r="C77" s="699">
        <f>B77/$B$79</f>
        <v>0</v>
      </c>
      <c r="F77" s="682"/>
    </row>
    <row r="78" spans="1:6" hidden="1" x14ac:dyDescent="0.25">
      <c r="A78" s="673" t="s">
        <v>480</v>
      </c>
      <c r="B78" s="700">
        <f>C73*B34</f>
        <v>0</v>
      </c>
      <c r="C78" s="701">
        <f>B78/$B$79</f>
        <v>0</v>
      </c>
      <c r="F78" s="698"/>
    </row>
    <row r="79" spans="1:6" hidden="1" x14ac:dyDescent="0.25">
      <c r="A79" s="673" t="s">
        <v>481</v>
      </c>
      <c r="B79" s="698">
        <f>SUM(B76:B78)</f>
        <v>323662.07510582026</v>
      </c>
      <c r="C79" s="702">
        <f>SUM(C76:C78)</f>
        <v>1</v>
      </c>
    </row>
    <row r="80" spans="1:6" hidden="1" x14ac:dyDescent="0.25">
      <c r="D80" s="682"/>
    </row>
    <row r="81" spans="1:6" hidden="1" x14ac:dyDescent="0.25">
      <c r="D81" s="682"/>
    </row>
    <row r="82" spans="1:6" hidden="1" x14ac:dyDescent="0.25">
      <c r="A82" s="675" t="s">
        <v>374</v>
      </c>
      <c r="D82" s="682"/>
    </row>
    <row r="83" spans="1:6" hidden="1" x14ac:dyDescent="0.25">
      <c r="A83" s="673" t="s">
        <v>482</v>
      </c>
    </row>
    <row r="84" spans="1:6" hidden="1" x14ac:dyDescent="0.25">
      <c r="A84" s="673" t="s">
        <v>483</v>
      </c>
    </row>
    <row r="85" spans="1:6" hidden="1" x14ac:dyDescent="0.25">
      <c r="F85" s="682"/>
    </row>
    <row r="86" spans="1:6" hidden="1" x14ac:dyDescent="0.25">
      <c r="A86" s="688"/>
      <c r="C86" s="703" t="s">
        <v>484</v>
      </c>
      <c r="D86" s="704"/>
    </row>
    <row r="87" spans="1:6" hidden="1" x14ac:dyDescent="0.25">
      <c r="A87" s="687"/>
      <c r="B87" s="674" t="s">
        <v>485</v>
      </c>
      <c r="C87" s="687" t="s">
        <v>460</v>
      </c>
      <c r="D87" s="687" t="s">
        <v>486</v>
      </c>
    </row>
    <row r="88" spans="1:6" hidden="1" x14ac:dyDescent="0.25">
      <c r="A88" s="678" t="s">
        <v>487</v>
      </c>
      <c r="B88" s="705" t="s">
        <v>488</v>
      </c>
      <c r="C88" s="678" t="s">
        <v>463</v>
      </c>
      <c r="D88" s="678" t="s">
        <v>463</v>
      </c>
    </row>
    <row r="89" spans="1:6" hidden="1" x14ac:dyDescent="0.25"/>
    <row r="90" spans="1:6" hidden="1" x14ac:dyDescent="0.25">
      <c r="A90" s="688" t="s">
        <v>489</v>
      </c>
      <c r="B90" s="681">
        <v>15000</v>
      </c>
      <c r="C90" s="681">
        <v>15000</v>
      </c>
      <c r="D90" s="680">
        <v>0</v>
      </c>
    </row>
    <row r="91" spans="1:6" hidden="1" x14ac:dyDescent="0.25">
      <c r="A91" s="688" t="s">
        <v>490</v>
      </c>
      <c r="B91" s="680">
        <v>0.02</v>
      </c>
      <c r="C91" s="681">
        <v>0</v>
      </c>
      <c r="D91" s="680">
        <v>0.02</v>
      </c>
    </row>
    <row r="92" spans="1:6" hidden="1" x14ac:dyDescent="0.25">
      <c r="A92" s="688" t="s">
        <v>491</v>
      </c>
      <c r="B92" s="680">
        <v>0.01</v>
      </c>
      <c r="C92" s="681">
        <v>20000</v>
      </c>
      <c r="D92" s="680">
        <v>0.01</v>
      </c>
    </row>
    <row r="93" spans="1:6" hidden="1" x14ac:dyDescent="0.25">
      <c r="A93" s="688" t="s">
        <v>492</v>
      </c>
      <c r="B93" s="680">
        <v>5.0000000000000001E-3</v>
      </c>
      <c r="C93" s="681">
        <v>70000</v>
      </c>
      <c r="D93" s="680">
        <v>5.0000000000000001E-3</v>
      </c>
    </row>
    <row r="94" spans="1:6" hidden="1" x14ac:dyDescent="0.25"/>
    <row r="95" spans="1:6" hidden="1" x14ac:dyDescent="0.25">
      <c r="A95" s="673" t="s">
        <v>493</v>
      </c>
    </row>
    <row r="96" spans="1:6" hidden="1" x14ac:dyDescent="0.25">
      <c r="A96" s="673" t="s">
        <v>494</v>
      </c>
    </row>
    <row r="97" spans="1:2" hidden="1" x14ac:dyDescent="0.25"/>
    <row r="98" spans="1:2" hidden="1" x14ac:dyDescent="0.25"/>
    <row r="100" spans="1:2" x14ac:dyDescent="0.25">
      <c r="A100" s="684"/>
      <c r="B100" s="684"/>
    </row>
  </sheetData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17"/>
  <sheetViews>
    <sheetView workbookViewId="0">
      <selection activeCell="A6" sqref="A6"/>
    </sheetView>
  </sheetViews>
  <sheetFormatPr defaultRowHeight="12.75" x14ac:dyDescent="0.2"/>
  <cols>
    <col min="1" max="1" width="36.28515625" bestFit="1" customWidth="1"/>
    <col min="2" max="2" width="42.28515625" customWidth="1"/>
    <col min="3" max="3" width="16.140625" bestFit="1" customWidth="1"/>
  </cols>
  <sheetData>
    <row r="1" spans="1:3" ht="15" x14ac:dyDescent="0.2">
      <c r="A1" s="782" t="s">
        <v>545</v>
      </c>
      <c r="B1" s="782"/>
      <c r="C1" s="778" t="str">
        <f>'1. Storm Drainage Fee Calc Sum'!$J$1</f>
        <v>Internal</v>
      </c>
    </row>
    <row r="2" spans="1:3" ht="15" x14ac:dyDescent="0.2">
      <c r="A2" s="782" t="s">
        <v>406</v>
      </c>
      <c r="B2" s="782"/>
      <c r="C2" s="779" t="str">
        <f>'1. Storm Drainage Fee Calc Sum'!$J$2</f>
        <v>Working Draft - v9</v>
      </c>
    </row>
    <row r="3" spans="1:3" ht="15" x14ac:dyDescent="0.2">
      <c r="A3" s="782" t="s">
        <v>438</v>
      </c>
      <c r="B3" s="782"/>
      <c r="C3" s="780">
        <f>'1. Storm Drainage Fee Calc Sum'!$J$3</f>
        <v>41289</v>
      </c>
    </row>
    <row r="4" spans="1:3" ht="15" x14ac:dyDescent="0.2">
      <c r="A4" s="782" t="s">
        <v>546</v>
      </c>
      <c r="B4" s="782"/>
      <c r="C4" s="581"/>
    </row>
    <row r="16" spans="1:3" ht="13.5" thickBot="1" x14ac:dyDescent="0.25"/>
    <row r="17" spans="2:2" ht="26.25" thickBot="1" x14ac:dyDescent="0.4">
      <c r="B17" s="805" t="s">
        <v>544</v>
      </c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4:H29"/>
  <sheetViews>
    <sheetView view="pageBreakPreview" zoomScaleNormal="100" zoomScaleSheetLayoutView="100" workbookViewId="0">
      <selection activeCell="D19" sqref="D19"/>
    </sheetView>
  </sheetViews>
  <sheetFormatPr defaultColWidth="9.140625" defaultRowHeight="12.75" x14ac:dyDescent="0.2"/>
  <cols>
    <col min="1" max="1" width="10" style="1" customWidth="1"/>
    <col min="2" max="2" width="34.42578125" style="1" customWidth="1"/>
    <col min="3" max="3" width="13.28515625" style="2" customWidth="1"/>
    <col min="4" max="4" width="12" style="1" customWidth="1"/>
    <col min="5" max="5" width="25.7109375" style="2" customWidth="1"/>
    <col min="6" max="6" width="11.7109375" style="1" customWidth="1"/>
    <col min="7" max="8" width="9.5703125" style="1" customWidth="1"/>
    <col min="9" max="13" width="9.5703125" style="2" customWidth="1"/>
    <col min="14" max="16384" width="9.140625" style="2"/>
  </cols>
  <sheetData>
    <row r="4" spans="1:6" x14ac:dyDescent="0.2">
      <c r="E4" s="29" t="s">
        <v>346</v>
      </c>
    </row>
    <row r="5" spans="1:6" ht="26.25" customHeight="1" thickBot="1" x14ac:dyDescent="0.25">
      <c r="D5" s="241"/>
    </row>
    <row r="6" spans="1:6" x14ac:dyDescent="0.2">
      <c r="A6" s="1006" t="s">
        <v>208</v>
      </c>
      <c r="B6" s="1012" t="s">
        <v>117</v>
      </c>
      <c r="C6" s="1012" t="s">
        <v>119</v>
      </c>
      <c r="D6" s="1012" t="s">
        <v>248</v>
      </c>
      <c r="E6" s="1014" t="s">
        <v>201</v>
      </c>
      <c r="F6" s="239" t="s">
        <v>246</v>
      </c>
    </row>
    <row r="7" spans="1:6" ht="13.5" thickBot="1" x14ac:dyDescent="0.25">
      <c r="A7" s="1007"/>
      <c r="B7" s="1013"/>
      <c r="C7" s="1013"/>
      <c r="D7" s="1013"/>
      <c r="E7" s="1015"/>
      <c r="F7" s="240" t="s">
        <v>247</v>
      </c>
    </row>
    <row r="8" spans="1:6" ht="18.75" customHeight="1" x14ac:dyDescent="0.2">
      <c r="A8" s="349" t="s">
        <v>206</v>
      </c>
      <c r="B8" s="350" t="s">
        <v>213</v>
      </c>
      <c r="C8" s="351">
        <v>1500000</v>
      </c>
      <c r="D8" s="351">
        <f>C8*0.5</f>
        <v>750000</v>
      </c>
      <c r="E8" s="352" t="s">
        <v>347</v>
      </c>
      <c r="F8" s="246" t="s">
        <v>243</v>
      </c>
    </row>
    <row r="9" spans="1:6" ht="18.75" customHeight="1" x14ac:dyDescent="0.2">
      <c r="A9" s="196" t="s">
        <v>207</v>
      </c>
      <c r="B9" s="149" t="s">
        <v>214</v>
      </c>
      <c r="C9" s="150">
        <v>1000000</v>
      </c>
      <c r="D9" s="150">
        <f>C9*0.5</f>
        <v>500000</v>
      </c>
      <c r="E9" s="344" t="s">
        <v>348</v>
      </c>
      <c r="F9" s="247" t="s">
        <v>243</v>
      </c>
    </row>
    <row r="10" spans="1:6" ht="18.75" customHeight="1" x14ac:dyDescent="0.2">
      <c r="A10" s="197" t="s">
        <v>209</v>
      </c>
      <c r="B10" s="151" t="s">
        <v>215</v>
      </c>
      <c r="C10" s="152">
        <v>850000</v>
      </c>
      <c r="D10" s="152">
        <f>C10*0.5</f>
        <v>425000</v>
      </c>
      <c r="E10" s="345" t="s">
        <v>349</v>
      </c>
      <c r="F10" s="247" t="s">
        <v>243</v>
      </c>
    </row>
    <row r="11" spans="1:6" ht="18.75" customHeight="1" x14ac:dyDescent="0.2">
      <c r="A11" s="198" t="s">
        <v>210</v>
      </c>
      <c r="B11" s="153" t="s">
        <v>216</v>
      </c>
      <c r="C11" s="154">
        <v>450000</v>
      </c>
      <c r="D11" s="154">
        <f>C11*0.5</f>
        <v>225000</v>
      </c>
      <c r="E11" s="346" t="s">
        <v>350</v>
      </c>
      <c r="F11" s="247" t="s">
        <v>243</v>
      </c>
    </row>
    <row r="12" spans="1:6" ht="18.75" customHeight="1" x14ac:dyDescent="0.2">
      <c r="A12" s="263" t="s">
        <v>333</v>
      </c>
      <c r="B12" s="155" t="s">
        <v>336</v>
      </c>
      <c r="C12" s="156">
        <v>600000</v>
      </c>
      <c r="D12" s="264">
        <f>C12*0.5</f>
        <v>300000</v>
      </c>
      <c r="E12" s="347">
        <v>31</v>
      </c>
      <c r="F12" s="247" t="s">
        <v>243</v>
      </c>
    </row>
    <row r="13" spans="1:6" ht="18.75" customHeight="1" x14ac:dyDescent="0.2">
      <c r="A13" s="263" t="s">
        <v>211</v>
      </c>
      <c r="B13" s="155" t="s">
        <v>217</v>
      </c>
      <c r="C13" s="156">
        <v>400000</v>
      </c>
      <c r="D13" s="264">
        <f>C13*1</f>
        <v>400000</v>
      </c>
      <c r="E13" s="347">
        <v>32</v>
      </c>
      <c r="F13" s="265" t="s">
        <v>208</v>
      </c>
    </row>
    <row r="14" spans="1:6" ht="18.75" customHeight="1" x14ac:dyDescent="0.2">
      <c r="A14" s="196" t="s">
        <v>212</v>
      </c>
      <c r="B14" s="149" t="s">
        <v>218</v>
      </c>
      <c r="C14" s="150">
        <v>700000</v>
      </c>
      <c r="D14" s="150">
        <f t="shared" ref="D14:D24" si="0">C14*1</f>
        <v>700000</v>
      </c>
      <c r="E14" s="344">
        <v>34</v>
      </c>
      <c r="F14" s="348" t="s">
        <v>208</v>
      </c>
    </row>
    <row r="15" spans="1:6" ht="18.75" customHeight="1" x14ac:dyDescent="0.2">
      <c r="A15" s="353" t="s">
        <v>268</v>
      </c>
      <c r="B15" s="342" t="s">
        <v>286</v>
      </c>
      <c r="C15" s="343">
        <f>'South &amp; Levee'!F9</f>
        <v>1250000</v>
      </c>
      <c r="D15" s="408">
        <f t="shared" si="0"/>
        <v>1250000</v>
      </c>
      <c r="E15" s="1001">
        <v>36</v>
      </c>
      <c r="F15" s="998" t="s">
        <v>208</v>
      </c>
    </row>
    <row r="16" spans="1:6" ht="18.75" customHeight="1" x14ac:dyDescent="0.2">
      <c r="A16" s="353" t="s">
        <v>269</v>
      </c>
      <c r="B16" s="342" t="s">
        <v>287</v>
      </c>
      <c r="C16" s="343">
        <f>'South &amp; Levee'!F44</f>
        <v>500000</v>
      </c>
      <c r="D16" s="343">
        <f t="shared" si="0"/>
        <v>500000</v>
      </c>
      <c r="E16" s="1002"/>
      <c r="F16" s="999"/>
    </row>
    <row r="17" spans="1:6" ht="18.75" customHeight="1" x14ac:dyDescent="0.2">
      <c r="A17" s="354" t="s">
        <v>270</v>
      </c>
      <c r="B17" s="342" t="s">
        <v>288</v>
      </c>
      <c r="C17" s="343">
        <f>'South &amp; Levee'!F10</f>
        <v>408000</v>
      </c>
      <c r="D17" s="343">
        <f t="shared" si="0"/>
        <v>408000</v>
      </c>
      <c r="E17" s="1002"/>
      <c r="F17" s="999"/>
    </row>
    <row r="18" spans="1:6" ht="18.75" customHeight="1" x14ac:dyDescent="0.2">
      <c r="A18" s="353" t="s">
        <v>271</v>
      </c>
      <c r="B18" s="342" t="s">
        <v>272</v>
      </c>
      <c r="C18" s="343">
        <f>'South &amp; Levee'!F11</f>
        <v>724500</v>
      </c>
      <c r="D18" s="408">
        <f t="shared" si="0"/>
        <v>724500</v>
      </c>
      <c r="E18" s="1002"/>
      <c r="F18" s="999"/>
    </row>
    <row r="19" spans="1:6" ht="18.75" customHeight="1" x14ac:dyDescent="0.2">
      <c r="A19" s="399" t="s">
        <v>274</v>
      </c>
      <c r="B19" s="400" t="s">
        <v>273</v>
      </c>
      <c r="C19" s="401">
        <f>'South &amp; Levee'!F14</f>
        <v>0</v>
      </c>
      <c r="D19" s="401">
        <f t="shared" si="0"/>
        <v>0</v>
      </c>
      <c r="E19" s="1002"/>
      <c r="F19" s="999"/>
    </row>
    <row r="20" spans="1:6" ht="18.75" customHeight="1" x14ac:dyDescent="0.2">
      <c r="A20" s="402" t="s">
        <v>275</v>
      </c>
      <c r="B20" s="400" t="s">
        <v>276</v>
      </c>
      <c r="C20" s="401">
        <f>'South &amp; Levee'!F15</f>
        <v>1459773.6746070276</v>
      </c>
      <c r="D20" s="401">
        <f t="shared" si="0"/>
        <v>1459773.6746070276</v>
      </c>
      <c r="E20" s="1002"/>
      <c r="F20" s="999"/>
    </row>
    <row r="21" spans="1:6" ht="18.75" customHeight="1" x14ac:dyDescent="0.2">
      <c r="A21" s="354" t="s">
        <v>11</v>
      </c>
      <c r="B21" s="342" t="s">
        <v>283</v>
      </c>
      <c r="C21" s="343">
        <f>'South &amp; Levee'!F43</f>
        <v>1160000</v>
      </c>
      <c r="D21" s="408">
        <f t="shared" si="0"/>
        <v>1160000</v>
      </c>
      <c r="E21" s="1002"/>
      <c r="F21" s="999"/>
    </row>
    <row r="22" spans="1:6" ht="18.75" customHeight="1" x14ac:dyDescent="0.2">
      <c r="A22" s="354" t="s">
        <v>338</v>
      </c>
      <c r="B22" s="342" t="s">
        <v>339</v>
      </c>
      <c r="C22" s="343">
        <v>150000</v>
      </c>
      <c r="D22" s="408">
        <f>C22*1</f>
        <v>150000</v>
      </c>
      <c r="E22" s="1002"/>
      <c r="F22" s="1000"/>
    </row>
    <row r="23" spans="1:6" ht="18.75" customHeight="1" thickBot="1" x14ac:dyDescent="0.25">
      <c r="A23" s="538" t="s">
        <v>330</v>
      </c>
      <c r="B23" s="539" t="s">
        <v>331</v>
      </c>
      <c r="C23" s="540">
        <f>'South &amp; Levee'!$F$16*2</f>
        <v>825000</v>
      </c>
      <c r="D23" s="540">
        <f>C23*0.5</f>
        <v>412500</v>
      </c>
      <c r="E23" s="1003"/>
      <c r="F23" s="545" t="s">
        <v>243</v>
      </c>
    </row>
    <row r="24" spans="1:6" ht="18.75" customHeight="1" thickBot="1" x14ac:dyDescent="0.25">
      <c r="A24" s="355" t="s">
        <v>278</v>
      </c>
      <c r="B24" s="356" t="s">
        <v>279</v>
      </c>
      <c r="C24" s="357">
        <f>'Levee &amp; Monitor'!E28</f>
        <v>800000</v>
      </c>
      <c r="D24" s="357">
        <f t="shared" si="0"/>
        <v>800000</v>
      </c>
      <c r="E24" s="358"/>
      <c r="F24" s="398" t="s">
        <v>208</v>
      </c>
    </row>
    <row r="25" spans="1:6" ht="19.5" customHeight="1" thickBot="1" x14ac:dyDescent="0.25">
      <c r="A25" s="1008" t="s">
        <v>0</v>
      </c>
      <c r="B25" s="1009"/>
      <c r="C25" s="1010">
        <f>SUM(D8:D24)</f>
        <v>10164773.674607027</v>
      </c>
      <c r="D25" s="1011"/>
      <c r="E25" s="1004"/>
      <c r="F25" s="1005"/>
    </row>
    <row r="26" spans="1:6" x14ac:dyDescent="0.2">
      <c r="C26" s="3"/>
      <c r="D26" s="4"/>
    </row>
    <row r="27" spans="1:6" x14ac:dyDescent="0.2">
      <c r="C27" s="3"/>
      <c r="D27" s="4"/>
    </row>
    <row r="29" spans="1:6" x14ac:dyDescent="0.2">
      <c r="A29" s="544" t="s">
        <v>337</v>
      </c>
    </row>
  </sheetData>
  <mergeCells count="10">
    <mergeCell ref="F15:F22"/>
    <mergeCell ref="E15:E23"/>
    <mergeCell ref="E25:F25"/>
    <mergeCell ref="A6:A7"/>
    <mergeCell ref="A25:B25"/>
    <mergeCell ref="C25:D25"/>
    <mergeCell ref="B6:B7"/>
    <mergeCell ref="C6:C7"/>
    <mergeCell ref="E6:E7"/>
    <mergeCell ref="D6:D7"/>
  </mergeCells>
  <phoneticPr fontId="2" type="noConversion"/>
  <pageMargins left="1.25" right="1.25" top="1" bottom="1" header="0.5" footer="0.5"/>
  <pageSetup orientation="landscape" r:id="rId1"/>
  <headerFooter alignWithMargins="0">
    <oddFooter>&amp;C&amp;P&amp;R&amp;8&amp;F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4:M77"/>
  <sheetViews>
    <sheetView view="pageBreakPreview" zoomScale="90" zoomScaleNormal="100" workbookViewId="0">
      <selection activeCell="F22" sqref="F22:F26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2" style="4" customWidth="1"/>
    <col min="7" max="13" width="11.85546875" style="2" customWidth="1"/>
    <col min="14" max="16384" width="9.140625" style="2"/>
  </cols>
  <sheetData>
    <row r="4" spans="1:13" x14ac:dyDescent="0.2">
      <c r="I4" s="29">
        <v>40891</v>
      </c>
    </row>
    <row r="5" spans="1:13" ht="13.5" thickBot="1" x14ac:dyDescent="0.25"/>
    <row r="6" spans="1:13" x14ac:dyDescent="0.2">
      <c r="A6" s="1016" t="s">
        <v>6</v>
      </c>
      <c r="B6" s="1029" t="s">
        <v>19</v>
      </c>
      <c r="C6" s="17" t="s">
        <v>1</v>
      </c>
      <c r="D6" s="7" t="s">
        <v>3</v>
      </c>
      <c r="E6" s="17" t="s">
        <v>4</v>
      </c>
      <c r="F6" s="1018" t="s">
        <v>0</v>
      </c>
      <c r="G6" s="1020" t="s">
        <v>16</v>
      </c>
      <c r="H6" s="1021"/>
      <c r="I6" s="1021"/>
      <c r="J6" s="1021"/>
      <c r="K6" s="1021"/>
      <c r="L6" s="1021"/>
      <c r="M6" s="1022"/>
    </row>
    <row r="7" spans="1:13" s="1" customFormat="1" ht="13.5" thickBot="1" x14ac:dyDescent="0.25">
      <c r="A7" s="1017"/>
      <c r="B7" s="1030"/>
      <c r="C7" s="18" t="s">
        <v>2</v>
      </c>
      <c r="D7" s="13" t="s">
        <v>2</v>
      </c>
      <c r="E7" s="18" t="s">
        <v>5</v>
      </c>
      <c r="F7" s="1019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">
      <c r="A9" s="238" t="s">
        <v>47</v>
      </c>
      <c r="B9" s="8" t="s">
        <v>9</v>
      </c>
      <c r="C9" s="82">
        <v>7356</v>
      </c>
      <c r="D9" s="9">
        <v>18</v>
      </c>
      <c r="E9" s="20">
        <v>530</v>
      </c>
      <c r="F9" s="192">
        <f>C9*E9*0</f>
        <v>0</v>
      </c>
      <c r="G9" s="22">
        <f>SUM(F9:F12)</f>
        <v>1012300</v>
      </c>
      <c r="H9" s="20"/>
      <c r="I9" s="10"/>
      <c r="J9" s="20"/>
      <c r="K9" s="10"/>
      <c r="L9" s="20"/>
      <c r="M9" s="11"/>
    </row>
    <row r="10" spans="1:13" x14ac:dyDescent="0.2">
      <c r="A10" s="237" t="s">
        <v>49</v>
      </c>
      <c r="B10" s="8" t="s">
        <v>9</v>
      </c>
      <c r="C10" s="82">
        <v>1910</v>
      </c>
      <c r="D10" s="9">
        <v>15</v>
      </c>
      <c r="E10" s="20">
        <v>530</v>
      </c>
      <c r="F10" s="10">
        <f>C10*E10</f>
        <v>1012300</v>
      </c>
      <c r="G10" s="22"/>
      <c r="H10" s="20"/>
      <c r="I10" s="10"/>
      <c r="J10" s="20"/>
      <c r="K10" s="10"/>
      <c r="L10" s="20"/>
      <c r="M10" s="11"/>
    </row>
    <row r="11" spans="1:13" x14ac:dyDescent="0.2">
      <c r="A11" s="238" t="s">
        <v>88</v>
      </c>
      <c r="B11" s="8" t="s">
        <v>48</v>
      </c>
      <c r="C11" s="82">
        <v>3286</v>
      </c>
      <c r="D11" s="9">
        <v>10</v>
      </c>
      <c r="E11" s="20">
        <v>100</v>
      </c>
      <c r="F11" s="10">
        <f>C11*E11*0</f>
        <v>0</v>
      </c>
      <c r="G11" s="22"/>
      <c r="H11" s="20"/>
      <c r="I11" s="10"/>
      <c r="J11" s="20"/>
      <c r="K11" s="10"/>
      <c r="L11" s="20"/>
      <c r="M11" s="11"/>
    </row>
    <row r="12" spans="1:13" x14ac:dyDescent="0.2">
      <c r="A12" s="238" t="s">
        <v>116</v>
      </c>
      <c r="B12" s="8" t="s">
        <v>11</v>
      </c>
      <c r="C12" s="82">
        <v>5222</v>
      </c>
      <c r="D12" s="9">
        <v>12</v>
      </c>
      <c r="E12" s="20">
        <v>400</v>
      </c>
      <c r="F12" s="192">
        <f>C12*E12*0</f>
        <v>0</v>
      </c>
      <c r="G12" s="22"/>
      <c r="H12" s="20"/>
      <c r="I12" s="10"/>
      <c r="J12" s="20"/>
      <c r="K12" s="10"/>
      <c r="L12" s="20"/>
      <c r="M12" s="11"/>
    </row>
    <row r="13" spans="1:13" x14ac:dyDescent="0.2">
      <c r="A13" s="16"/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">
      <c r="A14" s="33" t="s">
        <v>10</v>
      </c>
      <c r="B14" s="8"/>
      <c r="C14" s="19"/>
      <c r="D14" s="9"/>
      <c r="E14" s="20"/>
      <c r="F14" s="10"/>
      <c r="G14" s="22"/>
      <c r="H14" s="20"/>
      <c r="I14" s="10"/>
      <c r="J14" s="20"/>
      <c r="K14" s="10"/>
      <c r="L14" s="20"/>
      <c r="M14" s="11"/>
    </row>
    <row r="15" spans="1:13" x14ac:dyDescent="0.2">
      <c r="A15" s="238" t="s">
        <v>108</v>
      </c>
      <c r="B15" s="8" t="s">
        <v>51</v>
      </c>
      <c r="C15" s="82">
        <v>9410</v>
      </c>
      <c r="D15" s="35">
        <v>16</v>
      </c>
      <c r="E15" s="20">
        <v>480</v>
      </c>
      <c r="F15" s="10">
        <f>C15*E15*0</f>
        <v>0</v>
      </c>
      <c r="G15" s="22"/>
      <c r="H15" s="20">
        <f>SUM(F15:F19)</f>
        <v>0</v>
      </c>
      <c r="I15" s="10"/>
      <c r="J15" s="20"/>
      <c r="K15" s="10"/>
      <c r="L15" s="20"/>
      <c r="M15" s="11"/>
    </row>
    <row r="16" spans="1:13" x14ac:dyDescent="0.2">
      <c r="A16" s="238" t="s">
        <v>89</v>
      </c>
      <c r="B16" s="8" t="s">
        <v>48</v>
      </c>
      <c r="C16" s="82">
        <v>2243</v>
      </c>
      <c r="D16" s="9">
        <v>10</v>
      </c>
      <c r="E16" s="20">
        <v>100</v>
      </c>
      <c r="F16" s="10">
        <f>C16*E16*0</f>
        <v>0</v>
      </c>
      <c r="G16" s="22"/>
      <c r="H16" s="20"/>
      <c r="I16" s="10"/>
      <c r="J16" s="20"/>
      <c r="K16" s="10"/>
      <c r="L16" s="20"/>
      <c r="M16" s="11"/>
    </row>
    <row r="17" spans="1:13" x14ac:dyDescent="0.2">
      <c r="A17" s="238" t="s">
        <v>90</v>
      </c>
      <c r="B17" s="8" t="s">
        <v>48</v>
      </c>
      <c r="C17" s="82">
        <v>1156</v>
      </c>
      <c r="D17" s="9">
        <v>10</v>
      </c>
      <c r="E17" s="20">
        <v>100</v>
      </c>
      <c r="F17" s="10">
        <f>C17*E17*0</f>
        <v>0</v>
      </c>
      <c r="G17" s="22"/>
      <c r="H17" s="20"/>
      <c r="I17" s="10"/>
      <c r="J17" s="20"/>
      <c r="K17" s="10"/>
      <c r="L17" s="20"/>
      <c r="M17" s="11"/>
    </row>
    <row r="18" spans="1:13" x14ac:dyDescent="0.2">
      <c r="A18" s="238" t="s">
        <v>57</v>
      </c>
      <c r="B18" s="8" t="s">
        <v>48</v>
      </c>
      <c r="C18" s="82">
        <v>1765</v>
      </c>
      <c r="D18" s="35">
        <v>10</v>
      </c>
      <c r="E18" s="20">
        <v>100</v>
      </c>
      <c r="F18" s="10">
        <f>C18*E18*0</f>
        <v>0</v>
      </c>
      <c r="G18" s="22"/>
      <c r="H18" s="20"/>
      <c r="I18" s="10"/>
      <c r="J18" s="20"/>
      <c r="K18" s="10"/>
      <c r="L18" s="20"/>
      <c r="M18" s="11"/>
    </row>
    <row r="19" spans="1:13" x14ac:dyDescent="0.2">
      <c r="A19" s="543" t="s">
        <v>335</v>
      </c>
      <c r="B19" s="533" t="s">
        <v>12</v>
      </c>
      <c r="C19" s="534">
        <v>2000</v>
      </c>
      <c r="D19" s="535">
        <v>15</v>
      </c>
      <c r="E19" s="536">
        <v>0</v>
      </c>
      <c r="F19" s="541">
        <f>C19*E19</f>
        <v>0</v>
      </c>
      <c r="G19" s="22"/>
      <c r="H19" s="20"/>
      <c r="I19" s="10"/>
      <c r="J19" s="20"/>
      <c r="K19" s="10"/>
      <c r="L19" s="20"/>
      <c r="M19" s="11"/>
    </row>
    <row r="20" spans="1:13" x14ac:dyDescent="0.2">
      <c r="A20" s="542" t="s">
        <v>334</v>
      </c>
      <c r="B20" s="8"/>
      <c r="C20" s="19"/>
      <c r="D20" s="9"/>
      <c r="E20" s="20"/>
      <c r="F20" s="10"/>
      <c r="G20" s="22"/>
      <c r="H20" s="20"/>
      <c r="I20" s="10"/>
      <c r="J20" s="20"/>
      <c r="K20" s="10"/>
      <c r="L20" s="20"/>
      <c r="M20" s="11"/>
    </row>
    <row r="21" spans="1:13" x14ac:dyDescent="0.2">
      <c r="A21" s="32" t="s">
        <v>13</v>
      </c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">
      <c r="A22" s="238" t="s">
        <v>92</v>
      </c>
      <c r="B22" s="8" t="s">
        <v>51</v>
      </c>
      <c r="C22" s="82">
        <v>7787</v>
      </c>
      <c r="D22" s="9">
        <v>15</v>
      </c>
      <c r="E22" s="20">
        <v>480</v>
      </c>
      <c r="F22" s="10">
        <f>C22*E22</f>
        <v>3737760</v>
      </c>
      <c r="G22" s="22"/>
      <c r="H22" s="20"/>
      <c r="I22" s="10">
        <f>SUM(F22:F26)*0</f>
        <v>0</v>
      </c>
      <c r="J22" s="20"/>
      <c r="K22" s="10"/>
      <c r="L22" s="20"/>
      <c r="M22" s="11"/>
    </row>
    <row r="23" spans="1:13" x14ac:dyDescent="0.2">
      <c r="A23" s="238" t="s">
        <v>109</v>
      </c>
      <c r="B23" s="8" t="s">
        <v>48</v>
      </c>
      <c r="C23" s="82">
        <v>2645</v>
      </c>
      <c r="D23" s="9">
        <v>10</v>
      </c>
      <c r="E23" s="20">
        <v>100</v>
      </c>
      <c r="F23" s="10">
        <f>C23*E23</f>
        <v>264500</v>
      </c>
      <c r="G23" s="22"/>
      <c r="H23" s="20"/>
      <c r="I23" s="10"/>
      <c r="J23" s="20"/>
      <c r="K23" s="10"/>
      <c r="L23" s="20"/>
      <c r="M23" s="11"/>
    </row>
    <row r="24" spans="1:13" x14ac:dyDescent="0.2">
      <c r="A24" s="238" t="s">
        <v>91</v>
      </c>
      <c r="B24" s="8" t="s">
        <v>48</v>
      </c>
      <c r="C24" s="82">
        <v>3139</v>
      </c>
      <c r="D24" s="9">
        <v>10</v>
      </c>
      <c r="E24" s="20">
        <v>100</v>
      </c>
      <c r="F24" s="10">
        <f>C24*E24</f>
        <v>313900</v>
      </c>
      <c r="G24" s="22"/>
      <c r="H24" s="20"/>
      <c r="I24" s="10"/>
      <c r="J24" s="20"/>
      <c r="K24" s="10"/>
      <c r="L24" s="20"/>
      <c r="M24" s="11"/>
    </row>
    <row r="25" spans="1:13" x14ac:dyDescent="0.2">
      <c r="A25" s="238" t="s">
        <v>90</v>
      </c>
      <c r="B25" s="8" t="s">
        <v>48</v>
      </c>
      <c r="C25" s="82">
        <v>1298</v>
      </c>
      <c r="D25" s="9">
        <v>10</v>
      </c>
      <c r="E25" s="20">
        <v>100</v>
      </c>
      <c r="F25" s="10">
        <f>C25*E25</f>
        <v>129800</v>
      </c>
      <c r="G25" s="22"/>
      <c r="H25" s="20"/>
      <c r="I25" s="10"/>
      <c r="J25" s="20"/>
      <c r="K25" s="10"/>
      <c r="L25" s="20"/>
      <c r="M25" s="11"/>
    </row>
    <row r="26" spans="1:13" x14ac:dyDescent="0.2">
      <c r="A26" s="238" t="s">
        <v>93</v>
      </c>
      <c r="B26" s="8" t="s">
        <v>38</v>
      </c>
      <c r="C26" s="82">
        <v>4468</v>
      </c>
      <c r="D26" s="9">
        <v>14</v>
      </c>
      <c r="E26" s="20">
        <v>140</v>
      </c>
      <c r="F26" s="10">
        <f>C26*E26</f>
        <v>625520</v>
      </c>
      <c r="G26" s="22"/>
      <c r="H26" s="20"/>
      <c r="I26" s="10"/>
      <c r="J26" s="20"/>
      <c r="K26" s="10"/>
      <c r="L26" s="20"/>
      <c r="M26" s="11"/>
    </row>
    <row r="27" spans="1:13" x14ac:dyDescent="0.2">
      <c r="A27" s="16"/>
      <c r="B27" s="8"/>
      <c r="C27" s="19"/>
      <c r="D27" s="9"/>
      <c r="E27" s="217" t="s">
        <v>238</v>
      </c>
      <c r="F27" s="218">
        <f>SUM(F9:F26)-SUM(F9,F12)</f>
        <v>6083780</v>
      </c>
      <c r="G27" s="22"/>
      <c r="H27" s="20"/>
      <c r="I27" s="10"/>
      <c r="J27" s="20"/>
      <c r="K27" s="10"/>
      <c r="L27" s="20"/>
      <c r="M27" s="11"/>
    </row>
    <row r="28" spans="1:13" x14ac:dyDescent="0.2">
      <c r="A28" s="33" t="s">
        <v>14</v>
      </c>
      <c r="B28" s="8"/>
      <c r="C28" s="19"/>
      <c r="D28" s="9"/>
      <c r="E28" s="20"/>
      <c r="F28" s="10"/>
      <c r="G28" s="22"/>
      <c r="H28" s="20"/>
      <c r="I28" s="10"/>
      <c r="J28" s="20"/>
      <c r="K28" s="10"/>
      <c r="L28" s="20"/>
      <c r="M28" s="11"/>
    </row>
    <row r="29" spans="1:13" x14ac:dyDescent="0.2">
      <c r="A29" s="238" t="s">
        <v>94</v>
      </c>
      <c r="B29" s="8" t="s">
        <v>9</v>
      </c>
      <c r="C29" s="82">
        <v>10219</v>
      </c>
      <c r="D29" s="9">
        <v>18</v>
      </c>
      <c r="E29" s="20">
        <v>530</v>
      </c>
      <c r="F29" s="10">
        <f>C29*E29</f>
        <v>5416070</v>
      </c>
      <c r="G29" s="22"/>
      <c r="H29" s="20"/>
      <c r="J29" s="20">
        <f>SUM(F29:F33)*0</f>
        <v>0</v>
      </c>
      <c r="K29" s="10"/>
      <c r="L29" s="20"/>
      <c r="M29" s="11"/>
    </row>
    <row r="30" spans="1:13" x14ac:dyDescent="0.2">
      <c r="A30" s="238" t="s">
        <v>90</v>
      </c>
      <c r="B30" s="8" t="s">
        <v>48</v>
      </c>
      <c r="C30" s="82">
        <v>3724</v>
      </c>
      <c r="D30" s="9">
        <v>10</v>
      </c>
      <c r="E30" s="20">
        <v>100</v>
      </c>
      <c r="F30" s="10">
        <f>C30*E30</f>
        <v>372400</v>
      </c>
      <c r="G30" s="22"/>
      <c r="H30" s="20"/>
      <c r="I30" s="10"/>
      <c r="J30" s="20"/>
      <c r="K30" s="10"/>
      <c r="L30" s="20"/>
      <c r="M30" s="11"/>
    </row>
    <row r="31" spans="1:13" x14ac:dyDescent="0.2">
      <c r="A31" s="238" t="s">
        <v>95</v>
      </c>
      <c r="B31" s="8" t="s">
        <v>48</v>
      </c>
      <c r="C31" s="82">
        <v>2567</v>
      </c>
      <c r="D31" s="9">
        <v>10</v>
      </c>
      <c r="E31" s="20">
        <v>100</v>
      </c>
      <c r="F31" s="10">
        <f>C31*E31</f>
        <v>256700</v>
      </c>
      <c r="G31" s="22"/>
      <c r="H31" s="20"/>
      <c r="I31" s="10"/>
      <c r="J31" s="20"/>
      <c r="K31" s="10"/>
      <c r="L31" s="20"/>
      <c r="M31" s="11"/>
    </row>
    <row r="32" spans="1:13" x14ac:dyDescent="0.2">
      <c r="A32" s="238" t="s">
        <v>52</v>
      </c>
      <c r="B32" s="8" t="s">
        <v>48</v>
      </c>
      <c r="C32" s="82">
        <v>3788</v>
      </c>
      <c r="D32" s="9">
        <v>10</v>
      </c>
      <c r="E32" s="20">
        <v>100</v>
      </c>
      <c r="F32" s="10">
        <f>C32*E32</f>
        <v>378800</v>
      </c>
      <c r="G32" s="22"/>
      <c r="H32" s="20"/>
      <c r="I32" s="10"/>
      <c r="J32" s="20"/>
      <c r="K32" s="10"/>
      <c r="L32" s="20"/>
      <c r="M32" s="11"/>
    </row>
    <row r="33" spans="1:13" x14ac:dyDescent="0.2">
      <c r="A33" s="238" t="s">
        <v>53</v>
      </c>
      <c r="B33" s="8" t="s">
        <v>48</v>
      </c>
      <c r="C33" s="82">
        <v>1847</v>
      </c>
      <c r="D33" s="9">
        <v>10</v>
      </c>
      <c r="E33" s="20">
        <v>100</v>
      </c>
      <c r="F33" s="10">
        <f>C33*E33</f>
        <v>184700</v>
      </c>
      <c r="G33" s="22"/>
      <c r="H33" s="20"/>
      <c r="I33" s="10"/>
      <c r="J33" s="20"/>
      <c r="K33" s="10"/>
      <c r="L33" s="20"/>
      <c r="M33" s="11"/>
    </row>
    <row r="34" spans="1:13" x14ac:dyDescent="0.2">
      <c r="A34" s="16"/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">
      <c r="A35" s="32" t="s">
        <v>15</v>
      </c>
      <c r="B35" s="8"/>
      <c r="C35" s="19"/>
      <c r="D35" s="9"/>
      <c r="E35" s="20"/>
      <c r="F35" s="10"/>
      <c r="G35" s="22"/>
      <c r="H35" s="20"/>
      <c r="I35" s="10"/>
      <c r="J35" s="20"/>
      <c r="K35" s="10"/>
      <c r="L35" s="20"/>
      <c r="M35" s="11"/>
    </row>
    <row r="36" spans="1:13" x14ac:dyDescent="0.2">
      <c r="A36" s="238" t="s">
        <v>96</v>
      </c>
      <c r="B36" s="8" t="s">
        <v>9</v>
      </c>
      <c r="C36" s="82">
        <v>7985</v>
      </c>
      <c r="D36" s="9">
        <v>18</v>
      </c>
      <c r="E36" s="20">
        <v>530</v>
      </c>
      <c r="F36" s="10">
        <f t="shared" ref="F36:F41" si="0">C36*E36</f>
        <v>4232050</v>
      </c>
      <c r="G36" s="22"/>
      <c r="H36" s="20"/>
      <c r="I36" s="10"/>
      <c r="J36" s="20"/>
      <c r="K36" s="10">
        <f>SUM(F36:F41)*0</f>
        <v>0</v>
      </c>
      <c r="L36" s="20"/>
      <c r="M36" s="11"/>
    </row>
    <row r="37" spans="1:13" x14ac:dyDescent="0.2">
      <c r="A37" s="238" t="s">
        <v>97</v>
      </c>
      <c r="B37" s="8" t="s">
        <v>48</v>
      </c>
      <c r="C37" s="82">
        <v>3968</v>
      </c>
      <c r="D37" s="9">
        <v>10</v>
      </c>
      <c r="E37" s="20">
        <v>100</v>
      </c>
      <c r="F37" s="10">
        <f t="shared" si="0"/>
        <v>396800</v>
      </c>
      <c r="G37" s="22"/>
      <c r="H37" s="20"/>
      <c r="I37" s="10"/>
      <c r="J37" s="20"/>
      <c r="K37" s="10"/>
      <c r="L37" s="20"/>
      <c r="M37" s="11"/>
    </row>
    <row r="38" spans="1:13" x14ac:dyDescent="0.2">
      <c r="A38" s="238" t="s">
        <v>98</v>
      </c>
      <c r="B38" s="8" t="s">
        <v>48</v>
      </c>
      <c r="C38" s="82">
        <v>3757</v>
      </c>
      <c r="D38" s="9">
        <v>10</v>
      </c>
      <c r="E38" s="20">
        <v>100</v>
      </c>
      <c r="F38" s="10">
        <f t="shared" si="0"/>
        <v>375700</v>
      </c>
      <c r="G38" s="22"/>
      <c r="H38" s="20"/>
      <c r="I38" s="10"/>
      <c r="J38" s="20"/>
      <c r="K38" s="10"/>
      <c r="L38" s="20"/>
      <c r="M38" s="11"/>
    </row>
    <row r="39" spans="1:13" x14ac:dyDescent="0.2">
      <c r="A39" s="238" t="s">
        <v>99</v>
      </c>
      <c r="B39" s="8" t="s">
        <v>48</v>
      </c>
      <c r="C39" s="82">
        <v>1789</v>
      </c>
      <c r="D39" s="9">
        <v>10</v>
      </c>
      <c r="E39" s="20">
        <v>100</v>
      </c>
      <c r="F39" s="10">
        <f t="shared" si="0"/>
        <v>178900</v>
      </c>
      <c r="G39" s="22"/>
      <c r="H39" s="20"/>
      <c r="I39" s="10"/>
      <c r="J39" s="20"/>
      <c r="K39" s="10"/>
      <c r="L39" s="20"/>
      <c r="M39" s="11"/>
    </row>
    <row r="40" spans="1:13" x14ac:dyDescent="0.2">
      <c r="A40" s="238" t="s">
        <v>53</v>
      </c>
      <c r="B40" s="8" t="s">
        <v>48</v>
      </c>
      <c r="C40" s="82">
        <v>2070</v>
      </c>
      <c r="D40" s="9">
        <v>10</v>
      </c>
      <c r="E40" s="20">
        <v>100</v>
      </c>
      <c r="F40" s="10">
        <f t="shared" si="0"/>
        <v>207000</v>
      </c>
      <c r="G40" s="22"/>
      <c r="H40" s="20"/>
      <c r="I40" s="10"/>
      <c r="J40" s="20"/>
      <c r="K40" s="10"/>
      <c r="L40" s="20"/>
      <c r="M40" s="11"/>
    </row>
    <row r="41" spans="1:13" x14ac:dyDescent="0.2">
      <c r="A41" s="238" t="s">
        <v>56</v>
      </c>
      <c r="B41" s="8" t="s">
        <v>48</v>
      </c>
      <c r="C41" s="82">
        <v>3951</v>
      </c>
      <c r="D41" s="9">
        <v>10</v>
      </c>
      <c r="E41" s="20">
        <v>100</v>
      </c>
      <c r="F41" s="10">
        <f t="shared" si="0"/>
        <v>395100</v>
      </c>
      <c r="G41" s="22"/>
      <c r="H41" s="20"/>
      <c r="I41" s="10"/>
      <c r="J41" s="20"/>
      <c r="K41" s="10"/>
      <c r="L41" s="20"/>
      <c r="M41" s="11"/>
    </row>
    <row r="42" spans="1:13" x14ac:dyDescent="0.2">
      <c r="A42" s="16"/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">
      <c r="A43" s="34" t="s">
        <v>35</v>
      </c>
      <c r="B43" s="8"/>
      <c r="C43" s="19"/>
      <c r="D43" s="9"/>
      <c r="E43" s="20"/>
      <c r="F43" s="10"/>
      <c r="G43" s="22"/>
      <c r="H43" s="20"/>
      <c r="I43" s="10"/>
      <c r="J43" s="20"/>
      <c r="K43" s="10"/>
      <c r="L43" s="20"/>
      <c r="M43" s="11"/>
    </row>
    <row r="44" spans="1:13" x14ac:dyDescent="0.2">
      <c r="A44" s="238" t="s">
        <v>100</v>
      </c>
      <c r="B44" s="8" t="s">
        <v>51</v>
      </c>
      <c r="C44" s="82">
        <v>3695</v>
      </c>
      <c r="D44" s="9">
        <v>16</v>
      </c>
      <c r="E44" s="20">
        <v>480</v>
      </c>
      <c r="F44" s="10">
        <f t="shared" ref="F44:F50" si="1">C44*E44</f>
        <v>1773600</v>
      </c>
      <c r="G44" s="22"/>
      <c r="H44" s="20"/>
      <c r="I44" s="10"/>
      <c r="J44" s="20"/>
      <c r="K44" s="10"/>
      <c r="L44" s="20">
        <f>SUM(F44:F50)*0</f>
        <v>0</v>
      </c>
      <c r="M44" s="11"/>
    </row>
    <row r="45" spans="1:13" x14ac:dyDescent="0.2">
      <c r="A45" s="238" t="s">
        <v>101</v>
      </c>
      <c r="B45" s="8" t="s">
        <v>51</v>
      </c>
      <c r="C45" s="82">
        <v>6772</v>
      </c>
      <c r="D45" s="9">
        <v>16</v>
      </c>
      <c r="E45" s="20">
        <v>480</v>
      </c>
      <c r="F45" s="10">
        <f t="shared" si="1"/>
        <v>3250560</v>
      </c>
      <c r="G45" s="22"/>
      <c r="H45" s="20"/>
      <c r="I45" s="10"/>
      <c r="J45" s="20"/>
      <c r="K45" s="10"/>
      <c r="L45" s="20"/>
      <c r="M45" s="11"/>
    </row>
    <row r="46" spans="1:13" x14ac:dyDescent="0.2">
      <c r="A46" s="238" t="s">
        <v>102</v>
      </c>
      <c r="B46" s="8" t="s">
        <v>48</v>
      </c>
      <c r="C46" s="82">
        <v>3375</v>
      </c>
      <c r="D46" s="9">
        <v>10</v>
      </c>
      <c r="E46" s="20">
        <v>100</v>
      </c>
      <c r="F46" s="10">
        <f t="shared" si="1"/>
        <v>337500</v>
      </c>
      <c r="G46" s="22"/>
      <c r="H46" s="20"/>
      <c r="I46" s="10"/>
      <c r="J46" s="20"/>
      <c r="K46" s="10"/>
      <c r="L46" s="20"/>
      <c r="M46" s="11"/>
    </row>
    <row r="47" spans="1:13" x14ac:dyDescent="0.2">
      <c r="A47" s="238" t="s">
        <v>103</v>
      </c>
      <c r="B47" s="8" t="s">
        <v>48</v>
      </c>
      <c r="C47" s="82">
        <v>2510</v>
      </c>
      <c r="D47" s="9">
        <v>10</v>
      </c>
      <c r="E47" s="20">
        <v>100</v>
      </c>
      <c r="F47" s="10">
        <f t="shared" si="1"/>
        <v>251000</v>
      </c>
      <c r="G47" s="22"/>
      <c r="H47" s="20"/>
      <c r="I47" s="10"/>
      <c r="J47" s="20"/>
      <c r="K47" s="10"/>
      <c r="L47" s="20"/>
      <c r="M47" s="11"/>
    </row>
    <row r="48" spans="1:13" x14ac:dyDescent="0.2">
      <c r="A48" s="238" t="s">
        <v>53</v>
      </c>
      <c r="B48" s="8" t="s">
        <v>48</v>
      </c>
      <c r="C48" s="82">
        <v>1984</v>
      </c>
      <c r="D48" s="9">
        <v>10</v>
      </c>
      <c r="E48" s="20">
        <v>100</v>
      </c>
      <c r="F48" s="10">
        <f t="shared" si="1"/>
        <v>198400</v>
      </c>
      <c r="G48" s="22"/>
      <c r="H48" s="20"/>
      <c r="I48" s="10"/>
      <c r="J48" s="20"/>
      <c r="K48" s="10"/>
      <c r="L48" s="20"/>
      <c r="M48" s="11"/>
    </row>
    <row r="49" spans="1:13" x14ac:dyDescent="0.2">
      <c r="A49" s="238" t="s">
        <v>104</v>
      </c>
      <c r="B49" s="8" t="s">
        <v>48</v>
      </c>
      <c r="C49" s="82">
        <v>1970</v>
      </c>
      <c r="D49" s="9">
        <v>10</v>
      </c>
      <c r="E49" s="20">
        <v>100</v>
      </c>
      <c r="F49" s="10">
        <f t="shared" si="1"/>
        <v>197000</v>
      </c>
      <c r="G49" s="22"/>
      <c r="H49" s="20"/>
      <c r="I49" s="10"/>
      <c r="J49" s="20"/>
      <c r="K49" s="10"/>
      <c r="L49" s="20"/>
      <c r="M49" s="11"/>
    </row>
    <row r="50" spans="1:13" x14ac:dyDescent="0.2">
      <c r="A50" s="238" t="s">
        <v>54</v>
      </c>
      <c r="B50" s="8" t="s">
        <v>48</v>
      </c>
      <c r="C50" s="82">
        <v>2542</v>
      </c>
      <c r="D50" s="9">
        <v>10</v>
      </c>
      <c r="E50" s="20">
        <v>100</v>
      </c>
      <c r="F50" s="10">
        <f t="shared" si="1"/>
        <v>254200</v>
      </c>
      <c r="G50" s="22"/>
      <c r="H50" s="20"/>
      <c r="I50" s="10"/>
      <c r="J50" s="20"/>
      <c r="K50" s="10"/>
      <c r="L50" s="20"/>
      <c r="M50" s="11"/>
    </row>
    <row r="51" spans="1:13" x14ac:dyDescent="0.2">
      <c r="A51" s="16"/>
      <c r="B51" s="8"/>
      <c r="C51" s="19"/>
      <c r="D51" s="9"/>
      <c r="E51" s="20"/>
      <c r="F51" s="10"/>
      <c r="G51" s="22"/>
      <c r="H51" s="20"/>
      <c r="I51" s="10"/>
      <c r="J51" s="20"/>
      <c r="K51" s="10"/>
      <c r="L51" s="20"/>
      <c r="M51" s="11"/>
    </row>
    <row r="52" spans="1:13" x14ac:dyDescent="0.2">
      <c r="A52" s="36" t="s">
        <v>36</v>
      </c>
      <c r="B52" s="8"/>
      <c r="C52" s="19"/>
      <c r="D52" s="9"/>
      <c r="E52" s="20"/>
      <c r="F52" s="10"/>
      <c r="G52" s="22"/>
      <c r="H52" s="20"/>
      <c r="I52" s="10"/>
      <c r="J52" s="20"/>
      <c r="K52" s="10"/>
      <c r="L52" s="20"/>
      <c r="M52" s="11"/>
    </row>
    <row r="53" spans="1:13" x14ac:dyDescent="0.2">
      <c r="A53" s="238" t="s">
        <v>105</v>
      </c>
      <c r="B53" s="8" t="s">
        <v>12</v>
      </c>
      <c r="C53" s="82">
        <v>6202</v>
      </c>
      <c r="D53" s="9">
        <v>15</v>
      </c>
      <c r="E53" s="20">
        <v>450</v>
      </c>
      <c r="F53" s="10">
        <f t="shared" ref="F53:F58" si="2">C53*E53</f>
        <v>2790900</v>
      </c>
      <c r="G53" s="22"/>
      <c r="H53" s="20"/>
      <c r="I53" s="10"/>
      <c r="J53" s="20"/>
      <c r="K53" s="10"/>
      <c r="L53" s="20"/>
      <c r="M53" s="11">
        <f>SUM(F53:F58)*0</f>
        <v>0</v>
      </c>
    </row>
    <row r="54" spans="1:13" x14ac:dyDescent="0.2">
      <c r="A54" s="238" t="s">
        <v>55</v>
      </c>
      <c r="B54" s="8" t="s">
        <v>48</v>
      </c>
      <c r="C54" s="82">
        <v>3850</v>
      </c>
      <c r="D54" s="9">
        <v>10</v>
      </c>
      <c r="E54" s="20">
        <v>100</v>
      </c>
      <c r="F54" s="10">
        <f t="shared" si="2"/>
        <v>385000</v>
      </c>
      <c r="G54" s="22"/>
      <c r="H54" s="20"/>
      <c r="I54" s="10"/>
      <c r="J54" s="20"/>
      <c r="K54" s="10"/>
      <c r="L54" s="20"/>
      <c r="M54" s="11"/>
    </row>
    <row r="55" spans="1:13" x14ac:dyDescent="0.2">
      <c r="A55" s="238" t="s">
        <v>106</v>
      </c>
      <c r="B55" s="8" t="s">
        <v>48</v>
      </c>
      <c r="C55" s="82">
        <v>2251</v>
      </c>
      <c r="D55" s="9">
        <v>10</v>
      </c>
      <c r="E55" s="20">
        <v>100</v>
      </c>
      <c r="F55" s="10">
        <f t="shared" si="2"/>
        <v>225100</v>
      </c>
      <c r="G55" s="22"/>
      <c r="H55" s="20"/>
      <c r="I55" s="10"/>
      <c r="J55" s="20"/>
      <c r="K55" s="10"/>
      <c r="L55" s="20"/>
      <c r="M55" s="11"/>
    </row>
    <row r="56" spans="1:13" x14ac:dyDescent="0.2">
      <c r="A56" s="238" t="s">
        <v>53</v>
      </c>
      <c r="B56" s="8" t="s">
        <v>48</v>
      </c>
      <c r="C56" s="82">
        <v>1677</v>
      </c>
      <c r="D56" s="9">
        <v>10</v>
      </c>
      <c r="E56" s="20">
        <v>100</v>
      </c>
      <c r="F56" s="10">
        <f t="shared" si="2"/>
        <v>167700</v>
      </c>
      <c r="G56" s="22"/>
      <c r="H56" s="20"/>
      <c r="I56" s="10"/>
      <c r="J56" s="20"/>
      <c r="K56" s="10"/>
      <c r="L56" s="20"/>
      <c r="M56" s="11"/>
    </row>
    <row r="57" spans="1:13" x14ac:dyDescent="0.2">
      <c r="A57" s="238" t="s">
        <v>50</v>
      </c>
      <c r="B57" s="8" t="s">
        <v>48</v>
      </c>
      <c r="C57" s="82">
        <v>1110</v>
      </c>
      <c r="D57" s="9">
        <v>10</v>
      </c>
      <c r="E57" s="20">
        <v>100</v>
      </c>
      <c r="F57" s="10">
        <f t="shared" si="2"/>
        <v>111000</v>
      </c>
      <c r="G57" s="22"/>
      <c r="H57" s="20"/>
      <c r="I57" s="10"/>
      <c r="J57" s="20"/>
      <c r="K57" s="10"/>
      <c r="L57" s="20"/>
      <c r="M57" s="11"/>
    </row>
    <row r="58" spans="1:13" x14ac:dyDescent="0.2">
      <c r="A58" s="238" t="s">
        <v>107</v>
      </c>
      <c r="B58" s="8" t="s">
        <v>48</v>
      </c>
      <c r="C58" s="82">
        <v>2956</v>
      </c>
      <c r="D58" s="9">
        <v>10</v>
      </c>
      <c r="E58" s="20">
        <v>100</v>
      </c>
      <c r="F58" s="10">
        <f t="shared" si="2"/>
        <v>295600</v>
      </c>
      <c r="G58" s="22"/>
      <c r="H58" s="20"/>
      <c r="I58" s="10"/>
      <c r="J58" s="20"/>
      <c r="K58" s="10"/>
      <c r="L58" s="20"/>
      <c r="M58" s="11"/>
    </row>
    <row r="59" spans="1:13" ht="13.5" thickBot="1" x14ac:dyDescent="0.25">
      <c r="A59" s="238"/>
      <c r="B59" s="8"/>
      <c r="C59" s="19"/>
      <c r="D59" s="9"/>
      <c r="E59" s="219" t="s">
        <v>239</v>
      </c>
      <c r="F59" s="209">
        <f>SUM(F29:F58)</f>
        <v>22631780</v>
      </c>
      <c r="G59" s="22"/>
      <c r="H59" s="20"/>
      <c r="I59" s="10"/>
      <c r="J59" s="20"/>
      <c r="K59" s="10"/>
      <c r="L59" s="20"/>
      <c r="M59" s="11"/>
    </row>
    <row r="60" spans="1:13" ht="19.5" customHeight="1" thickBot="1" x14ac:dyDescent="0.25">
      <c r="A60" s="24" t="s">
        <v>17</v>
      </c>
      <c r="B60" s="1026"/>
      <c r="C60" s="1027"/>
      <c r="D60" s="1027"/>
      <c r="E60" s="1027"/>
      <c r="F60" s="1028"/>
      <c r="G60" s="27">
        <f t="shared" ref="G60:M60" si="3">SUM(G8:G59)</f>
        <v>1012300</v>
      </c>
      <c r="H60" s="25">
        <f t="shared" si="3"/>
        <v>0</v>
      </c>
      <c r="I60" s="26">
        <f t="shared" si="3"/>
        <v>0</v>
      </c>
      <c r="J60" s="25">
        <f t="shared" si="3"/>
        <v>0</v>
      </c>
      <c r="K60" s="26">
        <f t="shared" si="3"/>
        <v>0</v>
      </c>
      <c r="L60" s="25">
        <f t="shared" si="3"/>
        <v>0</v>
      </c>
      <c r="M60" s="28">
        <f t="shared" si="3"/>
        <v>0</v>
      </c>
    </row>
    <row r="61" spans="1:13" ht="16.5" customHeight="1" thickBot="1" x14ac:dyDescent="0.25">
      <c r="A61" s="15" t="s">
        <v>60</v>
      </c>
      <c r="B61" s="1026" t="s">
        <v>58</v>
      </c>
      <c r="C61" s="1027"/>
      <c r="D61" s="1027"/>
      <c r="E61" s="1027"/>
      <c r="F61" s="1028"/>
      <c r="G61" s="1023">
        <f>SUM(G60:M60)</f>
        <v>1012300</v>
      </c>
      <c r="H61" s="1024"/>
      <c r="I61" s="1024"/>
      <c r="J61" s="1024"/>
      <c r="K61" s="1024"/>
      <c r="L61" s="1024"/>
      <c r="M61" s="1025"/>
    </row>
    <row r="62" spans="1:13" ht="16.5" customHeight="1" thickBot="1" x14ac:dyDescent="0.25">
      <c r="A62" s="15" t="s">
        <v>61</v>
      </c>
      <c r="B62" s="1026" t="s">
        <v>59</v>
      </c>
      <c r="C62" s="1027"/>
      <c r="D62" s="1027"/>
      <c r="E62" s="1027"/>
      <c r="F62" s="1028"/>
      <c r="G62" s="1023">
        <f>'South &amp; Levee'!G53:M53</f>
        <v>5914773.6746070273</v>
      </c>
      <c r="H62" s="1024"/>
      <c r="I62" s="1024"/>
      <c r="J62" s="1024"/>
      <c r="K62" s="1024"/>
      <c r="L62" s="1024"/>
      <c r="M62" s="1025"/>
    </row>
    <row r="63" spans="1:13" ht="16.5" customHeight="1" thickBot="1" x14ac:dyDescent="0.25">
      <c r="A63" s="15" t="s">
        <v>115</v>
      </c>
      <c r="B63" s="1026" t="s">
        <v>114</v>
      </c>
      <c r="C63" s="1027"/>
      <c r="D63" s="1027"/>
      <c r="E63" s="1027"/>
      <c r="F63" s="1028"/>
      <c r="G63" s="1023">
        <f>Trails!G14</f>
        <v>1500000</v>
      </c>
      <c r="H63" s="1024"/>
      <c r="I63" s="1024"/>
      <c r="J63" s="1024"/>
      <c r="K63" s="1024"/>
      <c r="L63" s="1024"/>
      <c r="M63" s="1025"/>
    </row>
    <row r="64" spans="1:13" ht="16.5" customHeight="1" thickBot="1" x14ac:dyDescent="0.25">
      <c r="A64" s="15" t="s">
        <v>76</v>
      </c>
      <c r="B64" s="1026" t="s">
        <v>77</v>
      </c>
      <c r="C64" s="1027"/>
      <c r="D64" s="1027"/>
      <c r="E64" s="1027"/>
      <c r="F64" s="1028"/>
      <c r="G64" s="1023">
        <f>'South &amp; Levee'!F64</f>
        <v>12279928.35</v>
      </c>
      <c r="H64" s="1024"/>
      <c r="I64" s="1024"/>
      <c r="J64" s="1024"/>
      <c r="K64" s="1024"/>
      <c r="L64" s="1024"/>
      <c r="M64" s="1025"/>
    </row>
    <row r="65" spans="1:13" ht="16.5" customHeight="1" thickBot="1" x14ac:dyDescent="0.25">
      <c r="A65" s="37" t="s">
        <v>62</v>
      </c>
      <c r="B65" s="1031" t="s">
        <v>75</v>
      </c>
      <c r="C65" s="1032"/>
      <c r="D65" s="1032"/>
      <c r="E65" s="1032"/>
      <c r="F65" s="1033"/>
      <c r="G65" s="1034">
        <f>SUM(G61:M64)</f>
        <v>20707002.024607025</v>
      </c>
      <c r="H65" s="1035"/>
      <c r="I65" s="1035"/>
      <c r="J65" s="1035"/>
      <c r="K65" s="1035"/>
      <c r="L65" s="1035"/>
      <c r="M65" s="1036"/>
    </row>
    <row r="66" spans="1:13" x14ac:dyDescent="0.2">
      <c r="A66" s="30"/>
      <c r="E66" s="5"/>
      <c r="F66" s="5"/>
      <c r="G66" s="6"/>
      <c r="H66" s="6"/>
      <c r="I66" s="6"/>
      <c r="J66" s="6"/>
      <c r="K66" s="6"/>
      <c r="L66" s="6"/>
      <c r="M66" s="6"/>
    </row>
    <row r="67" spans="1:13" x14ac:dyDescent="0.2">
      <c r="E67" s="5"/>
      <c r="F67" s="5"/>
      <c r="G67" s="6"/>
      <c r="H67" s="6"/>
      <c r="I67" s="6"/>
      <c r="J67" s="6"/>
      <c r="K67" s="6"/>
      <c r="L67" s="6"/>
      <c r="M67" s="6"/>
    </row>
    <row r="68" spans="1:13" x14ac:dyDescent="0.2">
      <c r="E68" s="5"/>
      <c r="F68" s="5"/>
      <c r="G68" s="6"/>
      <c r="H68" s="6"/>
      <c r="I68" s="6"/>
      <c r="J68" s="6"/>
      <c r="K68" s="6"/>
      <c r="L68" s="6"/>
      <c r="M68" s="6"/>
    </row>
    <row r="69" spans="1:13" x14ac:dyDescent="0.2">
      <c r="E69" s="5"/>
      <c r="F69" s="5"/>
      <c r="G69" s="6"/>
      <c r="H69" s="6"/>
      <c r="I69" s="6" t="s">
        <v>118</v>
      </c>
      <c r="J69" s="6">
        <f>SUM(J29,K36,L44,M53)</f>
        <v>0</v>
      </c>
      <c r="K69" s="6"/>
      <c r="L69" s="6"/>
      <c r="M69" s="6"/>
    </row>
    <row r="70" spans="1:13" x14ac:dyDescent="0.2">
      <c r="E70" s="5"/>
      <c r="F70" s="5"/>
      <c r="G70" s="6"/>
      <c r="H70" s="6"/>
      <c r="I70" s="6"/>
      <c r="J70" s="6"/>
      <c r="K70" s="6"/>
      <c r="L70" s="6"/>
      <c r="M70" s="6"/>
    </row>
    <row r="71" spans="1:13" x14ac:dyDescent="0.2">
      <c r="E71" s="5"/>
      <c r="F71" s="5"/>
      <c r="G71" s="6"/>
      <c r="H71" s="6"/>
      <c r="I71" s="6"/>
      <c r="J71" s="6"/>
      <c r="K71" s="6"/>
      <c r="L71" s="6"/>
      <c r="M71" s="6"/>
    </row>
    <row r="72" spans="1:13" x14ac:dyDescent="0.2">
      <c r="E72" s="5"/>
      <c r="F72" s="5"/>
      <c r="G72" s="6"/>
      <c r="H72" s="6"/>
      <c r="I72" s="6"/>
      <c r="J72" s="6"/>
      <c r="K72" s="6"/>
      <c r="L72" s="6"/>
      <c r="M72" s="6"/>
    </row>
    <row r="73" spans="1:13" x14ac:dyDescent="0.2">
      <c r="E73" s="5"/>
      <c r="F73" s="5"/>
      <c r="G73" s="6"/>
      <c r="H73" s="6"/>
      <c r="I73" s="6"/>
      <c r="J73" s="6"/>
      <c r="K73" s="6"/>
      <c r="L73" s="6"/>
      <c r="M73" s="6"/>
    </row>
    <row r="74" spans="1:13" x14ac:dyDescent="0.2">
      <c r="E74" s="5"/>
      <c r="F74" s="5"/>
      <c r="G74" s="6"/>
      <c r="H74" s="6"/>
      <c r="I74" s="6"/>
      <c r="J74" s="6"/>
      <c r="K74" s="6"/>
      <c r="L74" s="6"/>
      <c r="M74" s="6"/>
    </row>
    <row r="75" spans="1:13" x14ac:dyDescent="0.2">
      <c r="E75" s="5"/>
      <c r="F75" s="5"/>
      <c r="G75" s="6"/>
      <c r="H75" s="6"/>
      <c r="I75" s="6"/>
      <c r="J75" s="6"/>
      <c r="K75" s="6"/>
      <c r="L75" s="6"/>
      <c r="M75" s="6"/>
    </row>
    <row r="76" spans="1:13" x14ac:dyDescent="0.2">
      <c r="G76" s="3"/>
      <c r="H76" s="3"/>
      <c r="I76" s="3"/>
      <c r="J76" s="3"/>
      <c r="K76" s="3"/>
      <c r="L76" s="3"/>
      <c r="M76" s="3"/>
    </row>
    <row r="77" spans="1:13" x14ac:dyDescent="0.2">
      <c r="G77" s="3"/>
      <c r="H77" s="3"/>
      <c r="I77" s="3"/>
      <c r="J77" s="3"/>
      <c r="K77" s="3"/>
      <c r="L77" s="3"/>
      <c r="M77" s="3"/>
    </row>
  </sheetData>
  <mergeCells count="15">
    <mergeCell ref="B65:F65"/>
    <mergeCell ref="G65:M65"/>
    <mergeCell ref="B62:F62"/>
    <mergeCell ref="G62:M62"/>
    <mergeCell ref="B64:F64"/>
    <mergeCell ref="G64:M64"/>
    <mergeCell ref="B63:F63"/>
    <mergeCell ref="G63:M63"/>
    <mergeCell ref="A6:A7"/>
    <mergeCell ref="F6:F7"/>
    <mergeCell ref="G6:M6"/>
    <mergeCell ref="G61:M61"/>
    <mergeCell ref="B60:F60"/>
    <mergeCell ref="B61:F61"/>
    <mergeCell ref="B6:B7"/>
  </mergeCells>
  <phoneticPr fontId="2" type="noConversion"/>
  <pageMargins left="1.5" right="1.5" top="0" bottom="0" header="0.5" footer="0.5"/>
  <pageSetup paperSize="3" scale="92" orientation="landscape" r:id="rId1"/>
  <headerFooter alignWithMargins="0">
    <oddFooter>&amp;C&amp;P&amp;R&amp;8&amp;F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4:V67"/>
  <sheetViews>
    <sheetView view="pageBreakPreview" zoomScale="90" zoomScaleNormal="100" workbookViewId="0">
      <selection activeCell="F15" sqref="F15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1.42578125" style="4" customWidth="1"/>
    <col min="7" max="13" width="11.85546875" style="2" customWidth="1"/>
    <col min="14" max="16384" width="9.140625" style="2"/>
  </cols>
  <sheetData>
    <row r="4" spans="1:13" x14ac:dyDescent="0.2">
      <c r="I4" s="434">
        <v>40862</v>
      </c>
    </row>
    <row r="5" spans="1:13" ht="13.5" thickBot="1" x14ac:dyDescent="0.25"/>
    <row r="6" spans="1:13" x14ac:dyDescent="0.2">
      <c r="A6" s="1016" t="s">
        <v>6</v>
      </c>
      <c r="B6" s="1029" t="s">
        <v>19</v>
      </c>
      <c r="C6" s="17" t="s">
        <v>1</v>
      </c>
      <c r="D6" s="7" t="s">
        <v>3</v>
      </c>
      <c r="E6" s="17" t="s">
        <v>4</v>
      </c>
      <c r="F6" s="1018" t="s">
        <v>0</v>
      </c>
      <c r="G6" s="1020" t="s">
        <v>16</v>
      </c>
      <c r="H6" s="1021"/>
      <c r="I6" s="1021"/>
      <c r="J6" s="1021"/>
      <c r="K6" s="1021"/>
      <c r="L6" s="1021"/>
      <c r="M6" s="1022"/>
    </row>
    <row r="7" spans="1:13" s="1" customFormat="1" ht="13.5" thickBot="1" x14ac:dyDescent="0.25">
      <c r="A7" s="1017"/>
      <c r="B7" s="1030"/>
      <c r="C7" s="18" t="s">
        <v>2</v>
      </c>
      <c r="D7" s="13" t="s">
        <v>2</v>
      </c>
      <c r="E7" s="18" t="s">
        <v>5</v>
      </c>
      <c r="F7" s="1019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">
      <c r="A9" s="237" t="s">
        <v>18</v>
      </c>
      <c r="B9" s="8"/>
      <c r="C9" s="19"/>
      <c r="D9" s="9"/>
      <c r="E9" s="397">
        <v>1250000</v>
      </c>
      <c r="F9" s="407">
        <f>E9</f>
        <v>1250000</v>
      </c>
      <c r="G9" s="406">
        <f>SUM(F9:F11)</f>
        <v>2382500</v>
      </c>
      <c r="H9" s="20"/>
      <c r="I9" s="10"/>
      <c r="J9" s="20"/>
      <c r="K9" s="10"/>
      <c r="L9" s="20"/>
      <c r="M9" s="11"/>
    </row>
    <row r="10" spans="1:13" x14ac:dyDescent="0.2">
      <c r="A10" s="237" t="s">
        <v>20</v>
      </c>
      <c r="B10" s="8" t="s">
        <v>33</v>
      </c>
      <c r="C10" s="19">
        <v>1360</v>
      </c>
      <c r="D10" s="9">
        <v>8</v>
      </c>
      <c r="E10" s="20">
        <v>300</v>
      </c>
      <c r="F10" s="10">
        <f>C10*E10</f>
        <v>408000</v>
      </c>
      <c r="G10" s="22"/>
      <c r="H10" s="20"/>
      <c r="I10" s="10"/>
      <c r="J10" s="20"/>
      <c r="K10" s="10"/>
      <c r="L10" s="20"/>
      <c r="M10" s="11"/>
    </row>
    <row r="11" spans="1:13" x14ac:dyDescent="0.2">
      <c r="A11" s="237" t="s">
        <v>32</v>
      </c>
      <c r="B11" s="8" t="s">
        <v>8</v>
      </c>
      <c r="C11" s="19">
        <f>1510+1388</f>
        <v>2898</v>
      </c>
      <c r="D11" s="9">
        <v>13</v>
      </c>
      <c r="E11" s="397">
        <v>250</v>
      </c>
      <c r="F11" s="396">
        <f>C11*E11</f>
        <v>724500</v>
      </c>
      <c r="G11" s="22"/>
      <c r="H11" s="20"/>
      <c r="I11" s="10"/>
      <c r="J11" s="20"/>
      <c r="K11" s="10"/>
      <c r="L11" s="20"/>
      <c r="M11" s="11"/>
    </row>
    <row r="12" spans="1:13" x14ac:dyDescent="0.2">
      <c r="A12" s="16"/>
      <c r="B12" s="8"/>
      <c r="C12" s="19"/>
      <c r="D12" s="9"/>
      <c r="E12" s="20"/>
      <c r="F12" s="10"/>
      <c r="G12" s="22"/>
      <c r="H12" s="20"/>
      <c r="I12" s="10"/>
      <c r="J12" s="20"/>
      <c r="K12" s="10"/>
      <c r="L12" s="20"/>
      <c r="M12" s="11"/>
    </row>
    <row r="13" spans="1:13" x14ac:dyDescent="0.2">
      <c r="A13" s="33" t="s">
        <v>10</v>
      </c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">
      <c r="A14" s="237" t="s">
        <v>22</v>
      </c>
      <c r="B14" s="8" t="s">
        <v>9</v>
      </c>
      <c r="C14" s="19">
        <v>0</v>
      </c>
      <c r="D14" s="35">
        <v>17</v>
      </c>
      <c r="E14" s="397">
        <v>0</v>
      </c>
      <c r="F14" s="396">
        <v>0</v>
      </c>
      <c r="G14" s="22"/>
      <c r="H14" s="404">
        <f>SUM(F14:F16)</f>
        <v>1872273.6746070276</v>
      </c>
      <c r="I14" s="10"/>
      <c r="J14" s="20"/>
      <c r="K14" s="10"/>
      <c r="L14" s="20"/>
      <c r="M14" s="11"/>
    </row>
    <row r="15" spans="1:13" x14ac:dyDescent="0.2">
      <c r="A15" s="237" t="s">
        <v>26</v>
      </c>
      <c r="B15" s="8" t="s">
        <v>8</v>
      </c>
      <c r="C15" s="19">
        <v>3171</v>
      </c>
      <c r="D15" s="9">
        <v>12</v>
      </c>
      <c r="E15" s="397">
        <f>550/1.19474</f>
        <v>460.35120612016004</v>
      </c>
      <c r="F15" s="396">
        <f>C15*E15</f>
        <v>1459773.6746070276</v>
      </c>
      <c r="G15" s="22"/>
      <c r="H15" s="20"/>
      <c r="I15" s="10"/>
      <c r="J15" s="20"/>
      <c r="K15" s="10"/>
      <c r="L15" s="20"/>
      <c r="M15" s="11"/>
    </row>
    <row r="16" spans="1:13" x14ac:dyDescent="0.2">
      <c r="A16" s="532" t="s">
        <v>329</v>
      </c>
      <c r="B16" s="533" t="s">
        <v>12</v>
      </c>
      <c r="C16" s="534">
        <v>2750</v>
      </c>
      <c r="D16" s="535">
        <v>10</v>
      </c>
      <c r="E16" s="536">
        <v>300</v>
      </c>
      <c r="F16" s="537">
        <f>0.5*C16*E16</f>
        <v>412500</v>
      </c>
      <c r="G16" s="22"/>
      <c r="H16" s="20"/>
      <c r="I16" s="10"/>
      <c r="J16" s="20"/>
      <c r="K16" s="10"/>
      <c r="L16" s="20"/>
      <c r="M16" s="11"/>
    </row>
    <row r="17" spans="1:13" x14ac:dyDescent="0.2">
      <c r="A17" s="32" t="s">
        <v>13</v>
      </c>
      <c r="B17" s="8"/>
      <c r="C17" s="19"/>
      <c r="D17" s="9"/>
      <c r="E17" s="20"/>
      <c r="F17" s="10"/>
      <c r="G17" s="22"/>
      <c r="H17" s="20"/>
      <c r="I17" s="10"/>
      <c r="J17" s="20"/>
      <c r="K17" s="10"/>
      <c r="L17" s="20"/>
      <c r="M17" s="11"/>
    </row>
    <row r="18" spans="1:13" x14ac:dyDescent="0.2">
      <c r="A18" s="238" t="s">
        <v>27</v>
      </c>
      <c r="B18" s="8" t="s">
        <v>12</v>
      </c>
      <c r="C18" s="19">
        <f>2238</f>
        <v>2238</v>
      </c>
      <c r="D18" s="9">
        <v>11</v>
      </c>
      <c r="E18" s="20">
        <v>450</v>
      </c>
      <c r="F18" s="10">
        <f>C18*E18</f>
        <v>1007100</v>
      </c>
      <c r="G18" s="22"/>
      <c r="H18" s="20"/>
      <c r="I18" s="10">
        <f>SUM(F18:F20)*0</f>
        <v>0</v>
      </c>
      <c r="J18" s="20"/>
      <c r="K18" s="10"/>
      <c r="L18" s="20"/>
      <c r="M18" s="11"/>
    </row>
    <row r="19" spans="1:13" x14ac:dyDescent="0.2">
      <c r="A19" s="238" t="s">
        <v>28</v>
      </c>
      <c r="B19" s="8" t="s">
        <v>12</v>
      </c>
      <c r="C19" s="19">
        <f>3790</f>
        <v>3790</v>
      </c>
      <c r="D19" s="9">
        <v>11</v>
      </c>
      <c r="E19" s="20">
        <v>450</v>
      </c>
      <c r="F19" s="10">
        <f>C19*E19</f>
        <v>1705500</v>
      </c>
      <c r="G19" s="22"/>
      <c r="H19" s="20"/>
      <c r="I19" s="10"/>
      <c r="J19" s="20"/>
      <c r="K19" s="10"/>
      <c r="L19" s="20"/>
      <c r="M19" s="11"/>
    </row>
    <row r="20" spans="1:13" x14ac:dyDescent="0.2">
      <c r="A20" s="238" t="s">
        <v>37</v>
      </c>
      <c r="B20" s="8" t="s">
        <v>38</v>
      </c>
      <c r="C20" s="19">
        <v>1600</v>
      </c>
      <c r="D20" s="9">
        <v>10</v>
      </c>
      <c r="E20" s="20">
        <v>140</v>
      </c>
      <c r="F20" s="10">
        <f>C20*E20</f>
        <v>224000</v>
      </c>
      <c r="G20" s="22"/>
      <c r="H20" s="20"/>
      <c r="I20" s="10"/>
      <c r="J20" s="20"/>
      <c r="K20" s="10"/>
      <c r="L20" s="20"/>
      <c r="M20" s="11"/>
    </row>
    <row r="21" spans="1:13" x14ac:dyDescent="0.2">
      <c r="A21" s="16"/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">
      <c r="A22" s="36" t="s">
        <v>14</v>
      </c>
      <c r="B22" s="8"/>
      <c r="C22" s="19"/>
      <c r="D22" s="9"/>
      <c r="E22" s="20"/>
      <c r="F22" s="10"/>
      <c r="G22" s="22"/>
      <c r="H22" s="20"/>
      <c r="I22" s="10"/>
      <c r="J22" s="20"/>
      <c r="K22" s="10"/>
      <c r="L22" s="20"/>
      <c r="M22" s="11"/>
    </row>
    <row r="23" spans="1:13" x14ac:dyDescent="0.2">
      <c r="A23" s="238" t="s">
        <v>39</v>
      </c>
      <c r="B23" s="8" t="s">
        <v>11</v>
      </c>
      <c r="C23" s="19">
        <f>4050</f>
        <v>4050</v>
      </c>
      <c r="D23" s="9">
        <v>8</v>
      </c>
      <c r="E23" s="20">
        <v>240</v>
      </c>
      <c r="F23" s="10">
        <f>C23*E23</f>
        <v>972000</v>
      </c>
      <c r="G23" s="22"/>
      <c r="H23" s="20"/>
      <c r="J23" s="20">
        <f>SUM(F23:F25)*0</f>
        <v>0</v>
      </c>
      <c r="K23" s="10"/>
      <c r="L23" s="20"/>
      <c r="M23" s="11"/>
    </row>
    <row r="24" spans="1:13" x14ac:dyDescent="0.2">
      <c r="A24" s="238" t="s">
        <v>40</v>
      </c>
      <c r="B24" s="8" t="s">
        <v>11</v>
      </c>
      <c r="C24" s="19">
        <f>2630+1360</f>
        <v>3990</v>
      </c>
      <c r="D24" s="9">
        <v>8</v>
      </c>
      <c r="E24" s="20">
        <v>240</v>
      </c>
      <c r="F24" s="10">
        <f>C24*E24</f>
        <v>957600</v>
      </c>
      <c r="G24" s="22"/>
      <c r="H24" s="20"/>
      <c r="I24" s="10"/>
      <c r="J24" s="20"/>
      <c r="K24" s="10"/>
      <c r="L24" s="20"/>
      <c r="M24" s="11"/>
    </row>
    <row r="25" spans="1:13" x14ac:dyDescent="0.2">
      <c r="A25" s="238" t="s">
        <v>41</v>
      </c>
      <c r="B25" s="8" t="s">
        <v>11</v>
      </c>
      <c r="C25" s="19">
        <f>3925+1600</f>
        <v>5525</v>
      </c>
      <c r="D25" s="9">
        <v>6</v>
      </c>
      <c r="E25" s="20">
        <v>240</v>
      </c>
      <c r="F25" s="10">
        <f>C25*E25</f>
        <v>1326000</v>
      </c>
      <c r="G25" s="22"/>
      <c r="H25" s="20"/>
      <c r="I25" s="10"/>
      <c r="J25" s="20"/>
      <c r="K25" s="10"/>
      <c r="L25" s="20"/>
      <c r="M25" s="11"/>
    </row>
    <row r="26" spans="1:13" x14ac:dyDescent="0.2">
      <c r="A26" s="16"/>
      <c r="B26" s="8"/>
      <c r="C26" s="19"/>
      <c r="D26" s="9"/>
      <c r="E26" s="20"/>
      <c r="F26" s="10"/>
      <c r="G26" s="22"/>
      <c r="H26" s="20"/>
      <c r="I26" s="10"/>
      <c r="J26" s="20"/>
      <c r="K26" s="10"/>
      <c r="L26" s="20"/>
      <c r="M26" s="11"/>
    </row>
    <row r="27" spans="1:13" x14ac:dyDescent="0.2">
      <c r="A27" s="34" t="s">
        <v>15</v>
      </c>
      <c r="B27" s="8"/>
      <c r="C27" s="19"/>
      <c r="D27" s="9"/>
      <c r="E27" s="20"/>
      <c r="F27" s="10"/>
      <c r="G27" s="22"/>
      <c r="H27" s="20"/>
      <c r="I27" s="10"/>
      <c r="J27" s="20"/>
      <c r="K27" s="10"/>
      <c r="L27" s="20"/>
      <c r="M27" s="11"/>
    </row>
    <row r="28" spans="1:13" x14ac:dyDescent="0.2">
      <c r="A28" s="243" t="s">
        <v>34</v>
      </c>
      <c r="B28" s="8" t="s">
        <v>12</v>
      </c>
      <c r="C28" s="19">
        <v>4560</v>
      </c>
      <c r="D28" s="9">
        <v>12</v>
      </c>
      <c r="E28" s="20">
        <v>450</v>
      </c>
      <c r="F28" s="10">
        <f>C28*E28*0</f>
        <v>0</v>
      </c>
      <c r="G28" s="22"/>
      <c r="H28" s="20"/>
      <c r="I28" s="10"/>
      <c r="J28" s="20"/>
      <c r="K28" s="10">
        <f>SUM(F28:F32)</f>
        <v>0</v>
      </c>
      <c r="L28" s="20"/>
      <c r="M28" s="11"/>
    </row>
    <row r="29" spans="1:13" x14ac:dyDescent="0.2">
      <c r="A29" s="243" t="s">
        <v>29</v>
      </c>
      <c r="B29" s="8" t="s">
        <v>12</v>
      </c>
      <c r="C29" s="19">
        <f>1780+820</f>
        <v>2600</v>
      </c>
      <c r="D29" s="9">
        <v>13</v>
      </c>
      <c r="E29" s="20">
        <v>450</v>
      </c>
      <c r="F29" s="10">
        <f>C29*E29*0</f>
        <v>0</v>
      </c>
      <c r="G29" s="22"/>
      <c r="H29" s="20"/>
      <c r="I29" s="10"/>
      <c r="J29" s="20"/>
      <c r="K29" s="10"/>
      <c r="L29" s="20"/>
      <c r="M29" s="11"/>
    </row>
    <row r="30" spans="1:13" x14ac:dyDescent="0.2">
      <c r="A30" s="238" t="s">
        <v>30</v>
      </c>
      <c r="B30" s="8" t="s">
        <v>11</v>
      </c>
      <c r="C30" s="19">
        <f>6904</f>
        <v>6904</v>
      </c>
      <c r="D30" s="9">
        <v>12</v>
      </c>
      <c r="E30" s="20">
        <v>400</v>
      </c>
      <c r="F30" s="10">
        <f>C30*E30*0</f>
        <v>0</v>
      </c>
      <c r="G30" s="22"/>
      <c r="H30" s="20"/>
      <c r="I30" s="10"/>
      <c r="J30" s="20"/>
      <c r="K30" s="10"/>
      <c r="L30" s="20"/>
      <c r="M30" s="11"/>
    </row>
    <row r="31" spans="1:13" x14ac:dyDescent="0.2">
      <c r="A31" s="238" t="s">
        <v>37</v>
      </c>
      <c r="B31" s="8" t="s">
        <v>38</v>
      </c>
      <c r="C31" s="19">
        <v>1920</v>
      </c>
      <c r="D31" s="9">
        <v>10</v>
      </c>
      <c r="E31" s="20">
        <v>140</v>
      </c>
      <c r="F31" s="10">
        <f>C31*E31*0</f>
        <v>0</v>
      </c>
      <c r="G31" s="22"/>
      <c r="H31" s="20"/>
      <c r="I31" s="10"/>
      <c r="J31" s="20"/>
      <c r="K31" s="10"/>
      <c r="L31" s="20"/>
      <c r="M31" s="11"/>
    </row>
    <row r="32" spans="1:13" x14ac:dyDescent="0.2">
      <c r="A32" s="238" t="s">
        <v>42</v>
      </c>
      <c r="B32" s="8" t="s">
        <v>38</v>
      </c>
      <c r="C32" s="19">
        <v>4460</v>
      </c>
      <c r="D32" s="9">
        <v>10</v>
      </c>
      <c r="E32" s="20">
        <v>140</v>
      </c>
      <c r="F32" s="10">
        <f>C32*E32*0</f>
        <v>0</v>
      </c>
      <c r="G32" s="22"/>
      <c r="H32" s="20"/>
      <c r="I32" s="10"/>
      <c r="J32" s="20"/>
      <c r="K32" s="10"/>
      <c r="L32" s="20"/>
      <c r="M32" s="11"/>
    </row>
    <row r="33" spans="1:13" x14ac:dyDescent="0.2">
      <c r="A33" s="16"/>
      <c r="B33" s="8"/>
      <c r="C33" s="19"/>
      <c r="D33" s="9"/>
      <c r="E33" s="20"/>
      <c r="F33" s="10"/>
      <c r="G33" s="22"/>
      <c r="H33" s="20"/>
      <c r="I33" s="10"/>
      <c r="J33" s="20"/>
      <c r="K33" s="10"/>
      <c r="L33" s="20"/>
      <c r="M33" s="11"/>
    </row>
    <row r="34" spans="1:13" x14ac:dyDescent="0.2">
      <c r="A34" s="34" t="s">
        <v>35</v>
      </c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">
      <c r="A35" s="238" t="s">
        <v>23</v>
      </c>
      <c r="B35" s="8" t="s">
        <v>12</v>
      </c>
      <c r="C35" s="19">
        <f>2900+2600</f>
        <v>5500</v>
      </c>
      <c r="D35" s="9">
        <v>14</v>
      </c>
      <c r="E35" s="20">
        <v>450</v>
      </c>
      <c r="F35" s="10">
        <f t="shared" ref="F35:F40" si="0">C35*E35</f>
        <v>2475000</v>
      </c>
      <c r="G35" s="22"/>
      <c r="H35" s="20"/>
      <c r="I35" s="10"/>
      <c r="J35" s="20"/>
      <c r="K35" s="10"/>
      <c r="L35" s="20">
        <f>SUM(F35:F40)*0</f>
        <v>0</v>
      </c>
      <c r="M35" s="11"/>
    </row>
    <row r="36" spans="1:13" x14ac:dyDescent="0.2">
      <c r="A36" s="238" t="s">
        <v>24</v>
      </c>
      <c r="B36" s="8" t="s">
        <v>11</v>
      </c>
      <c r="C36" s="19">
        <f>2650+900+1500</f>
        <v>5050</v>
      </c>
      <c r="D36" s="9">
        <v>14</v>
      </c>
      <c r="E36" s="20">
        <v>400</v>
      </c>
      <c r="F36" s="10">
        <f t="shared" si="0"/>
        <v>2020000</v>
      </c>
      <c r="G36" s="22"/>
      <c r="H36" s="20"/>
      <c r="I36" s="10"/>
      <c r="J36" s="20"/>
      <c r="K36" s="10"/>
      <c r="L36" s="20"/>
      <c r="M36" s="11"/>
    </row>
    <row r="37" spans="1:13" x14ac:dyDescent="0.2">
      <c r="A37" s="238" t="s">
        <v>25</v>
      </c>
      <c r="B37" s="8" t="s">
        <v>11</v>
      </c>
      <c r="C37" s="19">
        <f>810+2630+1320</f>
        <v>4760</v>
      </c>
      <c r="D37" s="9">
        <v>14</v>
      </c>
      <c r="E37" s="20">
        <v>400</v>
      </c>
      <c r="F37" s="10">
        <f t="shared" si="0"/>
        <v>1904000</v>
      </c>
      <c r="G37" s="22"/>
      <c r="H37" s="20"/>
      <c r="I37" s="10"/>
      <c r="J37" s="20"/>
      <c r="K37" s="10"/>
      <c r="L37" s="20"/>
      <c r="M37" s="11"/>
    </row>
    <row r="38" spans="1:13" x14ac:dyDescent="0.2">
      <c r="A38" s="238" t="s">
        <v>37</v>
      </c>
      <c r="B38" s="8" t="s">
        <v>38</v>
      </c>
      <c r="C38" s="19">
        <v>2400</v>
      </c>
      <c r="D38" s="9">
        <v>10</v>
      </c>
      <c r="E38" s="20">
        <v>140</v>
      </c>
      <c r="F38" s="10">
        <f t="shared" si="0"/>
        <v>336000</v>
      </c>
      <c r="G38" s="22"/>
      <c r="H38" s="20"/>
      <c r="I38" s="10"/>
      <c r="J38" s="20"/>
      <c r="K38" s="10"/>
      <c r="L38" s="20"/>
      <c r="M38" s="11"/>
    </row>
    <row r="39" spans="1:13" x14ac:dyDescent="0.2">
      <c r="A39" s="238" t="s">
        <v>42</v>
      </c>
      <c r="B39" s="8" t="s">
        <v>38</v>
      </c>
      <c r="C39" s="19">
        <v>3200</v>
      </c>
      <c r="D39" s="9">
        <v>10</v>
      </c>
      <c r="E39" s="20">
        <v>140</v>
      </c>
      <c r="F39" s="10">
        <f t="shared" si="0"/>
        <v>448000</v>
      </c>
      <c r="G39" s="22"/>
      <c r="H39" s="20"/>
      <c r="I39" s="10"/>
      <c r="J39" s="20"/>
      <c r="K39" s="10"/>
      <c r="L39" s="20"/>
      <c r="M39" s="11"/>
    </row>
    <row r="40" spans="1:13" x14ac:dyDescent="0.2">
      <c r="A40" s="238" t="s">
        <v>43</v>
      </c>
      <c r="B40" s="8" t="s">
        <v>38</v>
      </c>
      <c r="C40" s="19">
        <v>1900</v>
      </c>
      <c r="D40" s="9">
        <v>10</v>
      </c>
      <c r="E40" s="20">
        <v>140</v>
      </c>
      <c r="F40" s="10">
        <f t="shared" si="0"/>
        <v>266000</v>
      </c>
      <c r="G40" s="22"/>
      <c r="H40" s="20"/>
      <c r="I40" s="10"/>
      <c r="J40" s="20"/>
      <c r="K40" s="10"/>
      <c r="L40" s="20"/>
      <c r="M40" s="11"/>
    </row>
    <row r="41" spans="1:13" x14ac:dyDescent="0.2">
      <c r="A41" s="16"/>
      <c r="B41" s="8"/>
      <c r="C41" s="19"/>
      <c r="D41" s="9"/>
      <c r="E41" s="20"/>
      <c r="F41" s="10"/>
      <c r="G41" s="22"/>
      <c r="H41" s="20"/>
      <c r="I41" s="10"/>
      <c r="J41" s="20"/>
      <c r="K41" s="10"/>
      <c r="L41" s="20"/>
      <c r="M41" s="11"/>
    </row>
    <row r="42" spans="1:13" x14ac:dyDescent="0.2">
      <c r="A42" s="33" t="s">
        <v>36</v>
      </c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">
      <c r="A43" s="237" t="s">
        <v>244</v>
      </c>
      <c r="B43" s="8" t="s">
        <v>11</v>
      </c>
      <c r="C43" s="19">
        <v>5800</v>
      </c>
      <c r="D43" s="9">
        <v>13</v>
      </c>
      <c r="E43" s="397">
        <v>200</v>
      </c>
      <c r="F43" s="396">
        <f>C43*E43</f>
        <v>1160000</v>
      </c>
      <c r="G43" s="22"/>
      <c r="H43" s="20"/>
      <c r="I43" s="10"/>
      <c r="J43" s="20"/>
      <c r="K43" s="10"/>
      <c r="L43" s="20"/>
      <c r="M43" s="405">
        <f>SUM(F43:F51)</f>
        <v>1660000</v>
      </c>
    </row>
    <row r="44" spans="1:13" x14ac:dyDescent="0.2">
      <c r="A44" s="237" t="s">
        <v>265</v>
      </c>
      <c r="B44" s="8"/>
      <c r="C44" s="19"/>
      <c r="D44" s="9"/>
      <c r="E44" s="20">
        <v>500000</v>
      </c>
      <c r="F44" s="10">
        <f>E44</f>
        <v>500000</v>
      </c>
      <c r="G44" s="22"/>
      <c r="H44" s="20"/>
      <c r="I44" s="10"/>
      <c r="J44" s="20"/>
      <c r="K44" s="10"/>
      <c r="L44" s="20"/>
      <c r="M44" s="11"/>
    </row>
    <row r="45" spans="1:13" x14ac:dyDescent="0.2">
      <c r="A45" s="238" t="s">
        <v>31</v>
      </c>
      <c r="B45" s="8" t="s">
        <v>11</v>
      </c>
      <c r="C45" s="19">
        <v>6288</v>
      </c>
      <c r="D45" s="9">
        <v>13</v>
      </c>
      <c r="E45" s="20">
        <v>400</v>
      </c>
      <c r="F45" s="10">
        <f t="shared" ref="F45:F51" si="1">C45*E45*0</f>
        <v>0</v>
      </c>
      <c r="G45" s="22"/>
      <c r="H45" s="20"/>
      <c r="I45" s="10"/>
      <c r="J45" s="20"/>
      <c r="K45" s="10"/>
      <c r="L45" s="20"/>
      <c r="M45" s="11"/>
    </row>
    <row r="46" spans="1:13" x14ac:dyDescent="0.2">
      <c r="A46" s="238" t="s">
        <v>44</v>
      </c>
      <c r="B46" s="8" t="s">
        <v>11</v>
      </c>
      <c r="C46" s="19">
        <v>1980</v>
      </c>
      <c r="D46" s="9">
        <v>11</v>
      </c>
      <c r="E46" s="20">
        <v>400</v>
      </c>
      <c r="F46" s="10">
        <f t="shared" si="1"/>
        <v>0</v>
      </c>
      <c r="G46" s="22"/>
      <c r="H46" s="20"/>
      <c r="I46" s="10"/>
      <c r="J46" s="20"/>
      <c r="K46" s="10"/>
      <c r="L46" s="20"/>
      <c r="M46" s="11"/>
    </row>
    <row r="47" spans="1:13" x14ac:dyDescent="0.2">
      <c r="A47" s="238" t="s">
        <v>45</v>
      </c>
      <c r="B47" s="8" t="s">
        <v>11</v>
      </c>
      <c r="C47" s="19">
        <f>4127</f>
        <v>4127</v>
      </c>
      <c r="D47" s="9">
        <v>13</v>
      </c>
      <c r="E47" s="20">
        <v>400</v>
      </c>
      <c r="F47" s="10">
        <f t="shared" si="1"/>
        <v>0</v>
      </c>
      <c r="G47" s="22"/>
      <c r="H47" s="20"/>
      <c r="I47" s="10"/>
      <c r="J47" s="20"/>
      <c r="K47" s="10"/>
      <c r="L47" s="20"/>
      <c r="M47" s="11"/>
    </row>
    <row r="48" spans="1:13" x14ac:dyDescent="0.2">
      <c r="A48" s="238" t="s">
        <v>37</v>
      </c>
      <c r="B48" s="8" t="s">
        <v>38</v>
      </c>
      <c r="C48" s="19">
        <v>2640</v>
      </c>
      <c r="D48" s="9">
        <v>10</v>
      </c>
      <c r="E48" s="20">
        <v>140</v>
      </c>
      <c r="F48" s="10">
        <f t="shared" si="1"/>
        <v>0</v>
      </c>
      <c r="G48" s="22"/>
      <c r="H48" s="20"/>
      <c r="I48" s="10"/>
      <c r="J48" s="20"/>
      <c r="K48" s="10"/>
      <c r="L48" s="20"/>
      <c r="M48" s="11"/>
    </row>
    <row r="49" spans="1:22" x14ac:dyDescent="0.2">
      <c r="A49" s="238" t="s">
        <v>42</v>
      </c>
      <c r="B49" s="8" t="s">
        <v>38</v>
      </c>
      <c r="C49" s="19">
        <v>1310</v>
      </c>
      <c r="D49" s="9">
        <v>10</v>
      </c>
      <c r="E49" s="20">
        <v>140</v>
      </c>
      <c r="F49" s="10">
        <f t="shared" si="1"/>
        <v>0</v>
      </c>
      <c r="G49" s="22"/>
      <c r="H49" s="20"/>
      <c r="I49" s="10"/>
      <c r="J49" s="20"/>
      <c r="K49" s="10"/>
      <c r="L49" s="20"/>
      <c r="M49" s="11"/>
    </row>
    <row r="50" spans="1:22" x14ac:dyDescent="0.2">
      <c r="A50" s="238" t="s">
        <v>43</v>
      </c>
      <c r="B50" s="8" t="s">
        <v>38</v>
      </c>
      <c r="C50" s="19">
        <v>1460</v>
      </c>
      <c r="D50" s="9">
        <v>10</v>
      </c>
      <c r="E50" s="20">
        <v>140</v>
      </c>
      <c r="F50" s="10">
        <f t="shared" si="1"/>
        <v>0</v>
      </c>
      <c r="G50" s="22"/>
      <c r="H50" s="20"/>
      <c r="I50" s="10"/>
      <c r="J50" s="20"/>
      <c r="K50" s="10"/>
      <c r="L50" s="20"/>
      <c r="M50" s="11"/>
    </row>
    <row r="51" spans="1:22" ht="13.5" thickBot="1" x14ac:dyDescent="0.25">
      <c r="A51" s="238" t="s">
        <v>46</v>
      </c>
      <c r="B51" s="8" t="s">
        <v>38</v>
      </c>
      <c r="C51" s="19">
        <v>3100</v>
      </c>
      <c r="D51" s="9">
        <v>10</v>
      </c>
      <c r="E51" s="20">
        <v>140</v>
      </c>
      <c r="F51" s="10">
        <f t="shared" si="1"/>
        <v>0</v>
      </c>
      <c r="G51" s="22"/>
      <c r="H51" s="20"/>
      <c r="I51" s="10"/>
      <c r="J51" s="20"/>
      <c r="K51" s="10"/>
      <c r="L51" s="20"/>
      <c r="M51" s="11"/>
    </row>
    <row r="52" spans="1:22" ht="19.5" customHeight="1" thickBot="1" x14ac:dyDescent="0.25">
      <c r="A52" s="24" t="s">
        <v>17</v>
      </c>
      <c r="B52" s="1026"/>
      <c r="C52" s="1027"/>
      <c r="D52" s="1027"/>
      <c r="E52" s="1027"/>
      <c r="F52" s="1028"/>
      <c r="G52" s="27">
        <f>SUM(G8:G47)</f>
        <v>2382500</v>
      </c>
      <c r="H52" s="25">
        <f t="shared" ref="H52:M52" si="2">SUM(H8:H51)</f>
        <v>1872273.6746070276</v>
      </c>
      <c r="I52" s="26">
        <f t="shared" si="2"/>
        <v>0</v>
      </c>
      <c r="J52" s="25">
        <f t="shared" si="2"/>
        <v>0</v>
      </c>
      <c r="K52" s="26">
        <f t="shared" si="2"/>
        <v>0</v>
      </c>
      <c r="L52" s="25">
        <f t="shared" si="2"/>
        <v>0</v>
      </c>
      <c r="M52" s="28">
        <f t="shared" si="2"/>
        <v>1660000</v>
      </c>
    </row>
    <row r="53" spans="1:22" ht="19.5" customHeight="1" thickBot="1" x14ac:dyDescent="0.25">
      <c r="A53" s="15" t="s">
        <v>0</v>
      </c>
      <c r="B53" s="1026" t="s">
        <v>59</v>
      </c>
      <c r="C53" s="1027"/>
      <c r="D53" s="1027"/>
      <c r="E53" s="1027"/>
      <c r="F53" s="1028"/>
      <c r="G53" s="1023">
        <f>SUM(G52:M52)</f>
        <v>5914773.6746070273</v>
      </c>
      <c r="H53" s="1024"/>
      <c r="I53" s="1024"/>
      <c r="J53" s="1024"/>
      <c r="K53" s="1024"/>
      <c r="L53" s="1024"/>
      <c r="M53" s="1025"/>
    </row>
    <row r="54" spans="1:22" x14ac:dyDescent="0.2">
      <c r="A54" s="30" t="s">
        <v>21</v>
      </c>
      <c r="E54" s="5"/>
      <c r="F54" s="5"/>
      <c r="G54" s="6"/>
      <c r="H54" s="6"/>
      <c r="I54" s="6"/>
      <c r="J54" s="6"/>
      <c r="K54" s="6"/>
      <c r="L54" s="6"/>
      <c r="M54" s="6"/>
    </row>
    <row r="55" spans="1:22" ht="13.5" thickBot="1" x14ac:dyDescent="0.25">
      <c r="A55" s="30"/>
      <c r="E55" s="5"/>
      <c r="F55" s="5"/>
      <c r="G55" s="6"/>
      <c r="H55" s="6"/>
      <c r="I55" s="6"/>
      <c r="J55" s="6"/>
      <c r="K55" s="6"/>
      <c r="L55" s="6"/>
      <c r="M55" s="6"/>
    </row>
    <row r="56" spans="1:22" ht="12.75" customHeight="1" x14ac:dyDescent="0.2">
      <c r="A56" s="1051" t="s">
        <v>63</v>
      </c>
      <c r="B56" s="1045" t="s">
        <v>64</v>
      </c>
      <c r="C56" s="1046"/>
      <c r="D56" s="1057" t="s">
        <v>65</v>
      </c>
      <c r="E56" s="1057"/>
      <c r="F56" s="1058"/>
      <c r="G56" s="1043" t="s">
        <v>70</v>
      </c>
      <c r="H56" s="1044"/>
      <c r="I56" s="6"/>
      <c r="J56" s="6"/>
      <c r="K56" s="6"/>
      <c r="L56" s="6"/>
      <c r="M56" s="6"/>
    </row>
    <row r="57" spans="1:22" ht="14.25" x14ac:dyDescent="0.2">
      <c r="A57" s="1052"/>
      <c r="B57" s="1047"/>
      <c r="C57" s="1048"/>
      <c r="D57" s="1060" t="s">
        <v>66</v>
      </c>
      <c r="E57" s="1060"/>
      <c r="F57" s="70" t="s">
        <v>69</v>
      </c>
      <c r="G57" s="72" t="s">
        <v>67</v>
      </c>
      <c r="H57" s="42" t="s">
        <v>68</v>
      </c>
      <c r="I57" s="6"/>
      <c r="J57" s="6"/>
      <c r="K57" s="6"/>
      <c r="L57" s="6"/>
      <c r="M57" s="6"/>
    </row>
    <row r="58" spans="1:22" ht="20.25" customHeight="1" thickBot="1" x14ac:dyDescent="0.25">
      <c r="A58" s="1052"/>
      <c r="B58" s="1049">
        <f>'Levee &amp; Monitor'!C11</f>
        <v>16161</v>
      </c>
      <c r="C58" s="1050"/>
      <c r="D58" s="1061">
        <f>'Levee &amp; Monitor'!G11</f>
        <v>9703685</v>
      </c>
      <c r="E58" s="1061"/>
      <c r="F58" s="71">
        <f>D58*0.037</f>
        <v>359036.34499999997</v>
      </c>
      <c r="G58" s="73">
        <f>'Levee &amp; Monitor'!$H$11</f>
        <v>1508838</v>
      </c>
      <c r="H58" s="74">
        <f>G58/43560</f>
        <v>34.638154269972453</v>
      </c>
      <c r="I58" s="10"/>
      <c r="J58" s="10"/>
      <c r="K58" s="10"/>
      <c r="L58" s="10"/>
      <c r="M58" s="10"/>
      <c r="N58" s="38"/>
      <c r="O58" s="38"/>
      <c r="P58" s="38"/>
      <c r="Q58" s="38"/>
      <c r="R58" s="38"/>
      <c r="S58" s="38"/>
      <c r="T58" s="38"/>
      <c r="U58" s="38"/>
      <c r="V58" s="38"/>
    </row>
    <row r="59" spans="1:22" ht="17.25" customHeight="1" x14ac:dyDescent="0.2">
      <c r="A59" s="43" t="s">
        <v>85</v>
      </c>
      <c r="B59" s="1053" t="s">
        <v>78</v>
      </c>
      <c r="C59" s="1054"/>
      <c r="D59" s="1057" t="s">
        <v>71</v>
      </c>
      <c r="E59" s="1057"/>
      <c r="F59" s="1058"/>
      <c r="G59" s="40" t="s">
        <v>74</v>
      </c>
      <c r="H59" s="41" t="s">
        <v>72</v>
      </c>
      <c r="I59" s="6"/>
      <c r="J59" s="6"/>
      <c r="K59" s="6"/>
      <c r="L59" s="6"/>
      <c r="M59" s="6"/>
    </row>
    <row r="60" spans="1:22" ht="17.25" customHeight="1" thickBot="1" x14ac:dyDescent="0.25">
      <c r="A60" s="44" t="s">
        <v>86</v>
      </c>
      <c r="B60" s="1055">
        <v>30</v>
      </c>
      <c r="C60" s="1056"/>
      <c r="D60" s="1056">
        <f>$F$58*$B$60</f>
        <v>10771090.35</v>
      </c>
      <c r="E60" s="1056"/>
      <c r="F60" s="1059"/>
      <c r="G60" s="81">
        <v>1</v>
      </c>
      <c r="H60" s="39">
        <f>G58*G60</f>
        <v>1508838</v>
      </c>
      <c r="I60" s="6"/>
      <c r="J60" s="6"/>
      <c r="K60" s="6"/>
      <c r="L60" s="6"/>
      <c r="M60" s="6"/>
    </row>
    <row r="61" spans="1:22" ht="18.75" customHeight="1" thickBot="1" x14ac:dyDescent="0.25">
      <c r="B61" s="1037" t="s">
        <v>73</v>
      </c>
      <c r="C61" s="1038"/>
      <c r="D61" s="1039">
        <f>D60+H60</f>
        <v>12279928.35</v>
      </c>
      <c r="E61" s="1040"/>
      <c r="F61" s="1040"/>
      <c r="G61" s="1040"/>
      <c r="H61" s="1041"/>
      <c r="I61" s="6"/>
      <c r="J61" s="6"/>
      <c r="K61" s="6"/>
      <c r="L61" s="6"/>
      <c r="M61" s="6"/>
    </row>
    <row r="62" spans="1:22" x14ac:dyDescent="0.2">
      <c r="E62" s="5"/>
      <c r="F62" s="5"/>
      <c r="G62" s="6"/>
      <c r="H62" s="6"/>
      <c r="I62" s="6"/>
      <c r="J62" s="6"/>
      <c r="K62" s="6"/>
      <c r="L62" s="6"/>
      <c r="M62" s="6"/>
    </row>
    <row r="63" spans="1:22" x14ac:dyDescent="0.2">
      <c r="E63" s="5"/>
      <c r="F63" s="1042"/>
      <c r="G63" s="1042"/>
      <c r="H63" s="6"/>
      <c r="I63" s="6"/>
      <c r="J63" s="6"/>
      <c r="K63" s="6"/>
      <c r="L63" s="6"/>
      <c r="M63" s="6"/>
    </row>
    <row r="64" spans="1:22" x14ac:dyDescent="0.2">
      <c r="E64" s="5"/>
      <c r="F64" s="5">
        <f>D61</f>
        <v>12279928.35</v>
      </c>
      <c r="G64" s="6"/>
      <c r="H64" s="6"/>
      <c r="I64" s="6"/>
      <c r="J64" s="6"/>
      <c r="K64" s="6"/>
      <c r="L64" s="6"/>
      <c r="M64" s="6"/>
    </row>
    <row r="65" spans="5:13" x14ac:dyDescent="0.2">
      <c r="E65" s="5"/>
      <c r="F65" s="5"/>
      <c r="G65" s="6"/>
      <c r="H65" s="6"/>
      <c r="I65" s="6"/>
      <c r="J65" s="6"/>
      <c r="K65" s="6"/>
      <c r="L65" s="6"/>
      <c r="M65" s="6"/>
    </row>
    <row r="66" spans="5:13" x14ac:dyDescent="0.2">
      <c r="G66" s="3"/>
      <c r="H66" s="3"/>
      <c r="I66" s="3"/>
      <c r="J66" s="3"/>
      <c r="K66" s="3"/>
      <c r="L66" s="3"/>
      <c r="M66" s="3"/>
    </row>
    <row r="67" spans="5:13" x14ac:dyDescent="0.2">
      <c r="G67" s="3"/>
      <c r="H67" s="3"/>
      <c r="I67" s="3"/>
      <c r="J67" s="3"/>
      <c r="K67" s="3"/>
      <c r="L67" s="3"/>
      <c r="M67" s="3"/>
    </row>
  </sheetData>
  <mergeCells count="21">
    <mergeCell ref="A6:A7"/>
    <mergeCell ref="F6:F7"/>
    <mergeCell ref="G6:M6"/>
    <mergeCell ref="G53:M53"/>
    <mergeCell ref="B52:F52"/>
    <mergeCell ref="B53:F53"/>
    <mergeCell ref="B6:B7"/>
    <mergeCell ref="A56:A58"/>
    <mergeCell ref="B59:C59"/>
    <mergeCell ref="B60:C60"/>
    <mergeCell ref="D59:F59"/>
    <mergeCell ref="D60:F60"/>
    <mergeCell ref="D57:E57"/>
    <mergeCell ref="D58:E58"/>
    <mergeCell ref="D56:F56"/>
    <mergeCell ref="B61:C61"/>
    <mergeCell ref="D61:H61"/>
    <mergeCell ref="F63:G63"/>
    <mergeCell ref="G56:H56"/>
    <mergeCell ref="B56:C57"/>
    <mergeCell ref="B58:C58"/>
  </mergeCells>
  <phoneticPr fontId="2" type="noConversion"/>
  <pageMargins left="1.25" right="1.25" top="0" bottom="0" header="0.5" footer="0.5"/>
  <pageSetup scale="67" orientation="landscape" r:id="rId1"/>
  <headerFooter alignWithMargins="0">
    <oddFooter>&amp;C&amp;P&amp;R&amp;8&amp;F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"/>
  <sheetViews>
    <sheetView showOutlineSymbols="0" view="pageBreakPreview" topLeftCell="A69" zoomScaleNormal="100" zoomScaleSheetLayoutView="100" workbookViewId="0">
      <selection activeCell="O91" sqref="O91"/>
    </sheetView>
  </sheetViews>
  <sheetFormatPr defaultColWidth="9.140625" defaultRowHeight="12.75" outlineLevelRow="1" x14ac:dyDescent="0.2"/>
  <cols>
    <col min="1" max="1" width="12.7109375" style="286" customWidth="1"/>
    <col min="2" max="2" width="12.7109375" style="46" customWidth="1"/>
    <col min="3" max="4" width="12.7109375" style="311" customWidth="1"/>
    <col min="5" max="6" width="12.7109375" style="282" customWidth="1"/>
    <col min="7" max="7" width="1.85546875" style="45" customWidth="1"/>
    <col min="8" max="8" width="9.28515625" style="45" customWidth="1"/>
    <col min="9" max="9" width="10.7109375" style="45" customWidth="1"/>
    <col min="10" max="10" width="11" style="438" customWidth="1"/>
    <col min="11" max="11" width="10.28515625" style="440" customWidth="1"/>
    <col min="12" max="12" width="7" style="46" customWidth="1"/>
    <col min="13" max="13" width="3.42578125" style="46" customWidth="1"/>
    <col min="14" max="14" width="9.28515625" style="45" customWidth="1"/>
    <col min="15" max="15" width="10.7109375" style="45" customWidth="1"/>
    <col min="16" max="16" width="11" style="438" customWidth="1"/>
    <col min="17" max="17" width="10.28515625" style="440" customWidth="1"/>
    <col min="18" max="18" width="7" style="46" customWidth="1"/>
    <col min="19" max="19" width="7.28515625" style="45" customWidth="1"/>
    <col min="20" max="21" width="13.28515625" style="45" customWidth="1"/>
    <col min="22" max="16384" width="9.140625" style="45"/>
  </cols>
  <sheetData>
    <row r="1" spans="1:18" s="2" customFormat="1" x14ac:dyDescent="0.2">
      <c r="A1" s="285"/>
      <c r="B1" s="4"/>
      <c r="C1" s="193"/>
      <c r="D1" s="193"/>
      <c r="E1" s="294"/>
      <c r="F1" s="303"/>
      <c r="J1" s="6"/>
      <c r="K1" s="3"/>
      <c r="L1" s="1"/>
      <c r="M1" s="1"/>
      <c r="P1" s="6"/>
      <c r="Q1" s="3"/>
      <c r="R1" s="1"/>
    </row>
    <row r="2" spans="1:18" s="2" customFormat="1" x14ac:dyDescent="0.2">
      <c r="A2" s="285"/>
      <c r="B2" s="4"/>
      <c r="C2" s="193"/>
      <c r="D2" s="193"/>
      <c r="E2" s="294"/>
      <c r="F2" s="303"/>
      <c r="J2" s="6"/>
      <c r="K2" s="3"/>
      <c r="L2" s="1"/>
      <c r="M2" s="1"/>
      <c r="P2" s="6"/>
      <c r="Q2" s="3"/>
      <c r="R2" s="1"/>
    </row>
    <row r="3" spans="1:18" s="2" customFormat="1" x14ac:dyDescent="0.2">
      <c r="A3" s="285"/>
      <c r="B3" s="4"/>
      <c r="C3" s="193"/>
      <c r="D3" s="193"/>
      <c r="E3" s="294"/>
      <c r="F3" s="211">
        <v>40611</v>
      </c>
      <c r="J3" s="6"/>
      <c r="K3" s="3"/>
      <c r="L3" s="1"/>
      <c r="M3" s="1"/>
      <c r="P3" s="6"/>
      <c r="Q3" s="3"/>
      <c r="R3" s="1"/>
    </row>
    <row r="4" spans="1:18" s="2" customFormat="1" ht="13.5" thickBot="1" x14ac:dyDescent="0.25">
      <c r="A4" s="285"/>
      <c r="B4" s="4"/>
      <c r="C4" s="193"/>
      <c r="D4" s="193"/>
      <c r="E4" s="294"/>
      <c r="F4" s="303"/>
      <c r="J4" s="6"/>
      <c r="K4" s="3"/>
      <c r="L4" s="1"/>
      <c r="M4" s="1"/>
      <c r="P4" s="6"/>
      <c r="Q4" s="3"/>
      <c r="R4" s="1"/>
    </row>
    <row r="5" spans="1:18" s="46" customFormat="1" ht="15.75" customHeight="1" x14ac:dyDescent="0.2">
      <c r="A5" s="1095" t="s">
        <v>203</v>
      </c>
      <c r="B5" s="1093" t="s">
        <v>129</v>
      </c>
      <c r="C5" s="1091" t="s">
        <v>256</v>
      </c>
      <c r="D5" s="1092"/>
      <c r="E5" s="1089" t="s">
        <v>257</v>
      </c>
      <c r="F5" s="1090"/>
      <c r="J5" s="289"/>
      <c r="K5" s="229"/>
      <c r="P5" s="289"/>
      <c r="Q5" s="229"/>
    </row>
    <row r="6" spans="1:18" ht="15.75" customHeight="1" thickBot="1" x14ac:dyDescent="0.25">
      <c r="A6" s="1096"/>
      <c r="B6" s="1094"/>
      <c r="C6" s="318" t="s">
        <v>125</v>
      </c>
      <c r="D6" s="319" t="s">
        <v>126</v>
      </c>
      <c r="E6" s="295" t="s">
        <v>125</v>
      </c>
      <c r="F6" s="304" t="s">
        <v>126</v>
      </c>
      <c r="I6" s="411"/>
      <c r="O6" s="411"/>
    </row>
    <row r="7" spans="1:18" hidden="1" x14ac:dyDescent="0.2">
      <c r="A7" s="1068" t="s">
        <v>239</v>
      </c>
      <c r="B7" s="290" t="str">
        <f>'PFF-Zones'!B3</f>
        <v>AG (LDR)</v>
      </c>
      <c r="C7" s="331"/>
      <c r="D7" s="332"/>
      <c r="E7" s="359">
        <f>'PFF-Zones'!H3</f>
        <v>352.7716731333702</v>
      </c>
      <c r="F7" s="305">
        <f>'PFF-Zones'!I3</f>
        <v>70.554334626674034</v>
      </c>
      <c r="I7" s="256"/>
      <c r="O7" s="256"/>
    </row>
    <row r="8" spans="1:18" x14ac:dyDescent="0.2">
      <c r="A8" s="1069"/>
      <c r="B8" s="284" t="str">
        <f>'PFF-Zones'!B4</f>
        <v>HI</v>
      </c>
      <c r="C8" s="321"/>
      <c r="D8" s="191"/>
      <c r="E8" s="288">
        <f>'PFF-Zones'!H4</f>
        <v>823.13390397786372</v>
      </c>
      <c r="F8" s="306"/>
      <c r="I8" s="256"/>
      <c r="O8" s="256"/>
    </row>
    <row r="9" spans="1:18" x14ac:dyDescent="0.2">
      <c r="A9" s="1069"/>
      <c r="B9" s="283" t="str">
        <f>'PFF-Zones'!B5</f>
        <v>LDR</v>
      </c>
      <c r="C9" s="320"/>
      <c r="D9" s="333"/>
      <c r="E9" s="360">
        <f>'PFF-Zones'!H5</f>
        <v>352.77167313337014</v>
      </c>
      <c r="F9" s="307">
        <f>'PFF-Zones'!I5</f>
        <v>70.554334626674034</v>
      </c>
      <c r="I9" s="256"/>
      <c r="O9" s="256"/>
    </row>
    <row r="10" spans="1:18" x14ac:dyDescent="0.2">
      <c r="A10" s="1069"/>
      <c r="B10" s="284" t="str">
        <f>'PFF-Zones'!B6</f>
        <v>LI</v>
      </c>
      <c r="C10" s="321"/>
      <c r="D10" s="191"/>
      <c r="E10" s="288">
        <f>'PFF-Zones'!H6</f>
        <v>823.13390397786372</v>
      </c>
      <c r="F10" s="306"/>
      <c r="I10" s="256"/>
      <c r="O10" s="256"/>
    </row>
    <row r="11" spans="1:18" x14ac:dyDescent="0.2">
      <c r="A11" s="1069"/>
      <c r="B11" s="284" t="str">
        <f>'PFF-Zones'!B7</f>
        <v>P</v>
      </c>
      <c r="C11" s="321"/>
      <c r="D11" s="191"/>
      <c r="E11" s="288">
        <f>'PFF-Zones'!H7</f>
        <v>117.5905577111234</v>
      </c>
      <c r="F11" s="306"/>
      <c r="I11" s="256"/>
      <c r="O11" s="256"/>
    </row>
    <row r="12" spans="1:18" x14ac:dyDescent="0.2">
      <c r="A12" s="1069"/>
      <c r="B12" s="284" t="str">
        <f>'PFF-Zones'!B8</f>
        <v>PQP</v>
      </c>
      <c r="C12" s="321"/>
      <c r="D12" s="191"/>
      <c r="E12" s="288">
        <f>'PFF-Zones'!H8</f>
        <v>117.59055771112338</v>
      </c>
      <c r="F12" s="306"/>
      <c r="G12" s="386"/>
      <c r="H12" s="386"/>
      <c r="I12" s="385"/>
      <c r="N12" s="386"/>
      <c r="O12" s="385"/>
    </row>
    <row r="13" spans="1:18" hidden="1" x14ac:dyDescent="0.2">
      <c r="A13" s="1069"/>
      <c r="B13" s="283" t="str">
        <f>'PFF-Zones'!B9</f>
        <v>UR-AG (LDR)</v>
      </c>
      <c r="C13" s="320"/>
      <c r="D13" s="333"/>
      <c r="E13" s="299">
        <f>'PFF-Zones'!H9</f>
        <v>352.7716731333702</v>
      </c>
      <c r="F13" s="307">
        <f>'PFF-Zones'!I9</f>
        <v>70.554334626674034</v>
      </c>
    </row>
    <row r="14" spans="1:18" hidden="1" x14ac:dyDescent="0.2">
      <c r="A14" s="1069"/>
      <c r="B14" s="284" t="str">
        <f>'PFF-Zones'!B10</f>
        <v>UR-LI</v>
      </c>
      <c r="C14" s="321"/>
      <c r="D14" s="191"/>
      <c r="E14" s="288">
        <f>'PFF-Zones'!H10</f>
        <v>823.13390397786372</v>
      </c>
      <c r="F14" s="306"/>
    </row>
    <row r="15" spans="1:18" ht="13.5" thickBot="1" x14ac:dyDescent="0.25">
      <c r="A15" s="1070"/>
      <c r="B15" s="291" t="str">
        <f>'PFF-Zones'!B11</f>
        <v>VLDR</v>
      </c>
      <c r="C15" s="334"/>
      <c r="D15" s="335"/>
      <c r="E15" s="361">
        <f>'PFF-Zones'!H11</f>
        <v>352.7716731333702</v>
      </c>
      <c r="F15" s="308">
        <f>'PFF-Zones'!I11</f>
        <v>176.3858365666851</v>
      </c>
      <c r="H15" s="412" t="s">
        <v>285</v>
      </c>
      <c r="I15" s="438"/>
      <c r="J15" s="440"/>
      <c r="O15" s="412" t="s">
        <v>285</v>
      </c>
    </row>
    <row r="16" spans="1:18" hidden="1" x14ac:dyDescent="0.2">
      <c r="A16" s="1071" t="s">
        <v>238</v>
      </c>
      <c r="B16" s="290" t="str">
        <f>'PFF-Zones'!B15</f>
        <v>AG (LDR)</v>
      </c>
      <c r="C16" s="301"/>
      <c r="D16" s="302">
        <v>1282</v>
      </c>
      <c r="E16" s="359">
        <f>'PFF-Zones'!H15</f>
        <v>2634.3998122298344</v>
      </c>
      <c r="F16" s="305">
        <f>'PFF-Zones'!I15</f>
        <v>526.87996244596684</v>
      </c>
      <c r="I16" s="438"/>
      <c r="J16" s="440"/>
    </row>
    <row r="17" spans="1:16" x14ac:dyDescent="0.2">
      <c r="A17" s="1072"/>
      <c r="B17" s="287" t="str">
        <f>'PFF-Zones'!B16</f>
        <v>CMU</v>
      </c>
      <c r="C17" s="288">
        <v>22414</v>
      </c>
      <c r="D17" s="298"/>
      <c r="E17" s="288">
        <f>'PFF-Zones'!H16</f>
        <v>7903.1994366895024</v>
      </c>
      <c r="F17" s="306"/>
      <c r="H17" s="140"/>
      <c r="I17" s="438" t="s">
        <v>267</v>
      </c>
      <c r="J17" s="440"/>
      <c r="O17" s="140"/>
      <c r="P17" s="438" t="s">
        <v>267</v>
      </c>
    </row>
    <row r="18" spans="1:16" x14ac:dyDescent="0.2">
      <c r="A18" s="1072"/>
      <c r="B18" s="287" t="str">
        <f>'PFF-Zones'!B17</f>
        <v>GC</v>
      </c>
      <c r="C18" s="288">
        <v>22414</v>
      </c>
      <c r="D18" s="298"/>
      <c r="E18" s="288">
        <f>'PFF-Zones'!H17</f>
        <v>7903.1994366895033</v>
      </c>
      <c r="F18" s="306"/>
      <c r="I18" s="438"/>
      <c r="J18" s="440"/>
    </row>
    <row r="19" spans="1:16" x14ac:dyDescent="0.2">
      <c r="A19" s="1072"/>
      <c r="B19" s="283" t="str">
        <f>'PFF-Zones'!B18</f>
        <v>LDR</v>
      </c>
      <c r="C19" s="299"/>
      <c r="D19" s="300">
        <v>1282</v>
      </c>
      <c r="E19" s="360">
        <f>'PFF-Zones'!H18</f>
        <v>2634.399812229834</v>
      </c>
      <c r="F19" s="307">
        <f>'PFF-Zones'!I18</f>
        <v>526.87996244596684</v>
      </c>
      <c r="H19" s="126"/>
      <c r="I19" s="438" t="s">
        <v>277</v>
      </c>
      <c r="J19" s="440"/>
      <c r="O19" s="126"/>
      <c r="P19" s="438" t="s">
        <v>277</v>
      </c>
    </row>
    <row r="20" spans="1:16" x14ac:dyDescent="0.2">
      <c r="A20" s="1072"/>
      <c r="B20" s="287" t="str">
        <f>'PFF-Zones'!B19</f>
        <v>OS</v>
      </c>
      <c r="C20" s="320"/>
      <c r="D20" s="298"/>
      <c r="E20" s="288">
        <f>'PFF-Zones'!H19</f>
        <v>878.13327074327822</v>
      </c>
      <c r="F20" s="306"/>
      <c r="I20" s="438"/>
      <c r="J20" s="440"/>
    </row>
    <row r="21" spans="1:16" x14ac:dyDescent="0.2">
      <c r="A21" s="1072"/>
      <c r="B21" s="287" t="str">
        <f>'PFF-Zones'!B20</f>
        <v>P</v>
      </c>
      <c r="C21" s="320"/>
      <c r="D21" s="298"/>
      <c r="E21" s="288">
        <f>'PFF-Zones'!H20</f>
        <v>878.13327074327822</v>
      </c>
      <c r="F21" s="306"/>
      <c r="G21" s="410" t="s">
        <v>282</v>
      </c>
      <c r="H21" s="385" t="s">
        <v>281</v>
      </c>
      <c r="I21" s="438"/>
      <c r="J21" s="440"/>
      <c r="N21" s="410" t="s">
        <v>282</v>
      </c>
      <c r="O21" s="385" t="s">
        <v>281</v>
      </c>
    </row>
    <row r="22" spans="1:16" x14ac:dyDescent="0.2">
      <c r="A22" s="1072"/>
      <c r="B22" s="287" t="str">
        <f>'PFF-Zones'!B21</f>
        <v>PQP</v>
      </c>
      <c r="C22" s="320"/>
      <c r="D22" s="298"/>
      <c r="E22" s="288">
        <f>'PFF-Zones'!H21</f>
        <v>878.13327074327822</v>
      </c>
      <c r="F22" s="306"/>
      <c r="H22" s="45" t="s">
        <v>284</v>
      </c>
      <c r="I22" s="438"/>
      <c r="J22" s="440"/>
      <c r="O22" s="45" t="s">
        <v>284</v>
      </c>
    </row>
    <row r="23" spans="1:16" hidden="1" x14ac:dyDescent="0.2">
      <c r="A23" s="1072"/>
      <c r="B23" s="283" t="str">
        <f>'PFF-Zones'!B22</f>
        <v>UR</v>
      </c>
      <c r="C23" s="299"/>
      <c r="D23" s="300">
        <v>1282</v>
      </c>
      <c r="E23" s="360">
        <f>'PFF-Zones'!H22</f>
        <v>2634.399812229834</v>
      </c>
      <c r="F23" s="307">
        <f>'PFF-Zones'!I22</f>
        <v>526.87996244596684</v>
      </c>
      <c r="H23" s="45" t="s">
        <v>280</v>
      </c>
      <c r="I23" s="438"/>
      <c r="J23" s="440"/>
      <c r="O23" s="45" t="s">
        <v>280</v>
      </c>
    </row>
    <row r="24" spans="1:16" hidden="1" x14ac:dyDescent="0.2">
      <c r="A24" s="1072"/>
      <c r="B24" s="283" t="str">
        <f>'PFF-Zones'!B23</f>
        <v>UR-AG (LDR)</v>
      </c>
      <c r="C24" s="299"/>
      <c r="D24" s="300">
        <v>1282</v>
      </c>
      <c r="E24" s="299">
        <f>'PFF-Zones'!H23</f>
        <v>2634.3998122298344</v>
      </c>
      <c r="F24" s="307">
        <f>'PFF-Zones'!I23</f>
        <v>526.87996244596684</v>
      </c>
      <c r="I24" s="438"/>
      <c r="J24" s="440"/>
    </row>
    <row r="25" spans="1:16" hidden="1" x14ac:dyDescent="0.2">
      <c r="A25" s="1072"/>
      <c r="B25" s="287" t="str">
        <f>'PFF-Zones'!B24</f>
        <v>UR-CMU</v>
      </c>
      <c r="C25" s="288">
        <v>22414</v>
      </c>
      <c r="D25" s="298"/>
      <c r="E25" s="288">
        <f>'PFF-Zones'!H24</f>
        <v>7903.1994366895042</v>
      </c>
      <c r="F25" s="306"/>
      <c r="I25" s="438"/>
      <c r="J25" s="440"/>
    </row>
    <row r="26" spans="1:16" hidden="1" x14ac:dyDescent="0.2">
      <c r="A26" s="1072"/>
      <c r="B26" s="287" t="str">
        <f>'PFF-Zones'!B25</f>
        <v>UR-GC</v>
      </c>
      <c r="C26" s="288">
        <v>22414</v>
      </c>
      <c r="D26" s="298"/>
      <c r="E26" s="288">
        <f>'PFF-Zones'!H25</f>
        <v>7903.1994366895024</v>
      </c>
      <c r="F26" s="306"/>
      <c r="I26" s="438"/>
      <c r="J26" s="440"/>
    </row>
    <row r="27" spans="1:16" hidden="1" x14ac:dyDescent="0.2">
      <c r="A27" s="1072"/>
      <c r="B27" s="283" t="str">
        <f>'PFF-Zones'!B26</f>
        <v>UR-LDR</v>
      </c>
      <c r="C27" s="299"/>
      <c r="D27" s="300">
        <v>1282</v>
      </c>
      <c r="E27" s="299">
        <f>'PFF-Zones'!H26</f>
        <v>2634.3998122298344</v>
      </c>
      <c r="F27" s="307">
        <f>'PFF-Zones'!I26</f>
        <v>526.87996244596684</v>
      </c>
      <c r="I27" s="438"/>
      <c r="J27" s="440"/>
    </row>
    <row r="28" spans="1:16" hidden="1" x14ac:dyDescent="0.2">
      <c r="A28" s="1072"/>
      <c r="B28" s="283" t="str">
        <f>'PFF-Zones'!B27</f>
        <v>UR-MDR</v>
      </c>
      <c r="C28" s="299"/>
      <c r="D28" s="300">
        <v>1183</v>
      </c>
      <c r="E28" s="299">
        <f>'PFF-Zones'!H27</f>
        <v>4390.6663537163904</v>
      </c>
      <c r="F28" s="307">
        <f>'PFF-Zones'!I27</f>
        <v>439.06663537163905</v>
      </c>
      <c r="I28" s="438"/>
      <c r="J28" s="440"/>
    </row>
    <row r="29" spans="1:16" hidden="1" x14ac:dyDescent="0.2">
      <c r="A29" s="1072"/>
      <c r="B29" s="287" t="str">
        <f>'PFF-Zones'!B28</f>
        <v>UR-P</v>
      </c>
      <c r="C29" s="321"/>
      <c r="D29" s="298"/>
      <c r="E29" s="288">
        <f>'PFF-Zones'!H28</f>
        <v>878.13327074327822</v>
      </c>
      <c r="F29" s="306"/>
      <c r="I29" s="438"/>
      <c r="J29" s="440"/>
    </row>
    <row r="30" spans="1:16" hidden="1" x14ac:dyDescent="0.2">
      <c r="A30" s="1072"/>
      <c r="B30" s="287" t="str">
        <f>'PFF-Zones'!B29</f>
        <v>UR-PQP</v>
      </c>
      <c r="C30" s="321"/>
      <c r="D30" s="298"/>
      <c r="E30" s="288">
        <f>'PFF-Zones'!H29</f>
        <v>878.1332707432781</v>
      </c>
      <c r="F30" s="306"/>
      <c r="I30" s="438"/>
      <c r="J30" s="440"/>
    </row>
    <row r="31" spans="1:16" hidden="1" x14ac:dyDescent="0.2">
      <c r="A31" s="1072"/>
      <c r="B31" s="283" t="str">
        <f>'PFF-Zones'!B30</f>
        <v>UR-VLDR</v>
      </c>
      <c r="C31" s="299"/>
      <c r="D31" s="300">
        <v>3179</v>
      </c>
      <c r="E31" s="299">
        <f>'PFF-Zones'!H30</f>
        <v>2634.3998122298344</v>
      </c>
      <c r="F31" s="307">
        <f>'PFF-Zones'!I30</f>
        <v>1317.1999061149172</v>
      </c>
      <c r="I31" s="438"/>
      <c r="J31" s="440"/>
    </row>
    <row r="32" spans="1:16" x14ac:dyDescent="0.2">
      <c r="A32" s="1072"/>
      <c r="B32" s="283" t="str">
        <f>'PFF-Zones'!B31</f>
        <v>VLDR</v>
      </c>
      <c r="C32" s="299"/>
      <c r="D32" s="300">
        <v>3179</v>
      </c>
      <c r="E32" s="360">
        <f>'PFF-Zones'!H31</f>
        <v>2634.399812229834</v>
      </c>
      <c r="F32" s="307">
        <f>'PFF-Zones'!I31</f>
        <v>1317.199906114917</v>
      </c>
      <c r="H32" s="45" t="s">
        <v>280</v>
      </c>
      <c r="I32" s="438"/>
      <c r="J32" s="440"/>
      <c r="O32" s="45" t="s">
        <v>280</v>
      </c>
    </row>
    <row r="33" spans="1:6" x14ac:dyDescent="0.2">
      <c r="A33" s="1072"/>
      <c r="B33" s="339" t="s">
        <v>266</v>
      </c>
      <c r="C33" s="322">
        <v>19912</v>
      </c>
      <c r="D33" s="300"/>
      <c r="E33" s="314"/>
      <c r="F33" s="329"/>
    </row>
    <row r="34" spans="1:6" x14ac:dyDescent="0.2">
      <c r="A34" s="1072"/>
      <c r="B34" s="339" t="s">
        <v>148</v>
      </c>
      <c r="C34" s="322">
        <v>17446</v>
      </c>
      <c r="D34" s="300"/>
      <c r="E34" s="314"/>
      <c r="F34" s="329"/>
    </row>
    <row r="35" spans="1:6" ht="13.5" thickBot="1" x14ac:dyDescent="0.25">
      <c r="A35" s="1073"/>
      <c r="B35" s="340" t="s">
        <v>146</v>
      </c>
      <c r="C35" s="323">
        <v>17446</v>
      </c>
      <c r="D35" s="324"/>
      <c r="E35" s="316"/>
      <c r="F35" s="330"/>
    </row>
    <row r="36" spans="1:6" x14ac:dyDescent="0.2">
      <c r="A36" s="1071" t="s">
        <v>258</v>
      </c>
      <c r="B36" s="292" t="str">
        <f>'PFF-Zones'!B34</f>
        <v>CMU</v>
      </c>
      <c r="C36" s="312">
        <v>12984</v>
      </c>
      <c r="D36" s="325"/>
      <c r="E36" s="312">
        <f>'PFF-Zones'!H34</f>
        <v>4810.4105493669877</v>
      </c>
      <c r="F36" s="313"/>
    </row>
    <row r="37" spans="1:6" x14ac:dyDescent="0.2">
      <c r="A37" s="1072"/>
      <c r="B37" s="287" t="str">
        <f>'PFF-Zones'!B35</f>
        <v>GC</v>
      </c>
      <c r="C37" s="288">
        <v>12984</v>
      </c>
      <c r="D37" s="298"/>
      <c r="E37" s="288">
        <f>'PFF-Zones'!H35</f>
        <v>4810.4105493669877</v>
      </c>
      <c r="F37" s="306"/>
    </row>
    <row r="38" spans="1:6" x14ac:dyDescent="0.2">
      <c r="A38" s="1072"/>
      <c r="B38" s="283" t="str">
        <f>'PFF-Zones'!B36</f>
        <v>HDR</v>
      </c>
      <c r="C38" s="299"/>
      <c r="D38" s="300">
        <v>471</v>
      </c>
      <c r="E38" s="360">
        <f>'PFF-Zones'!H36</f>
        <v>3474.1853967650468</v>
      </c>
      <c r="F38" s="307">
        <f>'PFF-Zones'!I36</f>
        <v>204.36384686853216</v>
      </c>
    </row>
    <row r="39" spans="1:6" x14ac:dyDescent="0.2">
      <c r="A39" s="1072"/>
      <c r="B39" s="283" t="str">
        <f>'PFF-Zones'!B37</f>
        <v>LDR</v>
      </c>
      <c r="C39" s="299"/>
      <c r="D39" s="300">
        <v>741</v>
      </c>
      <c r="E39" s="360">
        <f>'PFF-Zones'!H37</f>
        <v>1603.4701831223292</v>
      </c>
      <c r="F39" s="307">
        <f>'PFF-Zones'!I37</f>
        <v>320.69403662446587</v>
      </c>
    </row>
    <row r="40" spans="1:6" x14ac:dyDescent="0.2">
      <c r="A40" s="1072"/>
      <c r="B40" s="287" t="str">
        <f>'PFF-Zones'!B38</f>
        <v>LI</v>
      </c>
      <c r="C40" s="288">
        <v>10105</v>
      </c>
      <c r="D40" s="298"/>
      <c r="E40" s="288">
        <f>'PFF-Zones'!H38</f>
        <v>3741.4304272854342</v>
      </c>
      <c r="F40" s="306"/>
    </row>
    <row r="41" spans="1:6" x14ac:dyDescent="0.2">
      <c r="A41" s="1072"/>
      <c r="B41" s="283" t="str">
        <f>'PFF-Zones'!B39</f>
        <v>MDR</v>
      </c>
      <c r="C41" s="299"/>
      <c r="D41" s="300">
        <v>685</v>
      </c>
      <c r="E41" s="360">
        <f>'PFF-Zones'!H39</f>
        <v>2672.4503052038817</v>
      </c>
      <c r="F41" s="307">
        <f>'PFF-Zones'!I39</f>
        <v>267.24503052038818</v>
      </c>
    </row>
    <row r="42" spans="1:6" x14ac:dyDescent="0.2">
      <c r="A42" s="1072"/>
      <c r="B42" s="287" t="str">
        <f>'PFF-Zones'!B40</f>
        <v>NC</v>
      </c>
      <c r="C42" s="288">
        <v>12984</v>
      </c>
      <c r="D42" s="326"/>
      <c r="E42" s="288">
        <f>'PFF-Zones'!H40</f>
        <v>4810.4105493669877</v>
      </c>
      <c r="F42" s="310"/>
    </row>
    <row r="43" spans="1:6" x14ac:dyDescent="0.2">
      <c r="A43" s="1072"/>
      <c r="B43" s="287" t="str">
        <f>'PFF-Zones'!B41</f>
        <v>OS</v>
      </c>
      <c r="C43" s="321"/>
      <c r="D43" s="298"/>
      <c r="E43" s="288">
        <f>'PFF-Zones'!H41</f>
        <v>534.49006104077637</v>
      </c>
      <c r="F43" s="306"/>
    </row>
    <row r="44" spans="1:6" x14ac:dyDescent="0.2">
      <c r="A44" s="1072"/>
      <c r="B44" s="287" t="str">
        <f>'PFF-Zones'!B42</f>
        <v>P</v>
      </c>
      <c r="C44" s="321"/>
      <c r="D44" s="298"/>
      <c r="E44" s="288">
        <f>'PFF-Zones'!H42</f>
        <v>534.49006104077637</v>
      </c>
      <c r="F44" s="306"/>
    </row>
    <row r="45" spans="1:6" hidden="1" x14ac:dyDescent="0.2">
      <c r="A45" s="1072"/>
      <c r="B45" s="283" t="str">
        <f>'PFF-Zones'!B43</f>
        <v>UR</v>
      </c>
      <c r="C45" s="299"/>
      <c r="D45" s="300">
        <v>741</v>
      </c>
      <c r="E45" s="360">
        <f>'PFF-Zones'!H43</f>
        <v>1603.470183122329</v>
      </c>
      <c r="F45" s="307">
        <f>'PFF-Zones'!I43</f>
        <v>320.69403662446581</v>
      </c>
    </row>
    <row r="46" spans="1:6" hidden="1" x14ac:dyDescent="0.2">
      <c r="A46" s="1072"/>
      <c r="B46" s="283" t="str">
        <f>'PFF-Zones'!B44</f>
        <v>UR-AG (LDR)</v>
      </c>
      <c r="C46" s="299"/>
      <c r="D46" s="300">
        <v>741</v>
      </c>
      <c r="E46" s="299">
        <f>'PFF-Zones'!H44</f>
        <v>1603.4701831223292</v>
      </c>
      <c r="F46" s="307">
        <f>'PFF-Zones'!I44</f>
        <v>320.69403662446587</v>
      </c>
    </row>
    <row r="47" spans="1:6" hidden="1" x14ac:dyDescent="0.2">
      <c r="A47" s="1072"/>
      <c r="B47" s="283" t="str">
        <f>'PFF-Zones'!B45</f>
        <v>UR-LDR</v>
      </c>
      <c r="C47" s="299"/>
      <c r="D47" s="300">
        <v>741</v>
      </c>
      <c r="E47" s="299">
        <f>'PFF-Zones'!H45</f>
        <v>1603.470183122329</v>
      </c>
      <c r="F47" s="307">
        <f>'PFF-Zones'!I45</f>
        <v>320.69403662446581</v>
      </c>
    </row>
    <row r="48" spans="1:6" hidden="1" x14ac:dyDescent="0.2">
      <c r="A48" s="1072"/>
      <c r="B48" s="287" t="str">
        <f>'PFF-Zones'!B46</f>
        <v>UR-P</v>
      </c>
      <c r="C48" s="321"/>
      <c r="D48" s="298"/>
      <c r="E48" s="288">
        <f>'PFF-Zones'!H46</f>
        <v>534.49006104077637</v>
      </c>
      <c r="F48" s="306"/>
    </row>
    <row r="49" spans="1:6" x14ac:dyDescent="0.2">
      <c r="A49" s="1072"/>
      <c r="B49" s="283" t="str">
        <f>'PFF-Zones'!B47</f>
        <v>VLDR</v>
      </c>
      <c r="C49" s="299"/>
      <c r="D49" s="300">
        <v>1839</v>
      </c>
      <c r="E49" s="360">
        <f>'PFF-Zones'!H47</f>
        <v>1603.4701831223288</v>
      </c>
      <c r="F49" s="307">
        <f>'PFF-Zones'!I47</f>
        <v>801.73509156116438</v>
      </c>
    </row>
    <row r="50" spans="1:6" x14ac:dyDescent="0.2">
      <c r="A50" s="1072"/>
      <c r="B50" s="339" t="s">
        <v>266</v>
      </c>
      <c r="C50" s="322">
        <v>11531</v>
      </c>
      <c r="D50" s="300"/>
      <c r="E50" s="314"/>
      <c r="F50" s="329"/>
    </row>
    <row r="51" spans="1:6" ht="13.5" thickBot="1" x14ac:dyDescent="0.25">
      <c r="A51" s="1073"/>
      <c r="B51" s="339" t="s">
        <v>146</v>
      </c>
      <c r="C51" s="322">
        <v>10105</v>
      </c>
      <c r="D51" s="300"/>
      <c r="E51" s="314"/>
      <c r="F51" s="329"/>
    </row>
    <row r="52" spans="1:6" x14ac:dyDescent="0.2">
      <c r="A52" s="1071" t="s">
        <v>259</v>
      </c>
      <c r="B52" s="293" t="str">
        <f>'PFF-Zones'!B50</f>
        <v>CMU</v>
      </c>
      <c r="C52" s="296">
        <v>8850</v>
      </c>
      <c r="D52" s="297"/>
      <c r="E52" s="296">
        <f>'PFF-Zones'!H50</f>
        <v>5313.8513864753468</v>
      </c>
      <c r="F52" s="309"/>
    </row>
    <row r="53" spans="1:6" x14ac:dyDescent="0.2">
      <c r="A53" s="1072"/>
      <c r="B53" s="287" t="str">
        <f>'PFF-Zones'!B51</f>
        <v>GC</v>
      </c>
      <c r="C53" s="288">
        <v>8850</v>
      </c>
      <c r="D53" s="298"/>
      <c r="E53" s="288">
        <f>'PFF-Zones'!H51</f>
        <v>5313.8513864753459</v>
      </c>
      <c r="F53" s="306"/>
    </row>
    <row r="54" spans="1:6" x14ac:dyDescent="0.2">
      <c r="A54" s="1072"/>
      <c r="B54" s="287" t="str">
        <f>'PFF-Zones'!B52</f>
        <v>HI</v>
      </c>
      <c r="C54" s="288">
        <v>6871</v>
      </c>
      <c r="D54" s="298"/>
      <c r="E54" s="288">
        <f>'PFF-Zones'!H52</f>
        <v>4132.995522814158</v>
      </c>
      <c r="F54" s="306"/>
    </row>
    <row r="55" spans="1:6" x14ac:dyDescent="0.2">
      <c r="A55" s="1072"/>
      <c r="B55" s="283" t="str">
        <f>'PFF-Zones'!B53</f>
        <v>LDR</v>
      </c>
      <c r="C55" s="299"/>
      <c r="D55" s="300">
        <v>513</v>
      </c>
      <c r="E55" s="360">
        <f>'PFF-Zones'!H53</f>
        <v>1771.283795491782</v>
      </c>
      <c r="F55" s="307">
        <f>'PFF-Zones'!I53</f>
        <v>354.25675909835638</v>
      </c>
    </row>
    <row r="56" spans="1:6" x14ac:dyDescent="0.2">
      <c r="A56" s="1072"/>
      <c r="B56" s="287" t="str">
        <f>'PFF-Zones'!B54</f>
        <v>LI</v>
      </c>
      <c r="C56" s="288">
        <v>6871</v>
      </c>
      <c r="D56" s="298"/>
      <c r="E56" s="288">
        <f>'PFF-Zones'!H54</f>
        <v>4132.995522814158</v>
      </c>
      <c r="F56" s="306"/>
    </row>
    <row r="57" spans="1:6" x14ac:dyDescent="0.2">
      <c r="A57" s="1072"/>
      <c r="B57" s="283" t="str">
        <f>'PFF-Zones'!B55</f>
        <v>MDR</v>
      </c>
      <c r="C57" s="299"/>
      <c r="D57" s="300">
        <v>471</v>
      </c>
      <c r="E57" s="360">
        <f>'PFF-Zones'!H55</f>
        <v>2952.1396591529706</v>
      </c>
      <c r="F57" s="307">
        <f>'PFF-Zones'!I55</f>
        <v>295.21396591529708</v>
      </c>
    </row>
    <row r="58" spans="1:6" x14ac:dyDescent="0.2">
      <c r="A58" s="1072"/>
      <c r="B58" s="287" t="str">
        <f>'PFF-Zones'!B56</f>
        <v>NC</v>
      </c>
      <c r="C58" s="288">
        <v>8850</v>
      </c>
      <c r="D58" s="298"/>
      <c r="E58" s="288">
        <f>'PFF-Zones'!H56</f>
        <v>5313.8513864753468</v>
      </c>
      <c r="F58" s="306"/>
    </row>
    <row r="59" spans="1:6" x14ac:dyDescent="0.2">
      <c r="A59" s="1072"/>
      <c r="B59" s="341" t="s">
        <v>266</v>
      </c>
      <c r="C59" s="327">
        <v>7854</v>
      </c>
      <c r="D59" s="327"/>
      <c r="E59" s="328"/>
      <c r="F59" s="336"/>
    </row>
    <row r="60" spans="1:6" x14ac:dyDescent="0.2">
      <c r="A60" s="1072"/>
      <c r="B60" s="339" t="s">
        <v>139</v>
      </c>
      <c r="C60" s="322"/>
      <c r="D60" s="322">
        <v>328</v>
      </c>
      <c r="E60" s="337"/>
      <c r="F60" s="315"/>
    </row>
    <row r="61" spans="1:6" ht="13.5" thickBot="1" x14ac:dyDescent="0.25">
      <c r="A61" s="1073"/>
      <c r="B61" s="340" t="s">
        <v>133</v>
      </c>
      <c r="C61" s="323"/>
      <c r="D61" s="323">
        <v>1254</v>
      </c>
      <c r="E61" s="338"/>
      <c r="F61" s="317"/>
    </row>
    <row r="62" spans="1:6" x14ac:dyDescent="0.2">
      <c r="A62" s="1071" t="s">
        <v>260</v>
      </c>
      <c r="B62" s="293" t="str">
        <f>'PFF-Zones'!B61</f>
        <v>BP</v>
      </c>
      <c r="C62" s="296">
        <v>18829</v>
      </c>
      <c r="D62" s="297"/>
      <c r="E62" s="296">
        <f>'PFF-Zones'!H61</f>
        <v>13848.83808516418</v>
      </c>
      <c r="F62" s="309"/>
    </row>
    <row r="63" spans="1:6" x14ac:dyDescent="0.2">
      <c r="A63" s="1072"/>
      <c r="B63" s="287" t="str">
        <f>'PFF-Zones'!B62</f>
        <v>CMU</v>
      </c>
      <c r="C63" s="288">
        <v>18829</v>
      </c>
      <c r="D63" s="298"/>
      <c r="E63" s="288">
        <f>'PFF-Zones'!H62</f>
        <v>13848.83808516418</v>
      </c>
      <c r="F63" s="306"/>
    </row>
    <row r="64" spans="1:6" x14ac:dyDescent="0.2">
      <c r="A64" s="1072"/>
      <c r="B64" s="287" t="str">
        <f>'PFF-Zones'!B63</f>
        <v>GC</v>
      </c>
      <c r="C64" s="288">
        <v>18829</v>
      </c>
      <c r="D64" s="298"/>
      <c r="E64" s="288">
        <f>'PFF-Zones'!H63</f>
        <v>13848.838085164181</v>
      </c>
      <c r="F64" s="306"/>
    </row>
    <row r="65" spans="1:23" x14ac:dyDescent="0.2">
      <c r="A65" s="1072"/>
      <c r="B65" s="283" t="str">
        <f>'PFF-Zones'!B64</f>
        <v>HDR</v>
      </c>
      <c r="C65" s="299"/>
      <c r="D65" s="300">
        <v>685</v>
      </c>
      <c r="E65" s="360">
        <f>'PFF-Zones'!H64</f>
        <v>10001.938617063021</v>
      </c>
      <c r="F65" s="307">
        <f>'PFF-Zones'!I64</f>
        <v>588.34933041547174</v>
      </c>
    </row>
    <row r="66" spans="1:23" x14ac:dyDescent="0.2">
      <c r="A66" s="1072"/>
      <c r="B66" s="283" t="str">
        <f>'PFF-Zones'!B65</f>
        <v>LDR</v>
      </c>
      <c r="C66" s="299"/>
      <c r="D66" s="300">
        <v>1069</v>
      </c>
      <c r="E66" s="360">
        <f>'PFF-Zones'!H65</f>
        <v>4616.2793617213929</v>
      </c>
      <c r="F66" s="307">
        <f>'PFF-Zones'!I65</f>
        <v>923.2558723442786</v>
      </c>
    </row>
    <row r="67" spans="1:23" x14ac:dyDescent="0.2">
      <c r="A67" s="1072"/>
      <c r="B67" s="287" t="str">
        <f>'PFF-Zones'!B66</f>
        <v>LI</v>
      </c>
      <c r="C67" s="288">
        <v>14638</v>
      </c>
      <c r="D67" s="298"/>
      <c r="E67" s="288">
        <f>'PFF-Zones'!H66</f>
        <v>10771.318510683252</v>
      </c>
      <c r="F67" s="306"/>
    </row>
    <row r="68" spans="1:23" x14ac:dyDescent="0.2">
      <c r="A68" s="1072"/>
      <c r="B68" s="283" t="str">
        <f>'PFF-Zones'!B67</f>
        <v>MDR</v>
      </c>
      <c r="C68" s="299"/>
      <c r="D68" s="300"/>
      <c r="E68" s="360">
        <f>'PFF-Zones'!H67</f>
        <v>7693.7989362023218</v>
      </c>
      <c r="F68" s="307">
        <f>'PFF-Zones'!I67</f>
        <v>769.37989362023222</v>
      </c>
    </row>
    <row r="69" spans="1:23" x14ac:dyDescent="0.2">
      <c r="A69" s="1072"/>
      <c r="B69" s="287" t="str">
        <f>'PFF-Zones'!B68</f>
        <v>NC</v>
      </c>
      <c r="C69" s="288">
        <v>18829</v>
      </c>
      <c r="D69" s="298"/>
      <c r="E69" s="288">
        <f>'PFF-Zones'!H68</f>
        <v>13848.838085164181</v>
      </c>
      <c r="F69" s="306"/>
    </row>
    <row r="70" spans="1:23" x14ac:dyDescent="0.2">
      <c r="A70" s="1072"/>
      <c r="B70" s="287" t="str">
        <f>'PFF-Zones'!B69</f>
        <v>P</v>
      </c>
      <c r="C70" s="321"/>
      <c r="D70" s="298"/>
      <c r="E70" s="288">
        <f>'PFF-Zones'!H69</f>
        <v>1538.7597872404644</v>
      </c>
      <c r="F70" s="306"/>
      <c r="L70" s="282"/>
      <c r="M70" s="282"/>
      <c r="R70" s="282"/>
    </row>
    <row r="71" spans="1:23" x14ac:dyDescent="0.2">
      <c r="A71" s="1072"/>
      <c r="B71" s="287" t="str">
        <f>'PFF-Zones'!B70</f>
        <v>PQP</v>
      </c>
      <c r="C71" s="321"/>
      <c r="D71" s="298"/>
      <c r="E71" s="288">
        <f>'PFF-Zones'!H70</f>
        <v>1538.7597872404644</v>
      </c>
      <c r="F71" s="306"/>
    </row>
    <row r="72" spans="1:23" x14ac:dyDescent="0.2">
      <c r="A72" s="1072"/>
      <c r="B72" s="341" t="s">
        <v>266</v>
      </c>
      <c r="C72" s="327">
        <v>16719</v>
      </c>
      <c r="D72" s="327"/>
      <c r="E72" s="328"/>
      <c r="F72" s="336"/>
    </row>
    <row r="73" spans="1:23" x14ac:dyDescent="0.2">
      <c r="A73" s="1072"/>
      <c r="B73" s="339" t="s">
        <v>146</v>
      </c>
      <c r="C73" s="322">
        <v>14638</v>
      </c>
      <c r="D73" s="322"/>
      <c r="E73" s="314"/>
      <c r="F73" s="329"/>
    </row>
    <row r="74" spans="1:23" ht="13.5" thickBot="1" x14ac:dyDescent="0.25">
      <c r="A74" s="1073"/>
      <c r="B74" s="340" t="s">
        <v>133</v>
      </c>
      <c r="C74" s="323"/>
      <c r="D74" s="323">
        <v>2665</v>
      </c>
      <c r="E74" s="338"/>
      <c r="F74" s="317"/>
    </row>
    <row r="75" spans="1:23" x14ac:dyDescent="0.2">
      <c r="A75" s="1071" t="s">
        <v>261</v>
      </c>
      <c r="B75" s="293" t="str">
        <f>'PFF-Zones'!B73</f>
        <v>CMU</v>
      </c>
      <c r="C75" s="296">
        <v>9208</v>
      </c>
      <c r="D75" s="297"/>
      <c r="E75" s="296">
        <f>'PFF-Zones'!H73</f>
        <v>4371.4714903527083</v>
      </c>
      <c r="F75" s="309"/>
    </row>
    <row r="76" spans="1:23" x14ac:dyDescent="0.2">
      <c r="A76" s="1072"/>
      <c r="B76" s="287" t="str">
        <f>'PFF-Zones'!B74</f>
        <v>GC</v>
      </c>
      <c r="C76" s="288">
        <v>9208</v>
      </c>
      <c r="D76" s="298"/>
      <c r="E76" s="288">
        <f>'PFF-Zones'!H74</f>
        <v>4371.4714903527092</v>
      </c>
      <c r="F76" s="306"/>
    </row>
    <row r="77" spans="1:23" ht="13.5" thickBot="1" x14ac:dyDescent="0.25">
      <c r="A77" s="1072"/>
      <c r="B77" s="287" t="str">
        <f>'PFF-Zones'!B75</f>
        <v>HI</v>
      </c>
      <c r="C77" s="288">
        <v>7169</v>
      </c>
      <c r="D77" s="298"/>
      <c r="E77" s="288">
        <f>'PFF-Zones'!H75</f>
        <v>3400.03338138544</v>
      </c>
      <c r="F77" s="306"/>
    </row>
    <row r="78" spans="1:23" ht="13.5" thickBot="1" x14ac:dyDescent="0.25">
      <c r="A78" s="1072"/>
      <c r="B78" s="283" t="str">
        <f>'PFF-Zones'!B76</f>
        <v>LDR</v>
      </c>
      <c r="C78" s="299"/>
      <c r="D78" s="300">
        <v>527</v>
      </c>
      <c r="E78" s="360">
        <f>'PFF-Zones'!H76</f>
        <v>1457.157163450903</v>
      </c>
      <c r="F78" s="307">
        <f>'PFF-Zones'!I76</f>
        <v>291.4314326901806</v>
      </c>
      <c r="T78" s="514" t="s">
        <v>225</v>
      </c>
      <c r="U78" s="515"/>
      <c r="V78" s="515"/>
      <c r="W78" s="516"/>
    </row>
    <row r="79" spans="1:23" ht="18" x14ac:dyDescent="0.2">
      <c r="A79" s="1072"/>
      <c r="B79" s="287" t="str">
        <f>'PFF-Zones'!B77</f>
        <v>LI</v>
      </c>
      <c r="C79" s="288">
        <v>7169</v>
      </c>
      <c r="D79" s="298"/>
      <c r="E79" s="288">
        <f>'PFF-Zones'!H77</f>
        <v>3400.03338138544</v>
      </c>
      <c r="F79" s="306"/>
      <c r="T79" s="221" t="s">
        <v>129</v>
      </c>
      <c r="U79" s="222" t="s">
        <v>130</v>
      </c>
      <c r="V79" s="223" t="s">
        <v>131</v>
      </c>
      <c r="W79" s="224" t="s">
        <v>165</v>
      </c>
    </row>
    <row r="80" spans="1:23" x14ac:dyDescent="0.2">
      <c r="A80" s="1072"/>
      <c r="B80" s="287" t="str">
        <f>'PFF-Zones'!B78</f>
        <v>NC</v>
      </c>
      <c r="C80" s="288">
        <v>9208</v>
      </c>
      <c r="D80" s="298"/>
      <c r="E80" s="288">
        <f>'PFF-Zones'!H78</f>
        <v>4371.4714903527083</v>
      </c>
      <c r="F80" s="306"/>
      <c r="T80" s="464" t="s">
        <v>133</v>
      </c>
      <c r="U80" s="170">
        <v>0.3</v>
      </c>
      <c r="V80" s="220">
        <v>2</v>
      </c>
      <c r="W80" s="225">
        <v>2.5</v>
      </c>
    </row>
    <row r="81" spans="1:23" x14ac:dyDescent="0.2">
      <c r="A81" s="1072"/>
      <c r="B81" s="287" t="str">
        <f>'PFF-Zones'!B79</f>
        <v>PQP</v>
      </c>
      <c r="C81" s="321"/>
      <c r="D81" s="298"/>
      <c r="E81" s="288">
        <f>'PFF-Zones'!H79</f>
        <v>485.71905448363441</v>
      </c>
      <c r="F81" s="306"/>
      <c r="I81" s="523"/>
      <c r="J81" s="439"/>
      <c r="K81" s="441"/>
      <c r="L81" s="255"/>
      <c r="M81" s="486"/>
      <c r="O81" s="478" t="s">
        <v>306</v>
      </c>
      <c r="P81" s="479"/>
      <c r="Q81" s="480"/>
      <c r="R81" s="481"/>
      <c r="T81" s="464" t="s">
        <v>135</v>
      </c>
      <c r="U81" s="170">
        <v>0.3</v>
      </c>
      <c r="V81" s="220">
        <v>5</v>
      </c>
      <c r="W81" s="225">
        <v>1</v>
      </c>
    </row>
    <row r="82" spans="1:23" ht="13.5" thickBot="1" x14ac:dyDescent="0.25">
      <c r="A82" s="1072"/>
      <c r="B82" s="341" t="s">
        <v>266</v>
      </c>
      <c r="C82" s="327">
        <v>8182</v>
      </c>
      <c r="D82" s="327"/>
      <c r="E82" s="328"/>
      <c r="F82" s="336"/>
      <c r="K82" s="465" t="s">
        <v>324</v>
      </c>
      <c r="Q82" s="465" t="s">
        <v>301</v>
      </c>
      <c r="T82" s="464" t="s">
        <v>137</v>
      </c>
      <c r="U82" s="170">
        <v>0.5</v>
      </c>
      <c r="V82" s="220">
        <v>10</v>
      </c>
      <c r="W82" s="225">
        <v>0.93</v>
      </c>
    </row>
    <row r="83" spans="1:23" ht="13.5" thickBot="1" x14ac:dyDescent="0.25">
      <c r="A83" s="1072"/>
      <c r="B83" s="339" t="s">
        <v>137</v>
      </c>
      <c r="C83" s="322"/>
      <c r="D83" s="322">
        <v>485</v>
      </c>
      <c r="E83" s="337"/>
      <c r="F83" s="315"/>
      <c r="H83" s="1062" t="s">
        <v>129</v>
      </c>
      <c r="I83" s="1084" t="s">
        <v>304</v>
      </c>
      <c r="J83" s="1085"/>
      <c r="K83" s="1085"/>
      <c r="L83" s="1086"/>
      <c r="M83" s="487"/>
      <c r="N83" s="1062" t="s">
        <v>129</v>
      </c>
      <c r="O83" s="1074" t="s">
        <v>297</v>
      </c>
      <c r="P83" s="1075"/>
      <c r="Q83" s="1075"/>
      <c r="R83" s="1076"/>
      <c r="T83" s="464" t="s">
        <v>139</v>
      </c>
      <c r="U83" s="170">
        <v>0.65</v>
      </c>
      <c r="V83" s="220">
        <v>17</v>
      </c>
      <c r="W83" s="225">
        <v>0.64</v>
      </c>
    </row>
    <row r="84" spans="1:23" x14ac:dyDescent="0.2">
      <c r="A84" s="1072"/>
      <c r="B84" s="339" t="s">
        <v>139</v>
      </c>
      <c r="C84" s="322"/>
      <c r="D84" s="322">
        <v>342</v>
      </c>
      <c r="E84" s="337"/>
      <c r="F84" s="315"/>
      <c r="H84" s="1083"/>
      <c r="I84" s="442" t="s">
        <v>295</v>
      </c>
      <c r="J84" s="1097" t="s">
        <v>296</v>
      </c>
      <c r="K84" s="1098"/>
      <c r="L84" s="1066" t="s">
        <v>131</v>
      </c>
      <c r="M84" s="255"/>
      <c r="N84" s="1083"/>
      <c r="O84" s="442" t="s">
        <v>295</v>
      </c>
      <c r="P84" s="1079" t="s">
        <v>296</v>
      </c>
      <c r="Q84" s="1080"/>
      <c r="R84" s="1066" t="s">
        <v>131</v>
      </c>
      <c r="T84" s="169" t="s">
        <v>140</v>
      </c>
      <c r="U84" s="170">
        <v>0.1</v>
      </c>
      <c r="V84" s="231"/>
      <c r="W84" s="225">
        <v>0</v>
      </c>
    </row>
    <row r="85" spans="1:23" ht="13.5" thickBot="1" x14ac:dyDescent="0.25">
      <c r="A85" s="1073"/>
      <c r="B85" s="340" t="s">
        <v>133</v>
      </c>
      <c r="C85" s="323"/>
      <c r="D85" s="323">
        <v>1311</v>
      </c>
      <c r="E85" s="338"/>
      <c r="F85" s="317"/>
      <c r="H85" s="1063"/>
      <c r="I85" s="443" t="s">
        <v>298</v>
      </c>
      <c r="J85" s="447" t="s">
        <v>299</v>
      </c>
      <c r="K85" s="448" t="s">
        <v>300</v>
      </c>
      <c r="L85" s="1067"/>
      <c r="M85" s="255"/>
      <c r="N85" s="1063"/>
      <c r="O85" s="443" t="s">
        <v>298</v>
      </c>
      <c r="P85" s="447" t="s">
        <v>299</v>
      </c>
      <c r="Q85" s="448" t="s">
        <v>300</v>
      </c>
      <c r="R85" s="1067"/>
      <c r="T85" s="169" t="s">
        <v>134</v>
      </c>
      <c r="U85" s="170">
        <v>0.1</v>
      </c>
      <c r="V85" s="232"/>
      <c r="W85" s="225">
        <v>0</v>
      </c>
    </row>
    <row r="86" spans="1:23" ht="18.75" hidden="1" customHeight="1" thickBot="1" x14ac:dyDescent="0.25">
      <c r="A86" s="482" t="s">
        <v>302</v>
      </c>
      <c r="B86" s="290" t="str">
        <f>'PFF-Zones'!B85</f>
        <v>AG (LDR)</v>
      </c>
      <c r="C86" s="301"/>
      <c r="D86" s="302">
        <v>1368</v>
      </c>
      <c r="E86" s="359">
        <f>'PFF-Zones'!H85</f>
        <v>3260.2419358311213</v>
      </c>
      <c r="F86" s="305">
        <f>'PFF-Zones'!I85</f>
        <v>652.0483871662243</v>
      </c>
      <c r="H86" s="489"/>
      <c r="I86" s="444" t="s">
        <v>294</v>
      </c>
      <c r="J86" s="449"/>
      <c r="K86" s="450"/>
      <c r="L86" s="445"/>
      <c r="M86" s="255"/>
      <c r="N86" s="489"/>
      <c r="O86" s="444" t="s">
        <v>294</v>
      </c>
      <c r="P86" s="449"/>
      <c r="Q86" s="450"/>
      <c r="R86" s="445"/>
      <c r="T86" s="169" t="s">
        <v>136</v>
      </c>
      <c r="U86" s="170">
        <v>0.1</v>
      </c>
      <c r="V86" s="233"/>
      <c r="W86" s="225">
        <v>1</v>
      </c>
    </row>
    <row r="87" spans="1:23" x14ac:dyDescent="0.2">
      <c r="A87" s="483"/>
      <c r="B87" s="287" t="str">
        <f>'PFF-Zones'!B86</f>
        <v>CMU</v>
      </c>
      <c r="C87" s="288">
        <v>23974</v>
      </c>
      <c r="D87" s="298"/>
      <c r="E87" s="288">
        <f>'PFF-Zones'!H86</f>
        <v>9780.725807493367</v>
      </c>
      <c r="F87" s="306"/>
      <c r="H87" s="460" t="str">
        <f>B87</f>
        <v>CMU</v>
      </c>
      <c r="I87" s="457"/>
      <c r="J87" s="451">
        <f>$O$87*I87</f>
        <v>0</v>
      </c>
      <c r="K87" s="306"/>
      <c r="L87" s="455"/>
      <c r="M87" s="488"/>
      <c r="N87" s="460" t="str">
        <f>B87</f>
        <v>CMU</v>
      </c>
      <c r="O87" s="457">
        <f>62.9+21</f>
        <v>83.9</v>
      </c>
      <c r="P87" s="451">
        <f>$O$87*$E$87</f>
        <v>820602.89524869353</v>
      </c>
      <c r="Q87" s="306"/>
      <c r="R87" s="455"/>
      <c r="T87" s="464" t="s">
        <v>229</v>
      </c>
      <c r="U87" s="170">
        <v>0.3</v>
      </c>
      <c r="V87" s="220">
        <v>5</v>
      </c>
      <c r="W87" s="225">
        <v>1</v>
      </c>
    </row>
    <row r="88" spans="1:23" x14ac:dyDescent="0.2">
      <c r="A88" s="483"/>
      <c r="B88" s="287" t="str">
        <f>'PFF-Zones'!B87</f>
        <v>GC</v>
      </c>
      <c r="C88" s="288">
        <v>23974</v>
      </c>
      <c r="D88" s="298"/>
      <c r="E88" s="288">
        <f>'PFF-Zones'!H87</f>
        <v>9780.725807493367</v>
      </c>
      <c r="F88" s="306"/>
      <c r="H88" s="57" t="str">
        <f t="shared" ref="H88:H104" si="0">B88</f>
        <v>GC</v>
      </c>
      <c r="I88" s="457"/>
      <c r="J88" s="451">
        <f>$O$88*I88</f>
        <v>0</v>
      </c>
      <c r="K88" s="306"/>
      <c r="L88" s="455"/>
      <c r="M88" s="488"/>
      <c r="N88" s="57" t="str">
        <f t="shared" ref="N88:N104" si="1">B88</f>
        <v>GC</v>
      </c>
      <c r="O88" s="457">
        <f>108.2+65.1</f>
        <v>173.3</v>
      </c>
      <c r="P88" s="451">
        <f>$O$88*$E$88</f>
        <v>1694999.7824386007</v>
      </c>
      <c r="Q88" s="306"/>
      <c r="R88" s="455"/>
      <c r="T88" s="169" t="s">
        <v>144</v>
      </c>
      <c r="U88" s="170">
        <v>0.9</v>
      </c>
      <c r="V88" s="231"/>
      <c r="W88" s="225">
        <v>17.649999999999999</v>
      </c>
    </row>
    <row r="89" spans="1:23" outlineLevel="1" x14ac:dyDescent="0.2">
      <c r="A89" s="483"/>
      <c r="B89" s="283" t="str">
        <f>'PFF-Zones'!B88</f>
        <v>HDR</v>
      </c>
      <c r="C89" s="299"/>
      <c r="D89" s="300">
        <v>870</v>
      </c>
      <c r="E89" s="360">
        <f>'PFF-Zones'!H88</f>
        <v>7063.8575276340989</v>
      </c>
      <c r="F89" s="307">
        <f>'PFF-Zones'!I88</f>
        <v>415.52103103729996</v>
      </c>
      <c r="H89" s="491" t="str">
        <f t="shared" si="0"/>
        <v>HDR</v>
      </c>
      <c r="I89" s="493">
        <v>25.7</v>
      </c>
      <c r="J89" s="452"/>
      <c r="K89" s="492">
        <f>$F$89*L89</f>
        <v>181541.13846019635</v>
      </c>
      <c r="L89" s="524">
        <f>I89*VLOOKUP(B89,$T$80:$W$105,3,FALSE)</f>
        <v>436.9</v>
      </c>
      <c r="M89" s="488"/>
      <c r="N89" s="462" t="str">
        <f t="shared" si="1"/>
        <v>HDR</v>
      </c>
      <c r="O89" s="457">
        <v>46</v>
      </c>
      <c r="P89" s="452"/>
      <c r="Q89" s="307">
        <f>$F$89*$R$89</f>
        <v>324937.44627116859</v>
      </c>
      <c r="R89" s="455">
        <f>O89*VLOOKUP(B89,$T$80:$W$105,3,FALSE)</f>
        <v>782</v>
      </c>
      <c r="T89" s="169" t="s">
        <v>142</v>
      </c>
      <c r="U89" s="170">
        <v>0.9</v>
      </c>
      <c r="V89" s="232"/>
      <c r="W89" s="225">
        <v>17.649999999999999</v>
      </c>
    </row>
    <row r="90" spans="1:23" outlineLevel="1" x14ac:dyDescent="0.2">
      <c r="A90" s="485"/>
      <c r="B90" s="287" t="str">
        <f>'PFF-Zones'!B89</f>
        <v>HI</v>
      </c>
      <c r="C90" s="288">
        <v>18657</v>
      </c>
      <c r="D90" s="298"/>
      <c r="E90" s="288">
        <f>'PFF-Zones'!H89</f>
        <v>7607.2311836059498</v>
      </c>
      <c r="F90" s="306"/>
      <c r="H90" s="57" t="str">
        <f t="shared" si="0"/>
        <v>HI</v>
      </c>
      <c r="I90" s="457"/>
      <c r="J90" s="451">
        <f>$O$90*I90</f>
        <v>0</v>
      </c>
      <c r="K90" s="307"/>
      <c r="L90" s="455"/>
      <c r="M90" s="488"/>
      <c r="N90" s="57" t="str">
        <f t="shared" si="1"/>
        <v>HI</v>
      </c>
      <c r="O90" s="457">
        <v>247</v>
      </c>
      <c r="P90" s="451">
        <f>$O$90*$E$90</f>
        <v>1878986.1023506697</v>
      </c>
      <c r="Q90" s="307"/>
      <c r="R90" s="455"/>
      <c r="T90" s="169" t="s">
        <v>143</v>
      </c>
      <c r="U90" s="170">
        <v>0.9</v>
      </c>
      <c r="V90" s="232"/>
      <c r="W90" s="225">
        <v>17.649999999999999</v>
      </c>
    </row>
    <row r="91" spans="1:23" outlineLevel="1" x14ac:dyDescent="0.2">
      <c r="A91" s="485"/>
      <c r="B91" s="283" t="str">
        <f>'PFF-Zones'!B90</f>
        <v>LDR</v>
      </c>
      <c r="C91" s="299"/>
      <c r="D91" s="300">
        <v>1368</v>
      </c>
      <c r="E91" s="360">
        <f>'PFF-Zones'!H90</f>
        <v>3260.2419358311217</v>
      </c>
      <c r="F91" s="307">
        <f>'PFF-Zones'!I90</f>
        <v>652.0483871662243</v>
      </c>
      <c r="H91" s="491" t="str">
        <f t="shared" si="0"/>
        <v>LDR</v>
      </c>
      <c r="I91" s="493">
        <v>57.6</v>
      </c>
      <c r="J91" s="452"/>
      <c r="K91" s="492">
        <f>$F$91*L91</f>
        <v>187789.93550387261</v>
      </c>
      <c r="L91" s="524">
        <f>I91*VLOOKUP(B91,$T$80:$W$105,3,FALSE)</f>
        <v>288</v>
      </c>
      <c r="M91" s="488"/>
      <c r="N91" s="462" t="str">
        <f t="shared" si="1"/>
        <v>LDR</v>
      </c>
      <c r="O91" s="457">
        <v>330.4</v>
      </c>
      <c r="P91" s="452"/>
      <c r="Q91" s="307">
        <f>$F$91*$R$91</f>
        <v>1077183.9355986025</v>
      </c>
      <c r="R91" s="455">
        <f>O91*VLOOKUP(B91,$T$80:$W$105,3,FALSE)</f>
        <v>1652</v>
      </c>
      <c r="T91" s="169" t="s">
        <v>145</v>
      </c>
      <c r="U91" s="170">
        <v>0.9</v>
      </c>
      <c r="V91" s="232"/>
      <c r="W91" s="225">
        <v>17.649999999999999</v>
      </c>
    </row>
    <row r="92" spans="1:23" outlineLevel="1" x14ac:dyDescent="0.2">
      <c r="A92" s="485" t="s">
        <v>262</v>
      </c>
      <c r="B92" s="287" t="str">
        <f>'PFF-Zones'!B91</f>
        <v>LI</v>
      </c>
      <c r="C92" s="288">
        <v>18675</v>
      </c>
      <c r="D92" s="298"/>
      <c r="E92" s="288">
        <f>'PFF-Zones'!H91</f>
        <v>7607.2311836059507</v>
      </c>
      <c r="F92" s="306"/>
      <c r="H92" s="57" t="str">
        <f t="shared" si="0"/>
        <v>LI</v>
      </c>
      <c r="I92" s="457"/>
      <c r="J92" s="451">
        <f>$O$92*I92</f>
        <v>0</v>
      </c>
      <c r="K92" s="306"/>
      <c r="L92" s="455"/>
      <c r="M92" s="488"/>
      <c r="N92" s="57" t="str">
        <f t="shared" si="1"/>
        <v>LI</v>
      </c>
      <c r="O92" s="457">
        <v>0</v>
      </c>
      <c r="P92" s="451">
        <f>$O$92*$E$92</f>
        <v>0</v>
      </c>
      <c r="Q92" s="306"/>
      <c r="R92" s="455"/>
      <c r="T92" s="169" t="s">
        <v>146</v>
      </c>
      <c r="U92" s="170">
        <v>0.7</v>
      </c>
      <c r="V92" s="232"/>
      <c r="W92" s="225">
        <v>13.73</v>
      </c>
    </row>
    <row r="93" spans="1:23" outlineLevel="1" x14ac:dyDescent="0.2">
      <c r="A93" s="494" t="s">
        <v>307</v>
      </c>
      <c r="B93" s="283" t="str">
        <f>'PFF-Zones'!B92</f>
        <v>MDR</v>
      </c>
      <c r="C93" s="299"/>
      <c r="D93" s="300">
        <v>1269</v>
      </c>
      <c r="E93" s="360">
        <f>'PFF-Zones'!H92</f>
        <v>5433.7365597185371</v>
      </c>
      <c r="F93" s="307">
        <f>'PFF-Zones'!I92</f>
        <v>543.37365597185374</v>
      </c>
      <c r="H93" s="491" t="str">
        <f t="shared" si="0"/>
        <v>MDR</v>
      </c>
      <c r="I93" s="493">
        <v>41.2</v>
      </c>
      <c r="J93" s="452"/>
      <c r="K93" s="492">
        <f>$F$93*L93</f>
        <v>223869.94626040373</v>
      </c>
      <c r="L93" s="524">
        <f>I93*VLOOKUP(B93,$T$80:$W$105,3,FALSE)</f>
        <v>412</v>
      </c>
      <c r="M93" s="488"/>
      <c r="N93" s="462" t="str">
        <f t="shared" si="1"/>
        <v>MDR</v>
      </c>
      <c r="O93" s="457">
        <v>61.1</v>
      </c>
      <c r="P93" s="452"/>
      <c r="Q93" s="307">
        <f>$F$93*$R$93</f>
        <v>332001.3037988026</v>
      </c>
      <c r="R93" s="455">
        <f>O93*VLOOKUP(B93,$T$80:$W$105,3,FALSE)</f>
        <v>611</v>
      </c>
      <c r="T93" s="169" t="s">
        <v>148</v>
      </c>
      <c r="U93" s="170">
        <v>0.7</v>
      </c>
      <c r="V93" s="232"/>
      <c r="W93" s="225">
        <v>13.73</v>
      </c>
    </row>
    <row r="94" spans="1:23" outlineLevel="1" x14ac:dyDescent="0.2">
      <c r="A94" s="494" t="s">
        <v>308</v>
      </c>
      <c r="B94" s="287" t="str">
        <f>'PFF-Zones'!B93</f>
        <v>NC</v>
      </c>
      <c r="C94" s="288">
        <v>23974</v>
      </c>
      <c r="D94" s="298"/>
      <c r="E94" s="288">
        <f>'PFF-Zones'!H93</f>
        <v>9780.725807493367</v>
      </c>
      <c r="F94" s="306"/>
      <c r="H94" s="57" t="str">
        <f t="shared" si="0"/>
        <v>NC</v>
      </c>
      <c r="I94" s="457"/>
      <c r="J94" s="451">
        <f>$O$94*I94</f>
        <v>0</v>
      </c>
      <c r="K94" s="306"/>
      <c r="L94" s="455"/>
      <c r="M94" s="488"/>
      <c r="N94" s="57" t="str">
        <f t="shared" si="1"/>
        <v>NC</v>
      </c>
      <c r="O94" s="457">
        <v>0</v>
      </c>
      <c r="P94" s="451">
        <f>$O$94*$E$94</f>
        <v>0</v>
      </c>
      <c r="Q94" s="306"/>
      <c r="R94" s="455"/>
      <c r="T94" s="169" t="s">
        <v>149</v>
      </c>
      <c r="U94" s="170">
        <v>0.7</v>
      </c>
      <c r="V94" s="233"/>
      <c r="W94" s="225">
        <v>13.73</v>
      </c>
    </row>
    <row r="95" spans="1:23" outlineLevel="1" x14ac:dyDescent="0.2">
      <c r="A95" s="483"/>
      <c r="B95" s="287" t="str">
        <f>'PFF-Zones'!B94</f>
        <v>P</v>
      </c>
      <c r="C95" s="321"/>
      <c r="D95" s="298"/>
      <c r="E95" s="288">
        <f>'PFF-Zones'!H94</f>
        <v>1086.7473119437075</v>
      </c>
      <c r="F95" s="306"/>
      <c r="H95" s="57" t="str">
        <f t="shared" si="0"/>
        <v>P</v>
      </c>
      <c r="I95" s="457"/>
      <c r="J95" s="451">
        <f>$O$95*I95</f>
        <v>0</v>
      </c>
      <c r="K95" s="306"/>
      <c r="L95" s="455"/>
      <c r="M95" s="488"/>
      <c r="N95" s="57" t="str">
        <f t="shared" si="1"/>
        <v>P</v>
      </c>
      <c r="O95" s="457">
        <v>68.3</v>
      </c>
      <c r="P95" s="451">
        <f>$O$95*$E$95</f>
        <v>74224.841405755215</v>
      </c>
      <c r="Q95" s="306"/>
      <c r="R95" s="455"/>
      <c r="T95" s="169" t="s">
        <v>147</v>
      </c>
      <c r="U95" s="170">
        <v>0.3</v>
      </c>
      <c r="V95" s="220">
        <v>5</v>
      </c>
      <c r="W95" s="225">
        <v>1</v>
      </c>
    </row>
    <row r="96" spans="1:23" outlineLevel="1" x14ac:dyDescent="0.2">
      <c r="A96" s="483"/>
      <c r="B96" s="287" t="str">
        <f>'PFF-Zones'!B95</f>
        <v>PQP</v>
      </c>
      <c r="C96" s="321"/>
      <c r="D96" s="298"/>
      <c r="E96" s="288">
        <f>'PFF-Zones'!H95</f>
        <v>1086.7473119437075</v>
      </c>
      <c r="F96" s="306"/>
      <c r="H96" s="57" t="str">
        <f t="shared" si="0"/>
        <v>PQP</v>
      </c>
      <c r="I96" s="457"/>
      <c r="J96" s="451">
        <f>$O$96*I96</f>
        <v>0</v>
      </c>
      <c r="K96" s="306"/>
      <c r="L96" s="455"/>
      <c r="M96" s="488"/>
      <c r="N96" s="57" t="str">
        <f t="shared" si="1"/>
        <v>PQP</v>
      </c>
      <c r="O96" s="457">
        <v>26.2</v>
      </c>
      <c r="P96" s="451">
        <f>$O$96*$E$96</f>
        <v>28472.779572925134</v>
      </c>
      <c r="Q96" s="306"/>
      <c r="R96" s="455"/>
      <c r="T96" s="169" t="s">
        <v>152</v>
      </c>
      <c r="U96" s="170">
        <v>0.3</v>
      </c>
      <c r="V96" s="220">
        <v>2</v>
      </c>
      <c r="W96" s="225">
        <v>2.5</v>
      </c>
    </row>
    <row r="97" spans="1:23" ht="12.75" hidden="1" customHeight="1" outlineLevel="1" x14ac:dyDescent="0.2">
      <c r="A97" s="483"/>
      <c r="B97" s="287" t="str">
        <f>'PFF-Zones'!B96</f>
        <v>UR</v>
      </c>
      <c r="C97" s="299"/>
      <c r="D97" s="300">
        <v>1368</v>
      </c>
      <c r="E97" s="360">
        <f>'PFF-Zones'!H96</f>
        <v>3260.2419358311222</v>
      </c>
      <c r="F97" s="307">
        <f>'PFF-Zones'!I96</f>
        <v>652.04838716622442</v>
      </c>
      <c r="H97" s="57" t="str">
        <f t="shared" si="0"/>
        <v>UR</v>
      </c>
      <c r="I97" s="457"/>
      <c r="J97" s="452" t="e">
        <f>I97*#REF!</f>
        <v>#REF!</v>
      </c>
      <c r="K97" s="306"/>
      <c r="L97" s="455" t="e">
        <f>I97*VLOOKUP(#REF!,$T$80:$W$105,3,FALSE)*VLOOKUP(#REF!,$T$80:$W$105,4,FALSE)</f>
        <v>#REF!</v>
      </c>
      <c r="M97" s="488"/>
      <c r="N97" s="57" t="str">
        <f t="shared" si="1"/>
        <v>UR</v>
      </c>
      <c r="O97" s="457"/>
      <c r="P97" s="452">
        <f t="shared" ref="P97:P103" si="2">O97*E97</f>
        <v>0</v>
      </c>
      <c r="Q97" s="306"/>
      <c r="R97" s="455">
        <f t="shared" ref="R97:R103" si="3">O97*VLOOKUP(B97,$T$80:$W$105,3,FALSE)*VLOOKUP(B97,$T$80:$W$105,4,FALSE)</f>
        <v>0</v>
      </c>
      <c r="T97" s="464" t="s">
        <v>153</v>
      </c>
      <c r="U97" s="170">
        <v>0.3</v>
      </c>
      <c r="V97" s="220">
        <v>5</v>
      </c>
      <c r="W97" s="225">
        <v>1</v>
      </c>
    </row>
    <row r="98" spans="1:23" ht="12.75" hidden="1" customHeight="1" outlineLevel="1" x14ac:dyDescent="0.2">
      <c r="A98" s="483"/>
      <c r="B98" s="283" t="str">
        <f>'PFF-Zones'!B97</f>
        <v>UR-AG (LDR)</v>
      </c>
      <c r="C98" s="299"/>
      <c r="D98" s="300">
        <v>1368</v>
      </c>
      <c r="E98" s="299">
        <f>'PFF-Zones'!H97</f>
        <v>3260.2419358311217</v>
      </c>
      <c r="F98" s="307">
        <f>'PFF-Zones'!I97</f>
        <v>652.0483871662243</v>
      </c>
      <c r="H98" s="57" t="str">
        <f t="shared" si="0"/>
        <v>UR-AG (LDR)</v>
      </c>
      <c r="I98" s="457"/>
      <c r="J98" s="452" t="e">
        <f>I98*#REF!</f>
        <v>#REF!</v>
      </c>
      <c r="K98" s="306"/>
      <c r="L98" s="455" t="e">
        <f>I98*VLOOKUP(#REF!,$T$80:$W$105,3,FALSE)*VLOOKUP(#REF!,$T$80:$W$105,4,FALSE)</f>
        <v>#REF!</v>
      </c>
      <c r="M98" s="488"/>
      <c r="N98" s="57" t="str">
        <f t="shared" si="1"/>
        <v>UR-AG (LDR)</v>
      </c>
      <c r="O98" s="457"/>
      <c r="P98" s="452">
        <f t="shared" si="2"/>
        <v>0</v>
      </c>
      <c r="Q98" s="306"/>
      <c r="R98" s="455">
        <f t="shared" si="3"/>
        <v>0</v>
      </c>
      <c r="T98" s="464" t="s">
        <v>154</v>
      </c>
      <c r="U98" s="170">
        <v>0.5</v>
      </c>
      <c r="V98" s="220">
        <v>10</v>
      </c>
      <c r="W98" s="225">
        <v>0.93</v>
      </c>
    </row>
    <row r="99" spans="1:23" ht="12.75" hidden="1" customHeight="1" outlineLevel="1" x14ac:dyDescent="0.2">
      <c r="A99" s="483"/>
      <c r="B99" s="287" t="str">
        <f>'PFF-Zones'!B98</f>
        <v>UR-BIP</v>
      </c>
      <c r="C99" s="288">
        <v>18657</v>
      </c>
      <c r="D99" s="298"/>
      <c r="E99" s="288">
        <f>'PFF-Zones'!H98</f>
        <v>7607.2311836059516</v>
      </c>
      <c r="F99" s="306"/>
      <c r="H99" s="57" t="str">
        <f t="shared" si="0"/>
        <v>UR-BIP</v>
      </c>
      <c r="I99" s="457"/>
      <c r="J99" s="452" t="e">
        <f>I99*#REF!</f>
        <v>#REF!</v>
      </c>
      <c r="K99" s="306"/>
      <c r="L99" s="455" t="e">
        <f>I99*VLOOKUP(#REF!,$T$80:$W$105,3,FALSE)*VLOOKUP(#REF!,$T$80:$W$105,4,FALSE)</f>
        <v>#REF!</v>
      </c>
      <c r="M99" s="488"/>
      <c r="N99" s="57" t="str">
        <f t="shared" si="1"/>
        <v>UR-BIP</v>
      </c>
      <c r="O99" s="457"/>
      <c r="P99" s="452">
        <f t="shared" si="2"/>
        <v>0</v>
      </c>
      <c r="Q99" s="306"/>
      <c r="R99" s="455">
        <f t="shared" si="3"/>
        <v>0</v>
      </c>
      <c r="T99" s="169" t="s">
        <v>155</v>
      </c>
      <c r="U99" s="170">
        <v>0.1</v>
      </c>
      <c r="V99" s="231"/>
      <c r="W99" s="225">
        <v>0</v>
      </c>
    </row>
    <row r="100" spans="1:23" ht="12.75" hidden="1" customHeight="1" outlineLevel="1" x14ac:dyDescent="0.2">
      <c r="A100" s="483"/>
      <c r="B100" s="287" t="str">
        <f>'PFF-Zones'!B99</f>
        <v>UR-CMU</v>
      </c>
      <c r="C100" s="288">
        <v>23974</v>
      </c>
      <c r="D100" s="298"/>
      <c r="E100" s="288">
        <f>'PFF-Zones'!H99</f>
        <v>9780.725807493367</v>
      </c>
      <c r="F100" s="306"/>
      <c r="H100" s="57" t="str">
        <f t="shared" si="0"/>
        <v>UR-CMU</v>
      </c>
      <c r="I100" s="457"/>
      <c r="J100" s="452" t="e">
        <f>I100*#REF!</f>
        <v>#REF!</v>
      </c>
      <c r="K100" s="306"/>
      <c r="L100" s="455" t="e">
        <f>I100*VLOOKUP(#REF!,$T$80:$W$105,3,FALSE)*VLOOKUP(#REF!,$T$80:$W$105,4,FALSE)</f>
        <v>#REF!</v>
      </c>
      <c r="M100" s="488"/>
      <c r="N100" s="57" t="str">
        <f t="shared" si="1"/>
        <v>UR-CMU</v>
      </c>
      <c r="O100" s="457"/>
      <c r="P100" s="452">
        <f t="shared" si="2"/>
        <v>0</v>
      </c>
      <c r="Q100" s="306"/>
      <c r="R100" s="455">
        <f t="shared" si="3"/>
        <v>0</v>
      </c>
      <c r="T100" s="169" t="s">
        <v>156</v>
      </c>
      <c r="U100" s="170">
        <v>0.1</v>
      </c>
      <c r="V100" s="233"/>
      <c r="W100" s="225">
        <v>1</v>
      </c>
    </row>
    <row r="101" spans="1:23" ht="12.75" hidden="1" customHeight="1" outlineLevel="1" x14ac:dyDescent="0.2">
      <c r="A101" s="483"/>
      <c r="B101" s="283" t="str">
        <f>'PFF-Zones'!B100</f>
        <v>UR-LDR</v>
      </c>
      <c r="C101" s="299"/>
      <c r="D101" s="300">
        <v>1368</v>
      </c>
      <c r="E101" s="299">
        <f>'PFF-Zones'!H100</f>
        <v>3260.2419358311222</v>
      </c>
      <c r="F101" s="307">
        <f>'PFF-Zones'!I100</f>
        <v>652.04838716622442</v>
      </c>
      <c r="H101" s="57" t="str">
        <f t="shared" si="0"/>
        <v>UR-LDR</v>
      </c>
      <c r="I101" s="457"/>
      <c r="J101" s="452" t="e">
        <f>I101*#REF!</f>
        <v>#REF!</v>
      </c>
      <c r="K101" s="306"/>
      <c r="L101" s="455" t="e">
        <f>I101*VLOOKUP(#REF!,$T$80:$W$105,3,FALSE)*VLOOKUP(#REF!,$T$80:$W$105,4,FALSE)</f>
        <v>#REF!</v>
      </c>
      <c r="M101" s="488"/>
      <c r="N101" s="57" t="str">
        <f t="shared" si="1"/>
        <v>UR-LDR</v>
      </c>
      <c r="O101" s="457"/>
      <c r="P101" s="452">
        <f t="shared" si="2"/>
        <v>0</v>
      </c>
      <c r="Q101" s="306"/>
      <c r="R101" s="455">
        <f t="shared" si="3"/>
        <v>0</v>
      </c>
      <c r="T101" s="464" t="s">
        <v>230</v>
      </c>
      <c r="U101" s="170">
        <v>0.3</v>
      </c>
      <c r="V101" s="220">
        <v>5</v>
      </c>
      <c r="W101" s="225">
        <v>1</v>
      </c>
    </row>
    <row r="102" spans="1:23" ht="12.75" hidden="1" customHeight="1" outlineLevel="1" x14ac:dyDescent="0.2">
      <c r="A102" s="483"/>
      <c r="B102" s="287" t="str">
        <f>'PFF-Zones'!B101</f>
        <v>UR-P</v>
      </c>
      <c r="C102" s="321"/>
      <c r="D102" s="298"/>
      <c r="E102" s="288">
        <f>'PFF-Zones'!H101</f>
        <v>1086.7473119437075</v>
      </c>
      <c r="F102" s="306"/>
      <c r="H102" s="57" t="str">
        <f t="shared" si="0"/>
        <v>UR-P</v>
      </c>
      <c r="I102" s="457"/>
      <c r="J102" s="452" t="e">
        <f>I102*#REF!</f>
        <v>#REF!</v>
      </c>
      <c r="K102" s="306"/>
      <c r="L102" s="455" t="e">
        <f>I102*VLOOKUP(#REF!,$T$80:$W$105,3,FALSE)*VLOOKUP(#REF!,$T$80:$W$105,4,FALSE)</f>
        <v>#REF!</v>
      </c>
      <c r="M102" s="488"/>
      <c r="N102" s="57" t="str">
        <f t="shared" si="1"/>
        <v>UR-P</v>
      </c>
      <c r="O102" s="457"/>
      <c r="P102" s="452">
        <f t="shared" si="2"/>
        <v>0</v>
      </c>
      <c r="Q102" s="306"/>
      <c r="R102" s="455">
        <f t="shared" si="3"/>
        <v>0</v>
      </c>
      <c r="T102" s="169" t="s">
        <v>157</v>
      </c>
      <c r="U102" s="170">
        <v>0.7</v>
      </c>
      <c r="V102" s="231"/>
      <c r="W102" s="225">
        <v>13.73</v>
      </c>
    </row>
    <row r="103" spans="1:23" ht="12.75" hidden="1" customHeight="1" outlineLevel="1" x14ac:dyDescent="0.2">
      <c r="A103" s="483"/>
      <c r="B103" s="283" t="str">
        <f>'PFF-Zones'!B102</f>
        <v>UR-VLDR</v>
      </c>
      <c r="C103" s="299"/>
      <c r="D103" s="300">
        <v>3406</v>
      </c>
      <c r="E103" s="299">
        <f>'PFF-Zones'!H102</f>
        <v>3260.2419358311222</v>
      </c>
      <c r="F103" s="307">
        <f>'PFF-Zones'!I102</f>
        <v>1630.1209679155611</v>
      </c>
      <c r="H103" s="57" t="str">
        <f t="shared" si="0"/>
        <v>UR-VLDR</v>
      </c>
      <c r="I103" s="457"/>
      <c r="J103" s="452" t="e">
        <f>I103*#REF!</f>
        <v>#REF!</v>
      </c>
      <c r="K103" s="306"/>
      <c r="L103" s="455" t="e">
        <f>I103*VLOOKUP(#REF!,$T$80:$W$105,3,FALSE)*VLOOKUP(#REF!,$T$80:$W$105,4,FALSE)</f>
        <v>#REF!</v>
      </c>
      <c r="M103" s="488"/>
      <c r="N103" s="57" t="str">
        <f t="shared" si="1"/>
        <v>UR-VLDR</v>
      </c>
      <c r="O103" s="457"/>
      <c r="P103" s="452">
        <f t="shared" si="2"/>
        <v>0</v>
      </c>
      <c r="Q103" s="306"/>
      <c r="R103" s="455">
        <f t="shared" si="3"/>
        <v>0</v>
      </c>
      <c r="T103" s="169" t="s">
        <v>150</v>
      </c>
      <c r="U103" s="170">
        <v>0.9</v>
      </c>
      <c r="V103" s="232"/>
      <c r="W103" s="225">
        <v>17.649999999999999</v>
      </c>
    </row>
    <row r="104" spans="1:23" ht="13.5" outlineLevel="1" thickBot="1" x14ac:dyDescent="0.25">
      <c r="A104" s="483"/>
      <c r="B104" s="283" t="str">
        <f>'PFF-Zones'!B103</f>
        <v>VLDR</v>
      </c>
      <c r="C104" s="299"/>
      <c r="D104" s="300">
        <v>3406</v>
      </c>
      <c r="E104" s="360">
        <f>'PFF-Zones'!H103</f>
        <v>3260.2419358311217</v>
      </c>
      <c r="F104" s="307">
        <f>'PFF-Zones'!I103</f>
        <v>1630.1209679155609</v>
      </c>
      <c r="H104" s="463" t="str">
        <f t="shared" si="0"/>
        <v>VLDR</v>
      </c>
      <c r="I104" s="458"/>
      <c r="J104" s="447"/>
      <c r="K104" s="308">
        <f>$F$104*L104</f>
        <v>0</v>
      </c>
      <c r="L104" s="525">
        <f>I104*VLOOKUP(B104,$T$80:$W$105,3,FALSE)</f>
        <v>0</v>
      </c>
      <c r="M104" s="488"/>
      <c r="N104" s="463" t="str">
        <f t="shared" si="1"/>
        <v>VLDR</v>
      </c>
      <c r="O104" s="458">
        <v>0</v>
      </c>
      <c r="P104" s="447"/>
      <c r="Q104" s="308">
        <f>$F$104*$R$104</f>
        <v>0</v>
      </c>
      <c r="R104" s="456">
        <f>O104*VLOOKUP(B104,$T$80:$W$105,3,FALSE)</f>
        <v>0</v>
      </c>
      <c r="T104" s="169" t="s">
        <v>151</v>
      </c>
      <c r="U104" s="170">
        <v>0.9</v>
      </c>
      <c r="V104" s="232"/>
      <c r="W104" s="225">
        <v>17.649999999999999</v>
      </c>
    </row>
    <row r="105" spans="1:23" ht="13.5" thickBot="1" x14ac:dyDescent="0.25">
      <c r="A105" s="484"/>
      <c r="B105" s="340" t="s">
        <v>266</v>
      </c>
      <c r="C105" s="323">
        <v>21309</v>
      </c>
      <c r="D105" s="323"/>
      <c r="E105" s="368"/>
      <c r="F105" s="369"/>
      <c r="G105" s="46"/>
      <c r="H105" s="461" t="s">
        <v>17</v>
      </c>
      <c r="I105" s="459">
        <f>I89+I91+I93</f>
        <v>124.5</v>
      </c>
      <c r="J105" s="453">
        <f>J87+J88+J90+J92+J94+J95+J96</f>
        <v>0</v>
      </c>
      <c r="K105" s="454">
        <f>K89+K91+K93+K104</f>
        <v>593201.02022447274</v>
      </c>
      <c r="L105" s="1081">
        <f>L89+L91+L93+L104</f>
        <v>1136.9000000000001</v>
      </c>
      <c r="M105" s="422"/>
      <c r="N105" s="461" t="s">
        <v>17</v>
      </c>
      <c r="O105" s="459">
        <f>SUM(O87:O104)</f>
        <v>1036.2</v>
      </c>
      <c r="P105" s="453">
        <f>P87+P88+P90+P92+P94+P95+P96</f>
        <v>4497286.4010166442</v>
      </c>
      <c r="Q105" s="454">
        <f>Q89+Q91+Q93+Q104</f>
        <v>1734122.6856685737</v>
      </c>
      <c r="R105" s="1062"/>
      <c r="T105" s="172" t="s">
        <v>159</v>
      </c>
      <c r="U105" s="173">
        <v>0.7</v>
      </c>
      <c r="V105" s="234"/>
      <c r="W105" s="226">
        <v>13.73</v>
      </c>
    </row>
    <row r="106" spans="1:23" s="367" customFormat="1" ht="13.5" thickBot="1" x14ac:dyDescent="0.25">
      <c r="A106" s="363"/>
      <c r="B106" s="364"/>
      <c r="C106" s="365"/>
      <c r="D106" s="365"/>
      <c r="E106" s="366"/>
      <c r="F106" s="366"/>
      <c r="H106" s="1074" t="s">
        <v>0</v>
      </c>
      <c r="I106" s="1076"/>
      <c r="J106" s="1087">
        <f>SUM(J105:K105)</f>
        <v>593201.02022447274</v>
      </c>
      <c r="K106" s="1088"/>
      <c r="L106" s="1082"/>
      <c r="M106" s="422"/>
      <c r="N106" s="1064" t="s">
        <v>0</v>
      </c>
      <c r="O106" s="1065"/>
      <c r="P106" s="1077">
        <f>SUM(P105:Q105)</f>
        <v>6231409.0866852179</v>
      </c>
      <c r="Q106" s="1078"/>
      <c r="R106" s="1063"/>
    </row>
    <row r="107" spans="1:23" ht="12.75" hidden="1" customHeight="1" x14ac:dyDescent="0.2">
      <c r="A107" s="375" t="s">
        <v>264</v>
      </c>
      <c r="B107" s="389" t="str">
        <f>'Zone 70'!B3</f>
        <v>AG (LDR)</v>
      </c>
      <c r="C107" s="390"/>
      <c r="D107" s="391"/>
      <c r="E107" s="392">
        <f>'Zone 70'!F3</f>
        <v>8378.2226112133012</v>
      </c>
      <c r="F107" s="393">
        <f>'Zone 70'!G3</f>
        <v>1675.6445222426603</v>
      </c>
    </row>
    <row r="108" spans="1:23" x14ac:dyDescent="0.2">
      <c r="A108" s="1071" t="s">
        <v>263</v>
      </c>
      <c r="B108" s="290" t="str">
        <f>'PFF-Zones'!B107</f>
        <v>AG (LDR)</v>
      </c>
      <c r="C108" s="331"/>
      <c r="D108" s="332"/>
      <c r="E108" s="359">
        <f>'PFF-Zones'!H107</f>
        <v>1912.1481430467329</v>
      </c>
      <c r="F108" s="305">
        <f>'PFF-Zones'!I107</f>
        <v>382.42962860934659</v>
      </c>
    </row>
    <row r="109" spans="1:23" x14ac:dyDescent="0.2">
      <c r="A109" s="1072"/>
      <c r="B109" s="287" t="str">
        <f>'PFF-Zones'!B108</f>
        <v>BIP</v>
      </c>
      <c r="C109" s="321"/>
      <c r="D109" s="191"/>
      <c r="E109" s="288">
        <f>'PFF-Zones'!H108</f>
        <v>4461.6790004423756</v>
      </c>
      <c r="F109" s="306"/>
    </row>
    <row r="110" spans="1:23" x14ac:dyDescent="0.2">
      <c r="A110" s="1072"/>
      <c r="B110" s="287" t="str">
        <f>'PFF-Zones'!B109</f>
        <v>CMU</v>
      </c>
      <c r="C110" s="321"/>
      <c r="D110" s="191"/>
      <c r="E110" s="288">
        <f>'PFF-Zones'!H109</f>
        <v>5736.4444291401978</v>
      </c>
      <c r="F110" s="306"/>
    </row>
    <row r="111" spans="1:23" x14ac:dyDescent="0.2">
      <c r="A111" s="1072"/>
      <c r="B111" s="287" t="str">
        <f>'PFF-Zones'!B110</f>
        <v>GC</v>
      </c>
      <c r="C111" s="321"/>
      <c r="D111" s="191"/>
      <c r="E111" s="288">
        <f>'PFF-Zones'!H110</f>
        <v>5736.4444291401987</v>
      </c>
      <c r="F111" s="306"/>
    </row>
    <row r="112" spans="1:23" x14ac:dyDescent="0.2">
      <c r="A112" s="1072"/>
      <c r="B112" s="283" t="str">
        <f>'PFF-Zones'!B111</f>
        <v>HDR</v>
      </c>
      <c r="C112" s="320"/>
      <c r="D112" s="333"/>
      <c r="E112" s="360">
        <f>'PFF-Zones'!H111</f>
        <v>4142.9876432679212</v>
      </c>
      <c r="F112" s="307">
        <f>'PFF-Zones'!I111</f>
        <v>243.7051554863483</v>
      </c>
    </row>
    <row r="113" spans="1:16" x14ac:dyDescent="0.2">
      <c r="A113" s="1072"/>
      <c r="B113" s="283" t="str">
        <f>'PFF-Zones'!B112</f>
        <v>LDR</v>
      </c>
      <c r="C113" s="320"/>
      <c r="D113" s="333"/>
      <c r="E113" s="360">
        <f>'PFF-Zones'!H112</f>
        <v>1912.1481430467325</v>
      </c>
      <c r="F113" s="307">
        <f>'PFF-Zones'!I112</f>
        <v>382.42962860934648</v>
      </c>
    </row>
    <row r="114" spans="1:16" x14ac:dyDescent="0.2">
      <c r="A114" s="1072"/>
      <c r="B114" s="283" t="str">
        <f>'PFF-Zones'!B113</f>
        <v>MDR</v>
      </c>
      <c r="C114" s="320"/>
      <c r="D114" s="333"/>
      <c r="E114" s="360">
        <f>'PFF-Zones'!H113</f>
        <v>3186.9135717445542</v>
      </c>
      <c r="F114" s="307">
        <f>'PFF-Zones'!I113</f>
        <v>318.69135717445545</v>
      </c>
    </row>
    <row r="115" spans="1:16" ht="13.5" thickBot="1" x14ac:dyDescent="0.25">
      <c r="A115" s="1073"/>
      <c r="B115" s="380" t="str">
        <f>'PFF-Zones'!B114</f>
        <v>OS</v>
      </c>
      <c r="C115" s="381"/>
      <c r="D115" s="382"/>
      <c r="E115" s="361">
        <f>'PFF-Zones'!H114</f>
        <v>637.38271434891101</v>
      </c>
      <c r="F115" s="383"/>
    </row>
    <row r="116" spans="1:16" ht="12.75" hidden="1" customHeight="1" thickBot="1" x14ac:dyDescent="0.25">
      <c r="A116" s="376"/>
      <c r="B116" s="292">
        <f>'PFF-Zones'!B81</f>
        <v>0</v>
      </c>
      <c r="C116" s="378"/>
      <c r="D116" s="379"/>
      <c r="E116" s="362">
        <f>'PFF-Zones'!H81</f>
        <v>0</v>
      </c>
      <c r="F116" s="313"/>
    </row>
    <row r="117" spans="1:16" ht="12.75" hidden="1" customHeight="1" thickBot="1" x14ac:dyDescent="0.25">
      <c r="A117" s="376"/>
      <c r="B117" s="287">
        <f>'PFF-Zones'!B82</f>
        <v>0</v>
      </c>
      <c r="C117" s="321"/>
      <c r="D117" s="191"/>
      <c r="E117" s="360">
        <f>'PFF-Zones'!H82</f>
        <v>0</v>
      </c>
      <c r="F117" s="306"/>
    </row>
    <row r="118" spans="1:16" ht="12.75" hidden="1" customHeight="1" thickBot="1" x14ac:dyDescent="0.25">
      <c r="A118" s="376"/>
      <c r="B118" s="283">
        <f>'PFF-Zones'!B83</f>
        <v>0</v>
      </c>
      <c r="C118" s="320"/>
      <c r="D118" s="333"/>
      <c r="E118" s="360">
        <f>'PFF-Zones'!H83</f>
        <v>0</v>
      </c>
      <c r="F118" s="307">
        <f>'PFF-Zones'!I83</f>
        <v>0</v>
      </c>
    </row>
    <row r="119" spans="1:16" ht="13.5" hidden="1" customHeight="1" thickBot="1" x14ac:dyDescent="0.25">
      <c r="A119" s="377"/>
      <c r="B119" s="291">
        <f>'PFF-Zones'!B84</f>
        <v>0</v>
      </c>
      <c r="C119" s="334"/>
      <c r="D119" s="335"/>
      <c r="E119" s="361">
        <f>'PFF-Zones'!H84</f>
        <v>0</v>
      </c>
      <c r="F119" s="308">
        <f>'PFF-Zones'!I84</f>
        <v>0</v>
      </c>
    </row>
    <row r="120" spans="1:16" ht="13.5" thickBot="1" x14ac:dyDescent="0.25">
      <c r="E120" s="311"/>
      <c r="F120" s="311"/>
    </row>
    <row r="121" spans="1:16" x14ac:dyDescent="0.2">
      <c r="A121" s="1071" t="s">
        <v>264</v>
      </c>
      <c r="B121" s="293" t="str">
        <f>'Zone 70'!B4</f>
        <v>BIP</v>
      </c>
      <c r="C121" s="394"/>
      <c r="D121" s="395"/>
      <c r="E121" s="296">
        <f>'Zone 70'!F4</f>
        <v>8378.2226112133012</v>
      </c>
      <c r="F121" s="309"/>
      <c r="I121" s="412" t="s">
        <v>285</v>
      </c>
      <c r="O121" s="412" t="s">
        <v>285</v>
      </c>
    </row>
    <row r="122" spans="1:16" x14ac:dyDescent="0.2">
      <c r="A122" s="1072"/>
      <c r="B122" s="287" t="str">
        <f>'Zone 70'!B5</f>
        <v>BP</v>
      </c>
      <c r="C122" s="321"/>
      <c r="D122" s="191"/>
      <c r="E122" s="288">
        <f>'Zone 70'!F5</f>
        <v>8378.222611213303</v>
      </c>
      <c r="F122" s="306"/>
      <c r="I122" s="140"/>
      <c r="J122" s="438" t="s">
        <v>267</v>
      </c>
      <c r="O122" s="140"/>
      <c r="P122" s="438" t="s">
        <v>267</v>
      </c>
    </row>
    <row r="123" spans="1:16" x14ac:dyDescent="0.2">
      <c r="A123" s="1072"/>
      <c r="B123" s="287" t="str">
        <f>'Zone 70'!B6</f>
        <v>CMU</v>
      </c>
      <c r="C123" s="321"/>
      <c r="D123" s="191"/>
      <c r="E123" s="288">
        <f>'Zone 70'!F6</f>
        <v>8378.2226112133012</v>
      </c>
      <c r="F123" s="306"/>
    </row>
    <row r="124" spans="1:16" x14ac:dyDescent="0.2">
      <c r="A124" s="1072"/>
      <c r="B124" s="287" t="str">
        <f>'Zone 70'!B7</f>
        <v>GC</v>
      </c>
      <c r="C124" s="321"/>
      <c r="D124" s="191"/>
      <c r="E124" s="288">
        <f>'Zone 70'!F7</f>
        <v>8378.2226112133012</v>
      </c>
      <c r="F124" s="306"/>
      <c r="I124" s="126"/>
      <c r="J124" s="438" t="s">
        <v>277</v>
      </c>
      <c r="O124" s="126"/>
      <c r="P124" s="438" t="s">
        <v>277</v>
      </c>
    </row>
    <row r="125" spans="1:16" x14ac:dyDescent="0.2">
      <c r="A125" s="1072"/>
      <c r="B125" s="283" t="str">
        <f>'Zone 70'!B8</f>
        <v>HDR</v>
      </c>
      <c r="C125" s="320"/>
      <c r="D125" s="333"/>
      <c r="E125" s="360">
        <f>'Zone 70'!F8</f>
        <v>8378.2226112133012</v>
      </c>
      <c r="F125" s="307">
        <f>'Zone 70'!G8</f>
        <v>492.8366241890177</v>
      </c>
    </row>
    <row r="126" spans="1:16" x14ac:dyDescent="0.2">
      <c r="A126" s="1072"/>
      <c r="B126" s="283" t="str">
        <f>'Zone 70'!B9</f>
        <v>LDR</v>
      </c>
      <c r="C126" s="320"/>
      <c r="D126" s="333"/>
      <c r="E126" s="360">
        <f>'Zone 70'!F9</f>
        <v>8378.2226112133012</v>
      </c>
      <c r="F126" s="307">
        <f>'Zone 70'!G9</f>
        <v>1675.6445222426603</v>
      </c>
      <c r="G126" s="386"/>
      <c r="H126" s="386" t="s">
        <v>282</v>
      </c>
      <c r="I126" s="385" t="s">
        <v>281</v>
      </c>
      <c r="N126" s="386" t="s">
        <v>282</v>
      </c>
      <c r="O126" s="385" t="s">
        <v>281</v>
      </c>
    </row>
    <row r="127" spans="1:16" x14ac:dyDescent="0.2">
      <c r="A127" s="1072"/>
      <c r="B127" s="287" t="str">
        <f>'Zone 70'!B10</f>
        <v>LI</v>
      </c>
      <c r="C127" s="321"/>
      <c r="D127" s="191"/>
      <c r="E127" s="288">
        <f>'Zone 70'!F10</f>
        <v>8378.222611213303</v>
      </c>
      <c r="F127" s="306"/>
      <c r="I127" s="45" t="s">
        <v>284</v>
      </c>
      <c r="O127" s="45" t="s">
        <v>284</v>
      </c>
    </row>
    <row r="128" spans="1:16" x14ac:dyDescent="0.2">
      <c r="A128" s="1072"/>
      <c r="B128" s="283" t="str">
        <f>'Zone 70'!B11</f>
        <v>MDR</v>
      </c>
      <c r="C128" s="320"/>
      <c r="D128" s="333"/>
      <c r="E128" s="360">
        <f>'Zone 70'!F11</f>
        <v>8378.222611213303</v>
      </c>
      <c r="F128" s="307">
        <f>'Zone 70'!G11</f>
        <v>837.82226112133026</v>
      </c>
      <c r="I128" s="45" t="s">
        <v>280</v>
      </c>
      <c r="O128" s="45" t="s">
        <v>280</v>
      </c>
    </row>
    <row r="129" spans="1:18" x14ac:dyDescent="0.2">
      <c r="A129" s="1072"/>
      <c r="B129" s="287" t="str">
        <f>'Zone 70'!B12</f>
        <v>NC</v>
      </c>
      <c r="C129" s="321"/>
      <c r="D129" s="191"/>
      <c r="E129" s="288">
        <f>'Zone 70'!F12</f>
        <v>8378.2226112133012</v>
      </c>
      <c r="F129" s="306"/>
    </row>
    <row r="130" spans="1:18" x14ac:dyDescent="0.2">
      <c r="A130" s="1072"/>
      <c r="B130" s="287" t="str">
        <f>'Zone 70'!B13</f>
        <v>OS</v>
      </c>
      <c r="C130" s="321"/>
      <c r="D130" s="191"/>
      <c r="E130" s="288">
        <f>'Zone 70'!F13</f>
        <v>8378.222611213303</v>
      </c>
      <c r="F130" s="306"/>
    </row>
    <row r="131" spans="1:18" x14ac:dyDescent="0.2">
      <c r="A131" s="1072"/>
      <c r="B131" s="287" t="str">
        <f>'Zone 70'!B14</f>
        <v>P</v>
      </c>
      <c r="C131" s="321"/>
      <c r="D131" s="191"/>
      <c r="E131" s="288">
        <f>'Zone 70'!F14</f>
        <v>8378.2226112133012</v>
      </c>
      <c r="F131" s="306"/>
    </row>
    <row r="132" spans="1:18" x14ac:dyDescent="0.2">
      <c r="A132" s="1072"/>
      <c r="B132" s="287" t="str">
        <f>'Zone 70'!B15</f>
        <v>PQP</v>
      </c>
      <c r="C132" s="321"/>
      <c r="D132" s="191"/>
      <c r="E132" s="288">
        <f>'Zone 70'!F15</f>
        <v>8378.2226112133012</v>
      </c>
      <c r="F132" s="306"/>
    </row>
    <row r="133" spans="1:18" ht="12.75" hidden="1" customHeight="1" x14ac:dyDescent="0.2">
      <c r="A133" s="1072"/>
      <c r="B133" s="287" t="str">
        <f>'Zone 70'!B16</f>
        <v>UR-BIP</v>
      </c>
      <c r="C133" s="321"/>
      <c r="D133" s="191"/>
      <c r="E133" s="288">
        <f>'Zone 70'!F16</f>
        <v>8378.2226112133012</v>
      </c>
      <c r="F133" s="306"/>
    </row>
    <row r="134" spans="1:18" ht="12.75" hidden="1" customHeight="1" x14ac:dyDescent="0.2">
      <c r="A134" s="1072"/>
      <c r="B134" s="287" t="str">
        <f>'Zone 70'!B17</f>
        <v>UR-CMU</v>
      </c>
      <c r="C134" s="321"/>
      <c r="D134" s="191"/>
      <c r="E134" s="288">
        <f>'Zone 70'!F17</f>
        <v>8378.222611213303</v>
      </c>
      <c r="F134" s="306"/>
    </row>
    <row r="135" spans="1:18" ht="12.75" hidden="1" customHeight="1" x14ac:dyDescent="0.2">
      <c r="A135" s="1072"/>
      <c r="B135" s="283" t="str">
        <f>'Zone 70'!B18</f>
        <v>UR-LDR</v>
      </c>
      <c r="C135" s="320"/>
      <c r="D135" s="333"/>
      <c r="E135" s="299">
        <f>'Zone 70'!F18</f>
        <v>8378.2226112133012</v>
      </c>
      <c r="F135" s="307">
        <f>'Zone 70'!G18</f>
        <v>1675.6445222426603</v>
      </c>
    </row>
    <row r="136" spans="1:18" ht="12.75" hidden="1" customHeight="1" x14ac:dyDescent="0.2">
      <c r="A136" s="1072"/>
      <c r="B136" s="287" t="str">
        <f>'Zone 70'!B19</f>
        <v>UR-P</v>
      </c>
      <c r="C136" s="321"/>
      <c r="D136" s="191"/>
      <c r="E136" s="288">
        <f>'Zone 70'!F19</f>
        <v>8378.2226112133012</v>
      </c>
      <c r="F136" s="306"/>
    </row>
    <row r="137" spans="1:18" ht="12.75" hidden="1" customHeight="1" x14ac:dyDescent="0.2">
      <c r="A137" s="1072"/>
      <c r="B137" s="283" t="str">
        <f>'Zone 70'!B20</f>
        <v>UR-VLDR</v>
      </c>
      <c r="C137" s="320"/>
      <c r="D137" s="333"/>
      <c r="E137" s="299">
        <f>'Zone 70'!F20</f>
        <v>8378.222611213303</v>
      </c>
      <c r="F137" s="307">
        <f>'Zone 70'!G20</f>
        <v>4189.1113056066515</v>
      </c>
    </row>
    <row r="138" spans="1:18" ht="13.5" thickBot="1" x14ac:dyDescent="0.25">
      <c r="A138" s="1073"/>
      <c r="B138" s="291" t="str">
        <f>'Zone 70'!B21</f>
        <v>VLDR</v>
      </c>
      <c r="C138" s="334"/>
      <c r="D138" s="335"/>
      <c r="E138" s="361">
        <f>'Zone 70'!F21</f>
        <v>8378.2226112133012</v>
      </c>
      <c r="F138" s="308">
        <f>'Zone 70'!G21</f>
        <v>4189.1113056066506</v>
      </c>
    </row>
    <row r="139" spans="1:18" s="256" customFormat="1" ht="15.75" x14ac:dyDescent="0.2">
      <c r="A139" s="384" t="s">
        <v>236</v>
      </c>
      <c r="B139" s="371"/>
      <c r="C139" s="372"/>
      <c r="D139" s="373"/>
      <c r="E139" s="374"/>
      <c r="F139" s="373"/>
      <c r="J139" s="439"/>
      <c r="K139" s="441"/>
      <c r="L139" s="255"/>
      <c r="M139" s="255"/>
      <c r="P139" s="439"/>
      <c r="Q139" s="441"/>
      <c r="R139" s="255"/>
    </row>
    <row r="140" spans="1:18" s="256" customFormat="1" x14ac:dyDescent="0.2">
      <c r="A140" s="370"/>
      <c r="B140" s="371"/>
      <c r="C140" s="372"/>
      <c r="D140" s="373"/>
      <c r="E140" s="374"/>
      <c r="F140" s="373"/>
      <c r="J140" s="439"/>
      <c r="K140" s="441"/>
      <c r="L140" s="255"/>
      <c r="M140" s="255"/>
      <c r="P140" s="439"/>
      <c r="Q140" s="441"/>
      <c r="R140" s="255"/>
    </row>
    <row r="141" spans="1:18" x14ac:dyDescent="0.2">
      <c r="E141" s="311"/>
      <c r="F141" s="311"/>
    </row>
    <row r="142" spans="1:18" x14ac:dyDescent="0.2">
      <c r="E142" s="311"/>
      <c r="F142" s="311"/>
    </row>
    <row r="143" spans="1:18" x14ac:dyDescent="0.2">
      <c r="E143" s="311"/>
      <c r="F143" s="311"/>
    </row>
    <row r="144" spans="1:18" x14ac:dyDescent="0.2">
      <c r="E144" s="311"/>
      <c r="F144" s="311"/>
    </row>
    <row r="145" spans="5:6" x14ac:dyDescent="0.2">
      <c r="E145" s="311"/>
      <c r="F145" s="311"/>
    </row>
    <row r="146" spans="5:6" x14ac:dyDescent="0.2">
      <c r="E146" s="311"/>
      <c r="F146" s="311"/>
    </row>
    <row r="147" spans="5:6" x14ac:dyDescent="0.2">
      <c r="E147" s="311"/>
      <c r="F147" s="311"/>
    </row>
    <row r="148" spans="5:6" x14ac:dyDescent="0.2">
      <c r="E148" s="311"/>
      <c r="F148" s="311"/>
    </row>
    <row r="149" spans="5:6" x14ac:dyDescent="0.2">
      <c r="E149" s="311"/>
      <c r="F149" s="311"/>
    </row>
    <row r="150" spans="5:6" x14ac:dyDescent="0.2">
      <c r="E150" s="311"/>
      <c r="F150" s="311"/>
    </row>
    <row r="151" spans="5:6" x14ac:dyDescent="0.2">
      <c r="E151" s="311"/>
      <c r="F151" s="311"/>
    </row>
    <row r="152" spans="5:6" x14ac:dyDescent="0.2">
      <c r="E152" s="311"/>
      <c r="F152" s="311"/>
    </row>
    <row r="153" spans="5:6" x14ac:dyDescent="0.2">
      <c r="E153" s="311"/>
      <c r="F153" s="311"/>
    </row>
    <row r="154" spans="5:6" x14ac:dyDescent="0.2">
      <c r="E154" s="311"/>
      <c r="F154" s="311"/>
    </row>
    <row r="155" spans="5:6" x14ac:dyDescent="0.2">
      <c r="E155" s="311"/>
      <c r="F155" s="311"/>
    </row>
    <row r="156" spans="5:6" x14ac:dyDescent="0.2">
      <c r="E156" s="311"/>
      <c r="F156" s="311"/>
    </row>
    <row r="157" spans="5:6" x14ac:dyDescent="0.2">
      <c r="E157" s="311"/>
      <c r="F157" s="311"/>
    </row>
    <row r="158" spans="5:6" x14ac:dyDescent="0.2">
      <c r="E158" s="311"/>
      <c r="F158" s="311"/>
    </row>
    <row r="159" spans="5:6" x14ac:dyDescent="0.2">
      <c r="E159" s="311"/>
      <c r="F159" s="311"/>
    </row>
    <row r="160" spans="5:6" x14ac:dyDescent="0.2">
      <c r="E160" s="311"/>
      <c r="F160" s="311"/>
    </row>
  </sheetData>
  <mergeCells count="26">
    <mergeCell ref="L84:L85"/>
    <mergeCell ref="A121:A138"/>
    <mergeCell ref="H106:I106"/>
    <mergeCell ref="J106:K106"/>
    <mergeCell ref="E5:F5"/>
    <mergeCell ref="C5:D5"/>
    <mergeCell ref="B5:B6"/>
    <mergeCell ref="A5:A6"/>
    <mergeCell ref="A108:A115"/>
    <mergeCell ref="J84:K84"/>
    <mergeCell ref="R105:R106"/>
    <mergeCell ref="N106:O106"/>
    <mergeCell ref="R84:R85"/>
    <mergeCell ref="A7:A15"/>
    <mergeCell ref="A16:A35"/>
    <mergeCell ref="A36:A51"/>
    <mergeCell ref="A52:A61"/>
    <mergeCell ref="A62:A74"/>
    <mergeCell ref="A75:A85"/>
    <mergeCell ref="O83:R83"/>
    <mergeCell ref="P106:Q106"/>
    <mergeCell ref="P84:Q84"/>
    <mergeCell ref="L105:L106"/>
    <mergeCell ref="N83:N85"/>
    <mergeCell ref="H83:H85"/>
    <mergeCell ref="I83:L83"/>
  </mergeCells>
  <phoneticPr fontId="2" type="noConversion"/>
  <pageMargins left="0.75" right="0.5" top="0.5" bottom="0.25" header="0.5" footer="0.5"/>
  <pageSetup paperSize="3" orientation="portrait" r:id="rId1"/>
  <headerFooter alignWithMargins="0">
    <oddFooter>&amp;F</oddFooter>
  </headerFooter>
  <rowBreaks count="1" manualBreakCount="1">
    <brk id="120" max="11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F17" sqref="F17"/>
    </sheetView>
  </sheetViews>
  <sheetFormatPr defaultColWidth="9.140625" defaultRowHeight="12.75" x14ac:dyDescent="0.2"/>
  <cols>
    <col min="1" max="1" width="6.5703125" style="45" customWidth="1"/>
    <col min="2" max="2" width="9.140625" style="45"/>
    <col min="3" max="3" width="10.7109375" style="45" customWidth="1"/>
    <col min="4" max="4" width="15.7109375" style="45" customWidth="1"/>
    <col min="5" max="5" width="19.28515625" style="45" customWidth="1"/>
    <col min="6" max="6" width="19" style="45" customWidth="1"/>
    <col min="7" max="16384" width="9.140625" style="45"/>
  </cols>
  <sheetData>
    <row r="2" spans="2:6" ht="15.75" x14ac:dyDescent="0.2">
      <c r="B2" s="387" t="s">
        <v>318</v>
      </c>
    </row>
    <row r="3" spans="2:6" x14ac:dyDescent="0.2">
      <c r="F3" s="505">
        <v>40610</v>
      </c>
    </row>
    <row r="4" spans="2:6" ht="9.75" customHeight="1" thickBot="1" x14ac:dyDescent="0.25">
      <c r="B4" s="46"/>
      <c r="C4" s="46"/>
      <c r="D4" s="46"/>
    </row>
    <row r="5" spans="2:6" ht="16.5" customHeight="1" x14ac:dyDescent="0.2">
      <c r="B5" s="1099" t="s">
        <v>309</v>
      </c>
      <c r="C5" s="506" t="s">
        <v>295</v>
      </c>
      <c r="D5" s="507" t="s">
        <v>317</v>
      </c>
      <c r="E5" s="506" t="s">
        <v>314</v>
      </c>
      <c r="F5" s="508" t="s">
        <v>316</v>
      </c>
    </row>
    <row r="6" spans="2:6" ht="18" customHeight="1" thickBot="1" x14ac:dyDescent="0.25">
      <c r="B6" s="1100"/>
      <c r="C6" s="509" t="s">
        <v>298</v>
      </c>
      <c r="D6" s="510" t="s">
        <v>313</v>
      </c>
      <c r="E6" s="509" t="s">
        <v>315</v>
      </c>
      <c r="F6" s="511" t="s">
        <v>315</v>
      </c>
    </row>
    <row r="7" spans="2:6" ht="18" customHeight="1" x14ac:dyDescent="0.2">
      <c r="B7" s="500" t="s">
        <v>310</v>
      </c>
      <c r="C7" s="501">
        <v>466.4</v>
      </c>
      <c r="D7" s="501">
        <v>93.3</v>
      </c>
      <c r="E7" s="501">
        <v>11.8</v>
      </c>
      <c r="F7" s="502">
        <v>14</v>
      </c>
    </row>
    <row r="8" spans="2:6" ht="18" customHeight="1" x14ac:dyDescent="0.2">
      <c r="B8" s="497" t="s">
        <v>311</v>
      </c>
      <c r="C8" s="496">
        <v>83.9</v>
      </c>
      <c r="D8" s="496">
        <v>18.399999999999999</v>
      </c>
      <c r="E8" s="496">
        <v>2.2999999999999998</v>
      </c>
      <c r="F8" s="498">
        <v>2.2999999999999998</v>
      </c>
    </row>
    <row r="9" spans="2:6" ht="18" customHeight="1" x14ac:dyDescent="0.2">
      <c r="B9" s="497" t="s">
        <v>130</v>
      </c>
      <c r="C9" s="496">
        <v>355.7</v>
      </c>
      <c r="D9" s="496">
        <v>51.4</v>
      </c>
      <c r="E9" s="496">
        <v>6.5</v>
      </c>
      <c r="F9" s="498">
        <v>7.2</v>
      </c>
    </row>
    <row r="10" spans="2:6" ht="18" customHeight="1" thickBot="1" x14ac:dyDescent="0.25">
      <c r="B10" s="513" t="s">
        <v>312</v>
      </c>
      <c r="C10" s="499">
        <v>124.4</v>
      </c>
      <c r="D10" s="499">
        <v>21.2</v>
      </c>
      <c r="E10" s="499">
        <v>2.7</v>
      </c>
      <c r="F10" s="512">
        <v>2.7</v>
      </c>
    </row>
    <row r="11" spans="2:6" ht="18" customHeight="1" thickBot="1" x14ac:dyDescent="0.25">
      <c r="B11" s="474" t="s">
        <v>0</v>
      </c>
      <c r="C11" s="503">
        <f>SUM(C7:C10)</f>
        <v>1030.4000000000001</v>
      </c>
      <c r="D11" s="503">
        <f>SUM(D7:D10)</f>
        <v>184.29999999999998</v>
      </c>
      <c r="E11" s="503">
        <f>SUM(E7:E10)</f>
        <v>23.3</v>
      </c>
      <c r="F11" s="504">
        <f>SUM(F7:F10)</f>
        <v>26.2</v>
      </c>
    </row>
    <row r="13" spans="2:6" x14ac:dyDescent="0.2">
      <c r="B13" s="45" t="s">
        <v>319</v>
      </c>
    </row>
    <row r="14" spans="2:6" x14ac:dyDescent="0.2">
      <c r="B14" s="45" t="s">
        <v>320</v>
      </c>
    </row>
  </sheetData>
  <mergeCells count="1">
    <mergeCell ref="B5:B6"/>
  </mergeCells>
  <phoneticPr fontId="2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149"/>
  <sheetViews>
    <sheetView view="pageBreakPreview" zoomScale="80" zoomScaleNormal="95" zoomScaleSheetLayoutView="80" workbookViewId="0">
      <pane ySplit="870" topLeftCell="A88" activePane="bottomLeft"/>
      <selection activeCell="I68" sqref="I68"/>
      <selection pane="bottomLeft" activeCell="Y116" sqref="Y116"/>
    </sheetView>
  </sheetViews>
  <sheetFormatPr defaultColWidth="9.140625" defaultRowHeight="12.75" x14ac:dyDescent="0.2"/>
  <cols>
    <col min="1" max="1" width="14.28515625" style="111" customWidth="1"/>
    <col min="2" max="2" width="12.28515625" style="112" customWidth="1"/>
    <col min="3" max="3" width="8.7109375" style="112" customWidth="1"/>
    <col min="4" max="4" width="9.140625" style="98"/>
    <col min="5" max="5" width="9.140625" style="99"/>
    <col min="6" max="6" width="13.85546875" style="100" bestFit="1" customWidth="1"/>
    <col min="7" max="7" width="12.140625" style="101" customWidth="1"/>
    <col min="8" max="9" width="7.85546875" style="101" customWidth="1"/>
    <col min="10" max="11" width="8.85546875" style="229" customWidth="1"/>
    <col min="12" max="12" width="8.85546875" style="99" customWidth="1"/>
    <col min="13" max="13" width="6" style="98" customWidth="1"/>
    <col min="14" max="14" width="7.85546875" style="98" customWidth="1"/>
    <col min="15" max="15" width="13.7109375" style="193" customWidth="1"/>
    <col min="16" max="16" width="13" style="193" customWidth="1"/>
    <col min="17" max="17" width="11.7109375" style="46" customWidth="1"/>
    <col min="18" max="18" width="9.140625" style="46"/>
    <col min="19" max="19" width="9.42578125" style="46" bestFit="1" customWidth="1"/>
    <col min="20" max="22" width="9.140625" style="45"/>
    <col min="23" max="23" width="9.42578125" style="45" bestFit="1" customWidth="1"/>
    <col min="24" max="16384" width="9.140625" style="45"/>
  </cols>
  <sheetData>
    <row r="1" spans="1:24" x14ac:dyDescent="0.2">
      <c r="A1" s="277" t="s">
        <v>343</v>
      </c>
    </row>
    <row r="2" spans="1:24" ht="40.5" customHeight="1" x14ac:dyDescent="0.2">
      <c r="A2" s="174" t="s">
        <v>533</v>
      </c>
      <c r="B2" s="174" t="s">
        <v>121</v>
      </c>
      <c r="C2" s="278" t="s">
        <v>534</v>
      </c>
      <c r="D2" s="175" t="str">
        <f>VLOOKUP(B2,O113:P138,2,FALSE)</f>
        <v>C</v>
      </c>
      <c r="E2" s="176" t="s">
        <v>122</v>
      </c>
      <c r="F2" s="177" t="s">
        <v>535</v>
      </c>
      <c r="G2" s="178" t="s">
        <v>124</v>
      </c>
      <c r="H2" s="178" t="s">
        <v>536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60" t="s">
        <v>537</v>
      </c>
      <c r="P2" s="960"/>
      <c r="Q2" s="157"/>
      <c r="V2" s="572"/>
    </row>
    <row r="3" spans="1:24" x14ac:dyDescent="0.2">
      <c r="A3" s="961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VLOOKUP(B3,$O$124:$P$149,2,FALSE)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472414.93676173931</v>
      </c>
      <c r="H3" s="92">
        <f>G3/C3</f>
        <v>339.58790234405473</v>
      </c>
      <c r="I3" s="95">
        <f>H3/(VLOOKUP(B3,$O$124:$Q$149,3,FALSE))</f>
        <v>67.917580468810939</v>
      </c>
      <c r="J3" s="228" t="e">
        <f>C3*VLOOKUP(B3,$D$124:$O$149,3,FALSE)</f>
        <v>#N/A</v>
      </c>
      <c r="K3" s="228" t="e">
        <f>J3*VLOOKUP(B3,$D$124:$O$149,4,FALSE)</f>
        <v>#N/A</v>
      </c>
      <c r="L3" s="964">
        <f>SUM(C3:C11)</f>
        <v>2521.8076449999999</v>
      </c>
      <c r="M3" s="950">
        <f>SUM(E3:E11)/L3</f>
        <v>0.34745854674415505</v>
      </c>
      <c r="N3" s="950">
        <f>L3*M3</f>
        <v>876.22361950000004</v>
      </c>
      <c r="O3" s="933">
        <f>SUM(P4:P10)</f>
        <v>991849.8031010672</v>
      </c>
      <c r="P3" s="933"/>
      <c r="S3" s="179">
        <f>3273.2749</f>
        <v>3273.2748999999999</v>
      </c>
      <c r="T3" s="45">
        <v>0.5</v>
      </c>
      <c r="U3" s="45">
        <v>0.85</v>
      </c>
      <c r="V3" s="572">
        <f>IF(AND(T3="",U3=""),0,IF(AND(T3&gt;0,U3&gt;0),T3*U3,IF(T3&gt;0,T3,U3)))</f>
        <v>0.42499999999999999</v>
      </c>
      <c r="W3" s="572">
        <f>IF(V3&gt;0,V3*S3,S3)</f>
        <v>1391.1418325</v>
      </c>
      <c r="X3" s="577">
        <f t="shared" ref="X3:X11" si="2">W3-C3</f>
        <v>0</v>
      </c>
    </row>
    <row r="4" spans="1:24" x14ac:dyDescent="0.2">
      <c r="A4" s="962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3">E4/($L$3*$M$3)</f>
        <v>6.4867376015763742E-2</v>
      </c>
      <c r="G4" s="92">
        <f t="shared" ref="G4:G11" si="4">$O$3*F4</f>
        <v>64338.694128918156</v>
      </c>
      <c r="H4" s="93">
        <f t="shared" ref="H4:H11" si="5">G4/C4</f>
        <v>792.37177213612767</v>
      </c>
      <c r="I4" s="92"/>
      <c r="J4" s="230"/>
      <c r="K4" s="228" t="e">
        <f>C4*VLOOKUP(B4,$D$124:$O$149,4,FALSE)</f>
        <v>#N/A</v>
      </c>
      <c r="L4" s="965"/>
      <c r="M4" s="951"/>
      <c r="N4" s="951"/>
      <c r="O4" s="147" t="s">
        <v>202</v>
      </c>
      <c r="P4" s="147">
        <f>SUM(North!J49:M49)</f>
        <v>0</v>
      </c>
      <c r="Q4" s="934">
        <f>SUM(P4:P6)</f>
        <v>254883.54851369286</v>
      </c>
      <c r="S4" s="88">
        <f>95.5266</f>
        <v>95.526600000000002</v>
      </c>
      <c r="U4" s="45">
        <v>0.85</v>
      </c>
      <c r="V4" s="572">
        <f t="shared" ref="V4:V11" si="6">IF(AND(T4="",U4=""),0,IF(AND(T4&gt;0,U4&gt;0),T4*U4,IF(T4&gt;0,T4,U4)))</f>
        <v>0.85</v>
      </c>
      <c r="W4" s="572">
        <f t="shared" ref="W4:W11" si="7">IF(V4&gt;0,V4*S4,S4)</f>
        <v>81.197609999999997</v>
      </c>
      <c r="X4" s="577">
        <f t="shared" si="2"/>
        <v>0</v>
      </c>
    </row>
    <row r="5" spans="1:24" x14ac:dyDescent="0.2">
      <c r="A5" s="962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3"/>
        <v>0.12898909648714393</v>
      </c>
      <c r="G5" s="92">
        <f t="shared" si="4"/>
        <v>127937.80995295827</v>
      </c>
      <c r="H5" s="92">
        <f t="shared" si="5"/>
        <v>339.58790234405473</v>
      </c>
      <c r="I5" s="95">
        <f>H5/(VLOOKUP(B5,$O$124:$Q$149,3,FALSE))</f>
        <v>67.917580468810939</v>
      </c>
      <c r="J5" s="228" t="e">
        <f>C5*VLOOKUP(B5,$D$124:$O$149,3,FALSE)</f>
        <v>#N/A</v>
      </c>
      <c r="K5" s="228" t="e">
        <f>J5*VLOOKUP(B5,$D$124:$O$149,4,FALSE)</f>
        <v>#N/A</v>
      </c>
      <c r="L5" s="965"/>
      <c r="M5" s="951"/>
      <c r="N5" s="951"/>
      <c r="O5" s="147" t="s">
        <v>206</v>
      </c>
      <c r="P5" s="245">
        <f>N3/($N$3+$N$15+$N$34+$N$50+$N$61+$N$75+$N$87)*'Future Improve'!$D$8</f>
        <v>174883.54851369286</v>
      </c>
      <c r="Q5" s="934"/>
      <c r="S5" s="88">
        <f>443.2286</f>
        <v>443.22859999999997</v>
      </c>
      <c r="U5" s="45">
        <v>0.85</v>
      </c>
      <c r="V5" s="572">
        <f t="shared" si="6"/>
        <v>0.85</v>
      </c>
      <c r="W5" s="572">
        <f t="shared" si="7"/>
        <v>376.74430999999998</v>
      </c>
      <c r="X5" s="577">
        <f t="shared" si="2"/>
        <v>0</v>
      </c>
    </row>
    <row r="6" spans="1:24" x14ac:dyDescent="0.2">
      <c r="A6" s="962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3"/>
        <v>0.15296350442650897</v>
      </c>
      <c r="G6" s="92">
        <f t="shared" si="4"/>
        <v>151716.82174708214</v>
      </c>
      <c r="H6" s="93">
        <f t="shared" si="5"/>
        <v>792.37177213612756</v>
      </c>
      <c r="I6" s="92"/>
      <c r="J6" s="230"/>
      <c r="K6" s="228">
        <f>C6*VLOOKUP(B6,$O$124:$R$149,4,FALSE)</f>
        <v>2628.9073334499999</v>
      </c>
      <c r="L6" s="965"/>
      <c r="M6" s="951"/>
      <c r="N6" s="951"/>
      <c r="O6" s="147" t="s">
        <v>219</v>
      </c>
      <c r="P6" s="147">
        <f>'Levee &amp; Monitor'!E17</f>
        <v>80000</v>
      </c>
      <c r="Q6" s="934"/>
      <c r="S6" s="88">
        <f>225.2609</f>
        <v>225.26089999999999</v>
      </c>
      <c r="U6" s="45">
        <v>0.85</v>
      </c>
      <c r="V6" s="572">
        <f t="shared" si="6"/>
        <v>0.85</v>
      </c>
      <c r="W6" s="572">
        <f t="shared" si="7"/>
        <v>191.47176499999998</v>
      </c>
      <c r="X6" s="577">
        <f t="shared" si="2"/>
        <v>0</v>
      </c>
    </row>
    <row r="7" spans="1:24" x14ac:dyDescent="0.2">
      <c r="A7" s="962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3"/>
        <v>7.9504190996074837E-4</v>
      </c>
      <c r="G7" s="92">
        <f t="shared" si="4"/>
        <v>788.56216185166465</v>
      </c>
      <c r="H7" s="93">
        <f t="shared" si="5"/>
        <v>113.19596744801824</v>
      </c>
      <c r="I7" s="92"/>
      <c r="J7" s="230"/>
      <c r="K7" s="228">
        <f>C7*VLOOKUP(B7,$O$124:$R$149,4,FALSE)</f>
        <v>0</v>
      </c>
      <c r="L7" s="965"/>
      <c r="M7" s="951"/>
      <c r="N7" s="951"/>
      <c r="O7" s="165" t="s">
        <v>220</v>
      </c>
      <c r="P7" s="165">
        <f>0.19*Q4</f>
        <v>48427.874217601646</v>
      </c>
      <c r="S7" s="88">
        <f>8.1957</f>
        <v>8.1957000000000004</v>
      </c>
      <c r="U7" s="45">
        <v>0.85</v>
      </c>
      <c r="V7" s="572">
        <f t="shared" si="6"/>
        <v>0.85</v>
      </c>
      <c r="W7" s="572">
        <f t="shared" si="7"/>
        <v>6.9663450000000005</v>
      </c>
      <c r="X7" s="577">
        <f t="shared" si="2"/>
        <v>0</v>
      </c>
    </row>
    <row r="8" spans="1:24" x14ac:dyDescent="0.2">
      <c r="A8" s="962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3"/>
        <v>4.2509040125230267E-3</v>
      </c>
      <c r="G8" s="92">
        <f t="shared" si="4"/>
        <v>4216.2583078225007</v>
      </c>
      <c r="H8" s="93">
        <f t="shared" si="5"/>
        <v>113.19596744801824</v>
      </c>
      <c r="I8" s="92"/>
      <c r="J8" s="230"/>
      <c r="K8" s="228">
        <f>C8*VLOOKUP(B8,$O$124:$R$149,4,FALSE)</f>
        <v>37.247425</v>
      </c>
      <c r="L8" s="965"/>
      <c r="M8" s="951"/>
      <c r="N8" s="951"/>
      <c r="O8" s="165" t="s">
        <v>221</v>
      </c>
      <c r="P8" s="165">
        <f>0.02*Q4*0</f>
        <v>0</v>
      </c>
      <c r="S8" s="88">
        <f>43.8205</f>
        <v>43.820500000000003</v>
      </c>
      <c r="U8" s="45">
        <v>0.85</v>
      </c>
      <c r="V8" s="572">
        <f t="shared" si="6"/>
        <v>0.85</v>
      </c>
      <c r="W8" s="572">
        <f t="shared" si="7"/>
        <v>37.247425</v>
      </c>
      <c r="X8" s="577">
        <f t="shared" si="2"/>
        <v>0</v>
      </c>
    </row>
    <row r="9" spans="1:24" x14ac:dyDescent="0.2">
      <c r="A9" s="962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3"/>
        <v>0.12392367636923761</v>
      </c>
      <c r="G9" s="92">
        <f t="shared" si="4"/>
        <v>122913.6740063887</v>
      </c>
      <c r="H9" s="92">
        <f t="shared" si="5"/>
        <v>339.58790234405473</v>
      </c>
      <c r="I9" s="95">
        <f>H9/(VLOOKUP(B9,$O$124:$Q$149,3,FALSE))</f>
        <v>67.917580468810939</v>
      </c>
      <c r="J9" s="228">
        <f>C9*VLOOKUP(B9,$O$124:$R$149,3,FALSE)</f>
        <v>1809.7475374999999</v>
      </c>
      <c r="K9" s="228">
        <f>J9*VLOOKUP(B9,$O$124:$R$149,4,FALSE)</f>
        <v>1809.7475374999999</v>
      </c>
      <c r="L9" s="965"/>
      <c r="M9" s="951"/>
      <c r="N9" s="951"/>
      <c r="O9" s="165" t="s">
        <v>222</v>
      </c>
      <c r="P9" s="165">
        <v>500000</v>
      </c>
      <c r="S9" s="179">
        <f>851.6459</f>
        <v>851.64589999999998</v>
      </c>
      <c r="T9" s="45">
        <v>0.5</v>
      </c>
      <c r="U9" s="45">
        <v>0.85</v>
      </c>
      <c r="V9" s="572">
        <f t="shared" si="6"/>
        <v>0.42499999999999999</v>
      </c>
      <c r="W9" s="572">
        <f t="shared" si="7"/>
        <v>361.94950749999998</v>
      </c>
      <c r="X9" s="577">
        <f t="shared" si="2"/>
        <v>0</v>
      </c>
    </row>
    <row r="10" spans="1:24" x14ac:dyDescent="0.2">
      <c r="A10" s="962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3"/>
        <v>3.8858319659802319E-2</v>
      </c>
      <c r="G10" s="92">
        <f t="shared" si="4"/>
        <v>38541.61670341326</v>
      </c>
      <c r="H10" s="93">
        <f t="shared" si="5"/>
        <v>792.37177213612767</v>
      </c>
      <c r="I10" s="92"/>
      <c r="J10" s="230"/>
      <c r="K10" s="228">
        <f>C10*VLOOKUP(B10,$O$124:$R$149,4,FALSE)</f>
        <v>667.83852724999997</v>
      </c>
      <c r="L10" s="965"/>
      <c r="M10" s="951"/>
      <c r="N10" s="951"/>
      <c r="O10" s="526" t="s">
        <v>254</v>
      </c>
      <c r="P10" s="526">
        <f>0.518*1.2*(Q4+P7)</f>
        <v>188538.3803697727</v>
      </c>
      <c r="S10" s="179">
        <f>114.449</f>
        <v>114.449</v>
      </c>
      <c r="T10" s="45">
        <v>0.5</v>
      </c>
      <c r="U10" s="45">
        <v>0.85</v>
      </c>
      <c r="V10" s="572">
        <f t="shared" si="6"/>
        <v>0.42499999999999999</v>
      </c>
      <c r="W10" s="572">
        <f t="shared" si="7"/>
        <v>48.640825</v>
      </c>
      <c r="X10" s="577">
        <f t="shared" si="2"/>
        <v>0</v>
      </c>
    </row>
    <row r="11" spans="1:24" x14ac:dyDescent="0.2">
      <c r="A11" s="963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3"/>
        <v>9.0552312485340392E-3</v>
      </c>
      <c r="G11" s="92">
        <f t="shared" si="4"/>
        <v>8981.4293308931174</v>
      </c>
      <c r="H11" s="92">
        <f t="shared" si="5"/>
        <v>339.58790234405467</v>
      </c>
      <c r="I11" s="95">
        <f>H11/(VLOOKUP(B11,$O$124:$Q$149,3,FALSE))</f>
        <v>169.79395117202733</v>
      </c>
      <c r="J11" s="228">
        <f>C11*VLOOKUP(B11,$O$124:$R$149,3,FALSE)</f>
        <v>52.896050000000002</v>
      </c>
      <c r="K11" s="228">
        <f>C11*VLOOKUP(B11,$O$124:$R$149,4,FALSE)</f>
        <v>66.120062500000003</v>
      </c>
      <c r="L11" s="966"/>
      <c r="M11" s="952"/>
      <c r="N11" s="952"/>
      <c r="O11" s="201"/>
      <c r="P11" s="202"/>
      <c r="S11" s="521">
        <f>105.7921</f>
        <v>105.7921</v>
      </c>
      <c r="T11" s="269">
        <v>0.25</v>
      </c>
      <c r="U11" s="269"/>
      <c r="V11" s="575">
        <f t="shared" si="6"/>
        <v>0.25</v>
      </c>
      <c r="W11" s="575">
        <f t="shared" si="7"/>
        <v>26.448025000000001</v>
      </c>
      <c r="X11" s="577">
        <f t="shared" si="2"/>
        <v>0</v>
      </c>
    </row>
    <row r="12" spans="1:24" s="256" customFormat="1" x14ac:dyDescent="0.2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991849.80310106708</v>
      </c>
      <c r="H12" s="148"/>
      <c r="I12" s="148"/>
      <c r="J12" s="253"/>
      <c r="K12" s="235" t="e">
        <f>SUM(K3:K11)</f>
        <v>#N/A</v>
      </c>
      <c r="L12" s="213"/>
      <c r="M12" s="254"/>
      <c r="N12" s="254"/>
      <c r="O12" s="242"/>
      <c r="P12" s="242"/>
      <c r="Q12" s="255"/>
      <c r="R12" s="255"/>
      <c r="S12" s="573">
        <f>SUM(S3:S11)</f>
        <v>5161.1941999999999</v>
      </c>
      <c r="T12" s="574"/>
      <c r="U12" s="574"/>
      <c r="V12" s="574"/>
      <c r="W12" s="573">
        <f>SUM(W3:W11)</f>
        <v>2521.8076449999999</v>
      </c>
    </row>
    <row r="13" spans="1:24" x14ac:dyDescent="0.2">
      <c r="A13" s="275" t="s">
        <v>323</v>
      </c>
      <c r="B13" s="276"/>
      <c r="C13" s="922" t="s">
        <v>325</v>
      </c>
      <c r="D13" s="922"/>
      <c r="E13" s="922"/>
      <c r="F13" s="922"/>
      <c r="G13" s="923"/>
    </row>
    <row r="14" spans="1:24" x14ac:dyDescent="0.2">
      <c r="A14" s="96"/>
      <c r="B14" s="97"/>
      <c r="C14" s="97"/>
    </row>
    <row r="15" spans="1:24" x14ac:dyDescent="0.2">
      <c r="A15" s="959" t="s">
        <v>141</v>
      </c>
      <c r="B15" s="279" t="s">
        <v>229</v>
      </c>
      <c r="C15" s="179">
        <f>0.5*0.85*111.6225</f>
        <v>47.439562500000001</v>
      </c>
      <c r="D15" s="89">
        <f t="shared" ref="D15:D31" si="8">VLOOKUP(B15,$O$124:$P$149,2,FALSE)</f>
        <v>0.3</v>
      </c>
      <c r="E15" s="90">
        <f>C15*D15</f>
        <v>14.23186875</v>
      </c>
      <c r="F15" s="91">
        <f t="shared" ref="F15:F31" si="9">E15/($L$15*$M$15)</f>
        <v>4.347240231514761E-2</v>
      </c>
      <c r="G15" s="92">
        <f>$O$15*F15</f>
        <v>123614.76718516811</v>
      </c>
      <c r="H15" s="92">
        <f>G15/C15</f>
        <v>2605.731601870656</v>
      </c>
      <c r="I15" s="95">
        <f>H15/(VLOOKUP(B15,$O$124:$Q$149,3,FALSE))</f>
        <v>521.14632037413116</v>
      </c>
      <c r="J15" s="228">
        <f>C15*VLOOKUP(B15,$O$124:$R$149,3,FALSE)</f>
        <v>237.1978125</v>
      </c>
      <c r="K15" s="228">
        <f>J15*VLOOKUP(B15,$O$124:$R$149,4,FALSE)</f>
        <v>237.1978125</v>
      </c>
      <c r="L15" s="931">
        <f>SUM(C15:C31)</f>
        <v>1043.0869425000001</v>
      </c>
      <c r="M15" s="932">
        <f>SUM(E15:E31)/L15</f>
        <v>0.31385408148755545</v>
      </c>
      <c r="N15" s="932">
        <f>L15*M15</f>
        <v>327.37709425000008</v>
      </c>
      <c r="O15" s="933">
        <f>SUM(P16:P23)</f>
        <v>2843522.8007193781</v>
      </c>
      <c r="P15" s="933"/>
      <c r="S15" s="179">
        <f>111.6225</f>
        <v>111.6225</v>
      </c>
      <c r="T15" s="45">
        <v>0.5</v>
      </c>
      <c r="U15" s="45">
        <v>0.85</v>
      </c>
      <c r="V15" s="572">
        <f t="shared" ref="V15:V31" si="10">IF(AND(T15="",U15=""),0,IF(AND(T15&gt;0,U15&gt;0),T15*U15,IF(T15&gt;0,T15,U15)))</f>
        <v>0.42499999999999999</v>
      </c>
      <c r="W15" s="572">
        <f t="shared" ref="W15:W31" si="11">IF(V15&gt;0,V15*S15,S15)</f>
        <v>47.439562500000001</v>
      </c>
      <c r="X15" s="577">
        <f>W15-C15</f>
        <v>0</v>
      </c>
    </row>
    <row r="16" spans="1:24" x14ac:dyDescent="0.2">
      <c r="A16" s="959"/>
      <c r="B16" s="87" t="s">
        <v>142</v>
      </c>
      <c r="C16" s="88">
        <f>0.85*18.215</f>
        <v>15.482749999999999</v>
      </c>
      <c r="D16" s="89">
        <f t="shared" si="8"/>
        <v>0.9</v>
      </c>
      <c r="E16" s="90">
        <f t="shared" ref="E16:E81" si="12">C16*D16</f>
        <v>13.934474999999999</v>
      </c>
      <c r="F16" s="91">
        <f t="shared" si="9"/>
        <v>4.2563988882371222E-2</v>
      </c>
      <c r="G16" s="92">
        <f t="shared" ref="G16:G31" si="13">$O$15*F16</f>
        <v>121031.67287658868</v>
      </c>
      <c r="H16" s="93">
        <f t="shared" ref="H16:H88" si="14">G16/C16</f>
        <v>7817.1948056119672</v>
      </c>
      <c r="I16" s="92"/>
      <c r="J16" s="230"/>
      <c r="K16" s="228">
        <f>C16*VLOOKUP(B16,$O$124:$R$149,4,FALSE)</f>
        <v>273.27053749999999</v>
      </c>
      <c r="L16" s="931"/>
      <c r="M16" s="932"/>
      <c r="N16" s="932"/>
      <c r="O16" s="147" t="s">
        <v>202</v>
      </c>
      <c r="P16" s="147">
        <f>SUM(North!G60:I60)-North!F9-North!F12</f>
        <v>1012300</v>
      </c>
      <c r="Q16" s="934">
        <f>SUM(P16:P19)</f>
        <v>1214446.7756295153</v>
      </c>
      <c r="S16" s="88">
        <f>18.215</f>
        <v>18.215</v>
      </c>
      <c r="U16" s="45">
        <v>0.85</v>
      </c>
      <c r="V16" s="572">
        <f t="shared" si="10"/>
        <v>0.85</v>
      </c>
      <c r="W16" s="572">
        <f t="shared" si="11"/>
        <v>15.482749999999999</v>
      </c>
      <c r="X16" s="577">
        <f t="shared" ref="X16:X31" si="15">W16-C16</f>
        <v>0</v>
      </c>
    </row>
    <row r="17" spans="1:24" x14ac:dyDescent="0.2">
      <c r="A17" s="959"/>
      <c r="B17" s="87" t="s">
        <v>143</v>
      </c>
      <c r="C17" s="88">
        <f>0.85*17.0225</f>
        <v>14.469125</v>
      </c>
      <c r="D17" s="89">
        <f t="shared" si="8"/>
        <v>0.9</v>
      </c>
      <c r="E17" s="90">
        <f t="shared" si="12"/>
        <v>13.0222125</v>
      </c>
      <c r="F17" s="91">
        <f t="shared" si="9"/>
        <v>3.977740877025332E-2</v>
      </c>
      <c r="G17" s="92">
        <f t="shared" si="13"/>
        <v>113107.96879175027</v>
      </c>
      <c r="H17" s="93">
        <f t="shared" si="14"/>
        <v>7817.1948056119681</v>
      </c>
      <c r="I17" s="92"/>
      <c r="J17" s="230"/>
      <c r="K17" s="228">
        <f>C17*VLOOKUP(B17,$O$124:$R$149,4,FALSE)</f>
        <v>255.38005624999997</v>
      </c>
      <c r="L17" s="931"/>
      <c r="M17" s="932"/>
      <c r="N17" s="932"/>
      <c r="O17" s="147" t="s">
        <v>206</v>
      </c>
      <c r="P17" s="147">
        <f>N15/($N$3+$N$15+$N$34+$N$50+$N$61+$N$75+$N$87)*'Future Improve'!$D$8</f>
        <v>65340.475502374531</v>
      </c>
      <c r="Q17" s="934"/>
      <c r="S17" s="88">
        <f>17.0225</f>
        <v>17.022500000000001</v>
      </c>
      <c r="U17" s="45">
        <v>0.85</v>
      </c>
      <c r="V17" s="572">
        <f t="shared" si="10"/>
        <v>0.85</v>
      </c>
      <c r="W17" s="572">
        <f t="shared" si="11"/>
        <v>14.469125</v>
      </c>
      <c r="X17" s="577">
        <f t="shared" si="15"/>
        <v>0</v>
      </c>
    </row>
    <row r="18" spans="1:24" x14ac:dyDescent="0.2">
      <c r="A18" s="959"/>
      <c r="B18" s="87" t="s">
        <v>135</v>
      </c>
      <c r="C18" s="88">
        <f>0.85*108.8655</f>
        <v>92.535674999999998</v>
      </c>
      <c r="D18" s="89">
        <f t="shared" si="8"/>
        <v>0.3</v>
      </c>
      <c r="E18" s="90">
        <f t="shared" si="12"/>
        <v>27.760702499999997</v>
      </c>
      <c r="F18" s="91">
        <f t="shared" si="9"/>
        <v>8.4797326958985897E-2</v>
      </c>
      <c r="G18" s="92">
        <f t="shared" si="13"/>
        <v>241123.13264793239</v>
      </c>
      <c r="H18" s="92">
        <f t="shared" si="14"/>
        <v>2605.7316018706556</v>
      </c>
      <c r="I18" s="95">
        <f>H18/(VLOOKUP(B18,$O$124:$Q$149,3,FALSE))</f>
        <v>521.14632037413116</v>
      </c>
      <c r="J18" s="228">
        <f>C18*VLOOKUP(B18,$O$124:$R$149,3,FALSE)</f>
        <v>462.67837499999996</v>
      </c>
      <c r="K18" s="228">
        <f>J18*VLOOKUP(B18,$O$124:$R$149,4,FALSE)</f>
        <v>462.67837499999996</v>
      </c>
      <c r="L18" s="931"/>
      <c r="M18" s="932"/>
      <c r="N18" s="932"/>
      <c r="O18" s="147" t="s">
        <v>207</v>
      </c>
      <c r="P18" s="147">
        <f>N15/($N$15+$N$34+$N$50+$N$61+$N$75+$N$87)*'Future Improve'!$D$9</f>
        <v>56806.300127140596</v>
      </c>
      <c r="Q18" s="934"/>
      <c r="S18" s="88">
        <f>108.8655</f>
        <v>108.8655</v>
      </c>
      <c r="U18" s="45">
        <v>0.85</v>
      </c>
      <c r="V18" s="572">
        <f t="shared" si="10"/>
        <v>0.85</v>
      </c>
      <c r="W18" s="572">
        <f t="shared" si="11"/>
        <v>92.535674999999998</v>
      </c>
      <c r="X18" s="577">
        <f t="shared" si="15"/>
        <v>0</v>
      </c>
    </row>
    <row r="19" spans="1:24" x14ac:dyDescent="0.2">
      <c r="A19" s="959"/>
      <c r="B19" s="87" t="s">
        <v>140</v>
      </c>
      <c r="C19" s="88">
        <f>0.85*14.8088</f>
        <v>12.587479999999999</v>
      </c>
      <c r="D19" s="89">
        <f t="shared" si="8"/>
        <v>0.1</v>
      </c>
      <c r="E19" s="90">
        <f t="shared" si="12"/>
        <v>1.258748</v>
      </c>
      <c r="F19" s="91">
        <f t="shared" si="9"/>
        <v>3.844948293904651E-3</v>
      </c>
      <c r="G19" s="92">
        <f t="shared" si="13"/>
        <v>10933.198141304947</v>
      </c>
      <c r="H19" s="93">
        <f t="shared" si="14"/>
        <v>868.5772006235519</v>
      </c>
      <c r="I19" s="92"/>
      <c r="J19" s="230"/>
      <c r="K19" s="228">
        <f>C19*VLOOKUP(B19,$O$124:$R$149,4,FALSE)</f>
        <v>0</v>
      </c>
      <c r="L19" s="931"/>
      <c r="M19" s="932"/>
      <c r="N19" s="932"/>
      <c r="O19" s="147" t="s">
        <v>219</v>
      </c>
      <c r="P19" s="147">
        <f>'Levee &amp; Monitor'!E18</f>
        <v>80000</v>
      </c>
      <c r="Q19" s="934"/>
      <c r="S19" s="88">
        <f>14.8088</f>
        <v>14.8088</v>
      </c>
      <c r="U19" s="45">
        <v>0.85</v>
      </c>
      <c r="V19" s="572">
        <f t="shared" si="10"/>
        <v>0.85</v>
      </c>
      <c r="W19" s="572">
        <f t="shared" si="11"/>
        <v>12.587479999999999</v>
      </c>
      <c r="X19" s="577">
        <f t="shared" si="15"/>
        <v>0</v>
      </c>
    </row>
    <row r="20" spans="1:24" x14ac:dyDescent="0.2">
      <c r="A20" s="959"/>
      <c r="B20" s="87" t="s">
        <v>134</v>
      </c>
      <c r="C20" s="88">
        <f>0.85*5.885</f>
        <v>5.0022500000000001</v>
      </c>
      <c r="D20" s="89">
        <f t="shared" si="8"/>
        <v>0.1</v>
      </c>
      <c r="E20" s="90">
        <f t="shared" si="12"/>
        <v>0.50022500000000003</v>
      </c>
      <c r="F20" s="91">
        <f t="shared" si="9"/>
        <v>1.5279780069707791E-3</v>
      </c>
      <c r="G20" s="92">
        <f t="shared" si="13"/>
        <v>4344.840301819163</v>
      </c>
      <c r="H20" s="93">
        <f t="shared" si="14"/>
        <v>868.57720062355202</v>
      </c>
      <c r="I20" s="92"/>
      <c r="J20" s="230"/>
      <c r="K20" s="228">
        <f>C20*VLOOKUP(B20,$O$124:$R$149,4,FALSE)</f>
        <v>0</v>
      </c>
      <c r="L20" s="931"/>
      <c r="M20" s="932"/>
      <c r="N20" s="932"/>
      <c r="O20" s="165" t="s">
        <v>220</v>
      </c>
      <c r="P20" s="165">
        <f>0.19*Q16</f>
        <v>230744.8873696079</v>
      </c>
      <c r="Q20" s="189"/>
      <c r="S20" s="88">
        <f>5.885</f>
        <v>5.8849999999999998</v>
      </c>
      <c r="U20" s="45">
        <v>0.85</v>
      </c>
      <c r="V20" s="572">
        <f t="shared" si="10"/>
        <v>0.85</v>
      </c>
      <c r="W20" s="572">
        <f t="shared" si="11"/>
        <v>5.0022500000000001</v>
      </c>
      <c r="X20" s="577">
        <f t="shared" si="15"/>
        <v>0</v>
      </c>
    </row>
    <row r="21" spans="1:24" x14ac:dyDescent="0.2">
      <c r="A21" s="959"/>
      <c r="B21" s="87" t="s">
        <v>136</v>
      </c>
      <c r="C21" s="88">
        <f>0.85*112.5219</f>
        <v>95.643614999999997</v>
      </c>
      <c r="D21" s="89">
        <f t="shared" si="8"/>
        <v>0.1</v>
      </c>
      <c r="E21" s="90">
        <f t="shared" si="12"/>
        <v>9.5643615000000004</v>
      </c>
      <c r="F21" s="91">
        <f t="shared" si="9"/>
        <v>2.9215121240877707E-2</v>
      </c>
      <c r="G21" s="92">
        <f t="shared" si="13"/>
        <v>83073.863374216773</v>
      </c>
      <c r="H21" s="93">
        <f t="shared" si="14"/>
        <v>868.57720062355213</v>
      </c>
      <c r="I21" s="92"/>
      <c r="J21" s="230"/>
      <c r="K21" s="228">
        <f>C21*VLOOKUP(B21,$O$124:$R$149,4,FALSE)</f>
        <v>95.643614999999997</v>
      </c>
      <c r="L21" s="931"/>
      <c r="M21" s="932"/>
      <c r="N21" s="932"/>
      <c r="O21" s="165" t="s">
        <v>221</v>
      </c>
      <c r="P21" s="165">
        <f>0.02*Q16*0</f>
        <v>0</v>
      </c>
      <c r="S21" s="88">
        <f>112.5219</f>
        <v>112.5219</v>
      </c>
      <c r="U21" s="45">
        <v>0.85</v>
      </c>
      <c r="V21" s="572">
        <f t="shared" si="10"/>
        <v>0.85</v>
      </c>
      <c r="W21" s="572">
        <f t="shared" si="11"/>
        <v>95.643614999999997</v>
      </c>
      <c r="X21" s="577">
        <f t="shared" si="15"/>
        <v>0</v>
      </c>
    </row>
    <row r="22" spans="1:24" x14ac:dyDescent="0.2">
      <c r="A22" s="959"/>
      <c r="B22" s="280" t="s">
        <v>147</v>
      </c>
      <c r="C22" s="180">
        <f>0.5*0.85*340.8542</f>
        <v>144.863035</v>
      </c>
      <c r="D22" s="102">
        <f t="shared" si="8"/>
        <v>0.3</v>
      </c>
      <c r="E22" s="103">
        <f>C22*D22</f>
        <v>43.458910499999995</v>
      </c>
      <c r="F22" s="104">
        <f t="shared" si="9"/>
        <v>0.13274878194994544</v>
      </c>
      <c r="G22" s="94">
        <f t="shared" si="13"/>
        <v>377474.18824239488</v>
      </c>
      <c r="H22" s="94">
        <f>G22/C22</f>
        <v>2605.731601870656</v>
      </c>
      <c r="I22" s="95">
        <f>H22/(VLOOKUP(B22,$O$124:$Q$149,3,FALSE))</f>
        <v>521.14632037413116</v>
      </c>
      <c r="J22" s="228">
        <f>C22*VLOOKUP(B22,$O$124:$R$149,3,FALSE)</f>
        <v>724.31517499999995</v>
      </c>
      <c r="K22" s="228">
        <f>J22*VLOOKUP(B22,$O$124:$R$149,4,FALSE)</f>
        <v>724.31517499999995</v>
      </c>
      <c r="L22" s="931"/>
      <c r="M22" s="932"/>
      <c r="N22" s="932"/>
      <c r="O22" s="165" t="s">
        <v>222</v>
      </c>
      <c r="P22" s="165">
        <v>500000</v>
      </c>
      <c r="S22" s="180">
        <f>340.8542</f>
        <v>340.85419999999999</v>
      </c>
      <c r="T22" s="45">
        <v>0.5</v>
      </c>
      <c r="U22" s="45">
        <v>0.85</v>
      </c>
      <c r="V22" s="572">
        <f t="shared" si="10"/>
        <v>0.42499999999999999</v>
      </c>
      <c r="W22" s="572">
        <f t="shared" si="11"/>
        <v>144.863035</v>
      </c>
      <c r="X22" s="577">
        <f t="shared" si="15"/>
        <v>0</v>
      </c>
    </row>
    <row r="23" spans="1:24" x14ac:dyDescent="0.2">
      <c r="A23" s="959"/>
      <c r="B23" s="280" t="s">
        <v>230</v>
      </c>
      <c r="C23" s="180">
        <f>0.5*0.85*255.3398</f>
        <v>108.519415</v>
      </c>
      <c r="D23" s="102">
        <f t="shared" si="8"/>
        <v>0.3</v>
      </c>
      <c r="E23" s="103">
        <f t="shared" si="12"/>
        <v>32.5558245</v>
      </c>
      <c r="F23" s="104">
        <f t="shared" si="9"/>
        <v>9.9444417681644179E-2</v>
      </c>
      <c r="G23" s="94">
        <f t="shared" si="13"/>
        <v>282772.4690820165</v>
      </c>
      <c r="H23" s="94">
        <f t="shared" si="14"/>
        <v>2605.731601870656</v>
      </c>
      <c r="I23" s="95">
        <f>H23/(VLOOKUP(B23,$O$124:$Q$149,3,FALSE))</f>
        <v>521.14632037413116</v>
      </c>
      <c r="J23" s="228">
        <f>C23*VLOOKUP(B23,$O$124:$R$149,3,FALSE)</f>
        <v>542.59707500000002</v>
      </c>
      <c r="K23" s="228">
        <f>J23*VLOOKUP(B23,$O$124:$R$149,4,FALSE)</f>
        <v>542.59707500000002</v>
      </c>
      <c r="L23" s="931"/>
      <c r="M23" s="932"/>
      <c r="N23" s="932"/>
      <c r="O23" s="526" t="s">
        <v>232</v>
      </c>
      <c r="P23" s="526">
        <f>0.518*1.2*(Q16+P20)</f>
        <v>898331.13772025495</v>
      </c>
      <c r="S23" s="180">
        <f>255.3398</f>
        <v>255.3398</v>
      </c>
      <c r="T23" s="45">
        <v>0.5</v>
      </c>
      <c r="U23" s="45">
        <v>0.85</v>
      </c>
      <c r="V23" s="572">
        <f t="shared" si="10"/>
        <v>0.42499999999999999</v>
      </c>
      <c r="W23" s="572">
        <f t="shared" si="11"/>
        <v>108.519415</v>
      </c>
      <c r="X23" s="577">
        <f t="shared" si="15"/>
        <v>0</v>
      </c>
    </row>
    <row r="24" spans="1:24" x14ac:dyDescent="0.2">
      <c r="A24" s="959"/>
      <c r="B24" s="279" t="s">
        <v>150</v>
      </c>
      <c r="C24" s="179">
        <f>0.5*0.85*43.0576</f>
        <v>18.299479999999999</v>
      </c>
      <c r="D24" s="89">
        <f t="shared" si="8"/>
        <v>0.9</v>
      </c>
      <c r="E24" s="90">
        <f t="shared" si="12"/>
        <v>16.469532000000001</v>
      </c>
      <c r="F24" s="91">
        <f t="shared" si="9"/>
        <v>5.030752697506416E-2</v>
      </c>
      <c r="G24" s="92">
        <f t="shared" si="13"/>
        <v>143050.6000014001</v>
      </c>
      <c r="H24" s="93">
        <f t="shared" si="14"/>
        <v>7817.1948056119691</v>
      </c>
      <c r="I24" s="92"/>
      <c r="J24" s="230"/>
      <c r="K24" s="228">
        <f>C24*VLOOKUP(B24,$O$124:$R$149,4,FALSE)</f>
        <v>322.98582199999998</v>
      </c>
      <c r="L24" s="931"/>
      <c r="M24" s="932"/>
      <c r="N24" s="932"/>
      <c r="O24" s="935"/>
      <c r="P24" s="935"/>
      <c r="S24" s="179">
        <f>43.0576</f>
        <v>43.057600000000001</v>
      </c>
      <c r="T24" s="45">
        <v>0.5</v>
      </c>
      <c r="U24" s="45">
        <v>0.85</v>
      </c>
      <c r="V24" s="572">
        <f t="shared" si="10"/>
        <v>0.42499999999999999</v>
      </c>
      <c r="W24" s="572">
        <f t="shared" si="11"/>
        <v>18.299479999999999</v>
      </c>
      <c r="X24" s="577">
        <f t="shared" si="15"/>
        <v>0</v>
      </c>
    </row>
    <row r="25" spans="1:24" x14ac:dyDescent="0.2">
      <c r="A25" s="959"/>
      <c r="B25" s="279" t="s">
        <v>151</v>
      </c>
      <c r="C25" s="179">
        <f>0.5*0.85*40.4346</f>
        <v>17.184705000000001</v>
      </c>
      <c r="D25" s="89">
        <f t="shared" si="8"/>
        <v>0.9</v>
      </c>
      <c r="E25" s="90">
        <f t="shared" si="12"/>
        <v>15.466234500000001</v>
      </c>
      <c r="F25" s="91">
        <f t="shared" si="9"/>
        <v>4.7242873040437207E-2</v>
      </c>
      <c r="G25" s="92">
        <f t="shared" si="13"/>
        <v>134336.186661974</v>
      </c>
      <c r="H25" s="93">
        <f t="shared" si="14"/>
        <v>7817.1948056119672</v>
      </c>
      <c r="I25" s="92"/>
      <c r="J25" s="230"/>
      <c r="K25" s="228">
        <f>C25*VLOOKUP(B25,$O$124:$R$149,4,FALSE)</f>
        <v>303.31004324999998</v>
      </c>
      <c r="L25" s="931"/>
      <c r="M25" s="932"/>
      <c r="N25" s="932"/>
      <c r="O25" s="935"/>
      <c r="P25" s="935"/>
      <c r="S25" s="179">
        <f>40.4346</f>
        <v>40.434600000000003</v>
      </c>
      <c r="T25" s="45">
        <v>0.5</v>
      </c>
      <c r="U25" s="45">
        <v>0.85</v>
      </c>
      <c r="V25" s="572">
        <f t="shared" si="10"/>
        <v>0.42499999999999999</v>
      </c>
      <c r="W25" s="572">
        <f t="shared" si="11"/>
        <v>17.184705000000001</v>
      </c>
      <c r="X25" s="577">
        <f t="shared" si="15"/>
        <v>0</v>
      </c>
    </row>
    <row r="26" spans="1:24" x14ac:dyDescent="0.2">
      <c r="A26" s="959"/>
      <c r="B26" s="279" t="s">
        <v>153</v>
      </c>
      <c r="C26" s="179">
        <f>0.5*0.85*675.6646</f>
        <v>287.15745499999997</v>
      </c>
      <c r="D26" s="89">
        <f t="shared" si="8"/>
        <v>0.3</v>
      </c>
      <c r="E26" s="90">
        <f t="shared" si="12"/>
        <v>86.147236499999991</v>
      </c>
      <c r="F26" s="91">
        <f t="shared" si="9"/>
        <v>0.26314375077877022</v>
      </c>
      <c r="G26" s="92">
        <f t="shared" si="13"/>
        <v>748255.2552062507</v>
      </c>
      <c r="H26" s="92">
        <f t="shared" si="14"/>
        <v>2605.731601870656</v>
      </c>
      <c r="I26" s="95">
        <f>H26/(VLOOKUP(B26,$O$124:$Q$149,3,FALSE))</f>
        <v>521.14632037413116</v>
      </c>
      <c r="J26" s="228">
        <f>C26*VLOOKUP(B26,$O$124:$R$149,3,FALSE)</f>
        <v>1435.7872749999999</v>
      </c>
      <c r="K26" s="228">
        <f>J26*VLOOKUP(B26,$O$124:$R$149,4,FALSE)</f>
        <v>1435.7872749999999</v>
      </c>
      <c r="L26" s="931"/>
      <c r="M26" s="932"/>
      <c r="N26" s="932"/>
      <c r="O26" s="935"/>
      <c r="P26" s="935"/>
      <c r="S26" s="179">
        <f>675.6646</f>
        <v>675.66459999999995</v>
      </c>
      <c r="T26" s="45">
        <v>0.5</v>
      </c>
      <c r="U26" s="45">
        <v>0.85</v>
      </c>
      <c r="V26" s="572">
        <f t="shared" si="10"/>
        <v>0.42499999999999999</v>
      </c>
      <c r="W26" s="572">
        <f t="shared" si="11"/>
        <v>287.15745499999997</v>
      </c>
      <c r="X26" s="577">
        <f t="shared" si="15"/>
        <v>0</v>
      </c>
    </row>
    <row r="27" spans="1:24" x14ac:dyDescent="0.2">
      <c r="A27" s="959"/>
      <c r="B27" s="279" t="s">
        <v>154</v>
      </c>
      <c r="C27" s="179">
        <f>0.5*0.85*19.7361</f>
        <v>8.3878424999999996</v>
      </c>
      <c r="D27" s="89">
        <f t="shared" si="8"/>
        <v>0.5</v>
      </c>
      <c r="E27" s="90">
        <f t="shared" si="12"/>
        <v>4.1939212499999998</v>
      </c>
      <c r="F27" s="91">
        <f t="shared" si="9"/>
        <v>1.2810674062606622E-2</v>
      </c>
      <c r="G27" s="92">
        <f t="shared" si="13"/>
        <v>36427.443789606274</v>
      </c>
      <c r="H27" s="92">
        <f t="shared" si="14"/>
        <v>4342.8860031177592</v>
      </c>
      <c r="I27" s="95">
        <f>H27/(VLOOKUP(B27,$O$124:$Q$149,3,FALSE))</f>
        <v>434.28860031177589</v>
      </c>
      <c r="J27" s="228">
        <f>C27*VLOOKUP(B27,$O$124:$R$149,3,FALSE)</f>
        <v>83.878424999999993</v>
      </c>
      <c r="K27" s="228">
        <f>J27*VLOOKUP(B27,$O$124:$R$149,4,FALSE)</f>
        <v>78.006935249999998</v>
      </c>
      <c r="L27" s="931"/>
      <c r="M27" s="932"/>
      <c r="N27" s="932"/>
      <c r="O27" s="935"/>
      <c r="P27" s="935"/>
      <c r="S27" s="179">
        <f>19.7361</f>
        <v>19.7361</v>
      </c>
      <c r="T27" s="45">
        <v>0.5</v>
      </c>
      <c r="U27" s="45">
        <v>0.85</v>
      </c>
      <c r="V27" s="572">
        <f t="shared" si="10"/>
        <v>0.42499999999999999</v>
      </c>
      <c r="W27" s="572">
        <f t="shared" si="11"/>
        <v>8.3878424999999996</v>
      </c>
      <c r="X27" s="577">
        <f t="shared" si="15"/>
        <v>0</v>
      </c>
    </row>
    <row r="28" spans="1:24" x14ac:dyDescent="0.2">
      <c r="A28" s="959"/>
      <c r="B28" s="279" t="s">
        <v>155</v>
      </c>
      <c r="C28" s="179">
        <f>0.5*0.85*33.5416</f>
        <v>14.255180000000001</v>
      </c>
      <c r="D28" s="89">
        <f t="shared" si="8"/>
        <v>0.1</v>
      </c>
      <c r="E28" s="90">
        <f t="shared" si="12"/>
        <v>1.4255180000000003</v>
      </c>
      <c r="F28" s="91">
        <f t="shared" si="9"/>
        <v>4.3543608427027269E-3</v>
      </c>
      <c r="G28" s="92">
        <f>$O$15*F28</f>
        <v>12381.724338784848</v>
      </c>
      <c r="H28" s="93">
        <f t="shared" si="14"/>
        <v>868.57720062355213</v>
      </c>
      <c r="I28" s="92"/>
      <c r="J28" s="230"/>
      <c r="K28" s="228">
        <f>C28*VLOOKUP(B28,$O$124:$R$149,4,FALSE)</f>
        <v>0</v>
      </c>
      <c r="L28" s="931"/>
      <c r="M28" s="932"/>
      <c r="N28" s="932"/>
      <c r="O28" s="935"/>
      <c r="P28" s="935"/>
      <c r="S28" s="179">
        <f>33.5416</f>
        <v>33.541600000000003</v>
      </c>
      <c r="T28" s="45">
        <v>0.5</v>
      </c>
      <c r="U28" s="45">
        <v>0.85</v>
      </c>
      <c r="V28" s="572">
        <f t="shared" si="10"/>
        <v>0.42499999999999999</v>
      </c>
      <c r="W28" s="572">
        <f t="shared" si="11"/>
        <v>14.255180000000001</v>
      </c>
      <c r="X28" s="577">
        <f t="shared" si="15"/>
        <v>0</v>
      </c>
    </row>
    <row r="29" spans="1:24" x14ac:dyDescent="0.2">
      <c r="A29" s="959"/>
      <c r="B29" s="279" t="s">
        <v>156</v>
      </c>
      <c r="C29" s="179">
        <f>0.5*0.85*11.6528</f>
        <v>4.9524399999999993</v>
      </c>
      <c r="D29" s="89">
        <f t="shared" si="8"/>
        <v>0.1</v>
      </c>
      <c r="E29" s="90">
        <f t="shared" si="12"/>
        <v>0.49524399999999996</v>
      </c>
      <c r="F29" s="91">
        <f t="shared" si="9"/>
        <v>1.5127631367569323E-3</v>
      </c>
      <c r="G29" s="92">
        <f t="shared" si="13"/>
        <v>4301.5764714561037</v>
      </c>
      <c r="H29" s="93">
        <f t="shared" si="14"/>
        <v>868.57720062355213</v>
      </c>
      <c r="I29" s="92"/>
      <c r="J29" s="230"/>
      <c r="K29" s="228">
        <f>C29*VLOOKUP(B29,$O$124:$R$149,4,FALSE)</f>
        <v>4.9524399999999993</v>
      </c>
      <c r="L29" s="931"/>
      <c r="M29" s="932"/>
      <c r="N29" s="932"/>
      <c r="O29" s="935"/>
      <c r="P29" s="935"/>
      <c r="S29" s="179">
        <f>11.6528</f>
        <v>11.652799999999999</v>
      </c>
      <c r="T29" s="45">
        <v>0.5</v>
      </c>
      <c r="U29" s="45">
        <v>0.85</v>
      </c>
      <c r="V29" s="572">
        <f t="shared" si="10"/>
        <v>0.42499999999999999</v>
      </c>
      <c r="W29" s="572">
        <f t="shared" si="11"/>
        <v>4.9524399999999993</v>
      </c>
      <c r="X29" s="577">
        <f t="shared" si="15"/>
        <v>0</v>
      </c>
    </row>
    <row r="30" spans="1:24" x14ac:dyDescent="0.2">
      <c r="A30" s="959"/>
      <c r="B30" s="279" t="s">
        <v>152</v>
      </c>
      <c r="C30" s="179">
        <f>0.5*0.85*352.5919</f>
        <v>149.85155750000001</v>
      </c>
      <c r="D30" s="89">
        <f t="shared" si="8"/>
        <v>0.3</v>
      </c>
      <c r="E30" s="90">
        <f t="shared" si="12"/>
        <v>44.955467250000005</v>
      </c>
      <c r="F30" s="91">
        <f t="shared" si="9"/>
        <v>0.13732013644079191</v>
      </c>
      <c r="G30" s="92">
        <f t="shared" si="13"/>
        <v>390472.93896728777</v>
      </c>
      <c r="H30" s="92">
        <f t="shared" si="14"/>
        <v>2605.731601870656</v>
      </c>
      <c r="I30" s="95">
        <f>H30/(VLOOKUP(B30,$O$124:$Q$149,3,FALSE))</f>
        <v>1302.865800935328</v>
      </c>
      <c r="J30" s="228">
        <f>C30*VLOOKUP(B30,$O$124:$R$149,3,FALSE)</f>
        <v>299.70311500000003</v>
      </c>
      <c r="K30" s="228">
        <f>J30*VLOOKUP(B30,$O$124:$R$149,4,FALSE)</f>
        <v>749.25778750000006</v>
      </c>
      <c r="L30" s="931"/>
      <c r="M30" s="932"/>
      <c r="N30" s="932"/>
      <c r="O30" s="935"/>
      <c r="P30" s="935"/>
      <c r="S30" s="179">
        <f>352.5919</f>
        <v>352.59190000000001</v>
      </c>
      <c r="T30" s="45">
        <v>0.5</v>
      </c>
      <c r="U30" s="45">
        <v>0.85</v>
      </c>
      <c r="V30" s="572">
        <f t="shared" si="10"/>
        <v>0.42499999999999999</v>
      </c>
      <c r="W30" s="572">
        <f t="shared" si="11"/>
        <v>149.85155750000001</v>
      </c>
      <c r="X30" s="577">
        <f t="shared" si="15"/>
        <v>0</v>
      </c>
    </row>
    <row r="31" spans="1:24" x14ac:dyDescent="0.2">
      <c r="A31" s="959"/>
      <c r="B31" s="520" t="s">
        <v>133</v>
      </c>
      <c r="C31" s="521">
        <f>0.25*25.8215</f>
        <v>6.4553750000000001</v>
      </c>
      <c r="D31" s="89">
        <f t="shared" si="8"/>
        <v>0.3</v>
      </c>
      <c r="E31" s="90">
        <f t="shared" si="12"/>
        <v>1.9366124999999998</v>
      </c>
      <c r="F31" s="91">
        <f t="shared" si="9"/>
        <v>5.9155406227691491E-3</v>
      </c>
      <c r="G31" s="92">
        <f t="shared" si="13"/>
        <v>16820.974639425785</v>
      </c>
      <c r="H31" s="92">
        <f t="shared" si="14"/>
        <v>2605.731601870656</v>
      </c>
      <c r="I31" s="95">
        <f>H31/(VLOOKUP(B31,$O$124:$Q$149,3,FALSE))</f>
        <v>1302.865800935328</v>
      </c>
      <c r="J31" s="228">
        <f>C31*VLOOKUP(B31,$O$124:$R$149,3,FALSE)</f>
        <v>12.91075</v>
      </c>
      <c r="K31" s="228">
        <f>J31*VLOOKUP(B31,$O$124:$R$149,4,FALSE)</f>
        <v>32.276875000000004</v>
      </c>
      <c r="L31" s="931"/>
      <c r="M31" s="932"/>
      <c r="N31" s="932"/>
      <c r="O31" s="935"/>
      <c r="P31" s="935"/>
      <c r="S31" s="521">
        <f>25.8215</f>
        <v>25.8215</v>
      </c>
      <c r="T31" s="269">
        <v>0.25</v>
      </c>
      <c r="U31" s="269"/>
      <c r="V31" s="575">
        <f t="shared" si="10"/>
        <v>0.25</v>
      </c>
      <c r="W31" s="575">
        <f t="shared" si="11"/>
        <v>6.4553750000000001</v>
      </c>
      <c r="X31" s="577">
        <f t="shared" si="15"/>
        <v>0</v>
      </c>
    </row>
    <row r="32" spans="1:24" x14ac:dyDescent="0.2">
      <c r="A32" s="105"/>
      <c r="B32" s="97"/>
      <c r="C32" s="97"/>
      <c r="F32" s="158">
        <f>SUM(F15:F31)</f>
        <v>0.99999999999999956</v>
      </c>
      <c r="G32" s="160">
        <f>SUM(G15:G31)</f>
        <v>2843522.8007193776</v>
      </c>
      <c r="H32" s="106"/>
      <c r="I32" s="106"/>
      <c r="K32" s="235">
        <f>SUM(K15:K31)</f>
        <v>5517.6598242499995</v>
      </c>
      <c r="S32" s="576">
        <f>SUM(S15:S31)</f>
        <v>2187.6359000000002</v>
      </c>
      <c r="T32" s="572"/>
      <c r="U32" s="572"/>
      <c r="V32" s="572"/>
      <c r="W32" s="576">
        <f>SUM(W15:W31)</f>
        <v>1043.0869425000001</v>
      </c>
    </row>
    <row r="33" spans="1:24" x14ac:dyDescent="0.2">
      <c r="A33" s="105"/>
      <c r="B33" s="97"/>
      <c r="C33" s="97"/>
      <c r="F33" s="158"/>
      <c r="G33" s="160"/>
      <c r="H33" s="106"/>
      <c r="I33" s="106"/>
      <c r="K33" s="259"/>
    </row>
    <row r="34" spans="1:24" x14ac:dyDescent="0.2">
      <c r="A34" s="944" t="s">
        <v>158</v>
      </c>
      <c r="B34" s="107" t="s">
        <v>142</v>
      </c>
      <c r="C34" s="88">
        <f>0.85*53.0504</f>
        <v>45.092840000000002</v>
      </c>
      <c r="D34" s="89">
        <f t="shared" ref="D34:D47" si="16">VLOOKUP(B34,$O$124:$P$149,2,FALSE)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213036.88016847934</v>
      </c>
      <c r="H34" s="93">
        <f t="shared" ref="H34:H42" si="17">G34/C34</f>
        <v>4724.4059182894516</v>
      </c>
      <c r="I34" s="92"/>
      <c r="J34" s="230"/>
      <c r="K34" s="228">
        <f>C34*VLOOKUP(B34,$O$124:$R$149,4,FALSE)</f>
        <v>795.88862599999993</v>
      </c>
      <c r="L34" s="947">
        <f>SUM(C34:C47)</f>
        <v>774.67951749999997</v>
      </c>
      <c r="M34" s="950">
        <f>SUM(E34:E47)/L34</f>
        <v>0.42847904262552028</v>
      </c>
      <c r="N34" s="950">
        <f>L34*M34</f>
        <v>331.93393799999996</v>
      </c>
      <c r="O34" s="933">
        <f>SUM(P35:P43)</f>
        <v>1742434.0679648044</v>
      </c>
      <c r="P34" s="933"/>
      <c r="S34" s="88">
        <f>53.0504</f>
        <v>53.050400000000003</v>
      </c>
      <c r="U34" s="45">
        <v>0.85</v>
      </c>
      <c r="V34" s="572">
        <f t="shared" ref="V34:V47" si="18">IF(AND(T34="",U34=""),0,IF(AND(T34&gt;0,U34&gt;0),T34*U34,IF(T34&gt;0,T34,U34)))</f>
        <v>0.85</v>
      </c>
      <c r="W34" s="572">
        <f t="shared" ref="W34:W47" si="19">IF(V34&gt;0,V34*S34,S34)</f>
        <v>45.092840000000002</v>
      </c>
      <c r="X34" s="577">
        <f t="shared" ref="X34:X47" si="20">W34-C34</f>
        <v>0</v>
      </c>
    </row>
    <row r="35" spans="1:24" x14ac:dyDescent="0.2">
      <c r="A35" s="945"/>
      <c r="B35" s="107" t="s">
        <v>143</v>
      </c>
      <c r="C35" s="88">
        <f>0.85*23.0594</f>
        <v>19.600490000000001</v>
      </c>
      <c r="D35" s="89">
        <f t="shared" si="16"/>
        <v>0.9</v>
      </c>
      <c r="E35" s="90">
        <f t="shared" ref="E35:E42" si="21">C35*D35</f>
        <v>17.640441000000003</v>
      </c>
      <c r="F35" s="91">
        <f t="shared" ref="F35:F47" si="22">E35/($L$34*$M$34)</f>
        <v>5.3144433215503273E-2</v>
      </c>
      <c r="G35" s="108">
        <f t="shared" ref="G35:G47" si="23">$O$34*F35</f>
        <v>92600.670957373237</v>
      </c>
      <c r="H35" s="93">
        <f t="shared" si="17"/>
        <v>4724.4059182894525</v>
      </c>
      <c r="I35" s="92"/>
      <c r="J35" s="230"/>
      <c r="K35" s="228">
        <f>C35*VLOOKUP(B35,$O$124:$R$149,4,FALSE)</f>
        <v>345.94864849999999</v>
      </c>
      <c r="L35" s="948"/>
      <c r="M35" s="951"/>
      <c r="N35" s="951"/>
      <c r="O35" s="147" t="s">
        <v>202</v>
      </c>
      <c r="P35" s="147">
        <v>0</v>
      </c>
      <c r="Q35" s="919">
        <f>SUM(P35:P39)</f>
        <v>643846.96718502126</v>
      </c>
      <c r="S35" s="88">
        <f>23.0594</f>
        <v>23.0594</v>
      </c>
      <c r="U35" s="45">
        <v>0.85</v>
      </c>
      <c r="V35" s="572">
        <f t="shared" si="18"/>
        <v>0.85</v>
      </c>
      <c r="W35" s="572">
        <f t="shared" si="19"/>
        <v>19.600490000000001</v>
      </c>
      <c r="X35" s="577">
        <f t="shared" si="20"/>
        <v>0</v>
      </c>
    </row>
    <row r="36" spans="1:24" x14ac:dyDescent="0.2">
      <c r="A36" s="945"/>
      <c r="B36" s="107" t="s">
        <v>139</v>
      </c>
      <c r="C36" s="88">
        <f>0.85*39.8271</f>
        <v>33.853034999999998</v>
      </c>
      <c r="D36" s="89">
        <f t="shared" si="16"/>
        <v>0.65</v>
      </c>
      <c r="E36" s="90">
        <f t="shared" si="21"/>
        <v>22.004472750000001</v>
      </c>
      <c r="F36" s="91">
        <f t="shared" si="22"/>
        <v>6.6291723234398539E-2</v>
      </c>
      <c r="G36" s="108">
        <f t="shared" si="23"/>
        <v>115508.95698770999</v>
      </c>
      <c r="H36" s="92">
        <f t="shared" si="17"/>
        <v>3412.0709409868273</v>
      </c>
      <c r="I36" s="95">
        <f>H36/(VLOOKUP(B36,$O$124:$Q$149,3,FALSE))</f>
        <v>200.71005535216631</v>
      </c>
      <c r="J36" s="228">
        <f>C36*VLOOKUP(B36,$O$124:$R$149,3,FALSE)</f>
        <v>575.50159499999995</v>
      </c>
      <c r="K36" s="228">
        <f>J36*VLOOKUP(B36,$O$124:$R$149,4,FALSE)</f>
        <v>368.32102079999999</v>
      </c>
      <c r="L36" s="948"/>
      <c r="M36" s="951"/>
      <c r="N36" s="951"/>
      <c r="O36" s="147" t="s">
        <v>206</v>
      </c>
      <c r="P36" s="245">
        <f>N34/($N$3+$N$15+$N$34+$N$50+$N$61+$N$75+$N$87)*'Future Improve'!$D$8</f>
        <v>66249.965942129129</v>
      </c>
      <c r="Q36" s="920"/>
      <c r="S36" s="88">
        <f>39.8271</f>
        <v>39.827100000000002</v>
      </c>
      <c r="U36" s="45">
        <v>0.85</v>
      </c>
      <c r="V36" s="572">
        <f t="shared" si="18"/>
        <v>0.85</v>
      </c>
      <c r="W36" s="572">
        <f t="shared" si="19"/>
        <v>33.853034999999998</v>
      </c>
      <c r="X36" s="577">
        <f t="shared" si="20"/>
        <v>0</v>
      </c>
    </row>
    <row r="37" spans="1:24" x14ac:dyDescent="0.2">
      <c r="A37" s="945"/>
      <c r="B37" s="107" t="s">
        <v>135</v>
      </c>
      <c r="C37" s="88">
        <f>0.85*426.0049</f>
        <v>362.10416500000002</v>
      </c>
      <c r="D37" s="89">
        <f t="shared" si="16"/>
        <v>0.3</v>
      </c>
      <c r="E37" s="90">
        <f t="shared" si="21"/>
        <v>108.63124950000001</v>
      </c>
      <c r="F37" s="91">
        <f t="shared" si="22"/>
        <v>0.32726767908860233</v>
      </c>
      <c r="G37" s="108">
        <f t="shared" si="23"/>
        <v>570242.35338775348</v>
      </c>
      <c r="H37" s="92">
        <f t="shared" si="17"/>
        <v>1574.8019727631508</v>
      </c>
      <c r="I37" s="95">
        <f>H37/(VLOOKUP(B37,$O$124:$Q$149,3,FALSE))</f>
        <v>314.96039455263019</v>
      </c>
      <c r="J37" s="228">
        <f>C37*VLOOKUP(B37,$O$124:$R$149,3,FALSE)</f>
        <v>1810.5208250000001</v>
      </c>
      <c r="K37" s="228">
        <f>J37*VLOOKUP(B37,$O$124:$R$149,4,FALSE)</f>
        <v>1810.5208250000001</v>
      </c>
      <c r="L37" s="948"/>
      <c r="M37" s="951"/>
      <c r="N37" s="951"/>
      <c r="O37" s="147" t="s">
        <v>207</v>
      </c>
      <c r="P37" s="147">
        <f>N34/($N$15+$N$34+$N$50+$N$61+$N$75+$N$87)*'Future Improve'!$D$9</f>
        <v>57597.001242892155</v>
      </c>
      <c r="Q37" s="920"/>
      <c r="S37" s="88">
        <f>426.0049</f>
        <v>426.00490000000002</v>
      </c>
      <c r="U37" s="45">
        <v>0.85</v>
      </c>
      <c r="V37" s="572">
        <f t="shared" si="18"/>
        <v>0.85</v>
      </c>
      <c r="W37" s="572">
        <f t="shared" si="19"/>
        <v>362.10416500000002</v>
      </c>
      <c r="X37" s="577">
        <f t="shared" si="20"/>
        <v>0</v>
      </c>
    </row>
    <row r="38" spans="1:24" x14ac:dyDescent="0.2">
      <c r="A38" s="945"/>
      <c r="B38" s="107" t="s">
        <v>148</v>
      </c>
      <c r="C38" s="88">
        <f>0.85*137.9281</f>
        <v>117.238885</v>
      </c>
      <c r="D38" s="89">
        <f t="shared" si="16"/>
        <v>0.7</v>
      </c>
      <c r="E38" s="90">
        <f t="shared" si="21"/>
        <v>82.067219499999993</v>
      </c>
      <c r="F38" s="91">
        <f t="shared" si="22"/>
        <v>0.2472396163961999</v>
      </c>
      <c r="G38" s="108">
        <f t="shared" si="23"/>
        <v>430798.73055928835</v>
      </c>
      <c r="H38" s="93">
        <f t="shared" si="17"/>
        <v>3674.5379364473515</v>
      </c>
      <c r="I38" s="92"/>
      <c r="J38" s="230"/>
      <c r="K38" s="228">
        <f>C38*VLOOKUP(B38,$O$124:$R$149,4,FALSE)</f>
        <v>1609.6898910499999</v>
      </c>
      <c r="L38" s="948"/>
      <c r="M38" s="951"/>
      <c r="N38" s="951"/>
      <c r="O38" s="248" t="s">
        <v>211</v>
      </c>
      <c r="P38" s="248">
        <f>'Future Improve'!D13</f>
        <v>400000</v>
      </c>
      <c r="Q38" s="920"/>
      <c r="S38" s="88">
        <f>137.9281</f>
        <v>137.9281</v>
      </c>
      <c r="U38" s="45">
        <v>0.85</v>
      </c>
      <c r="V38" s="572">
        <f t="shared" si="18"/>
        <v>0.85</v>
      </c>
      <c r="W38" s="572">
        <f t="shared" si="19"/>
        <v>117.238885</v>
      </c>
      <c r="X38" s="577">
        <f t="shared" si="20"/>
        <v>0</v>
      </c>
    </row>
    <row r="39" spans="1:24" x14ac:dyDescent="0.2">
      <c r="A39" s="945"/>
      <c r="B39" s="107" t="s">
        <v>137</v>
      </c>
      <c r="C39" s="88">
        <f>0.85*8.2923</f>
        <v>7.0484549999999988</v>
      </c>
      <c r="D39" s="89">
        <f t="shared" si="16"/>
        <v>0.5</v>
      </c>
      <c r="E39" s="90">
        <f t="shared" si="21"/>
        <v>3.5242274999999994</v>
      </c>
      <c r="F39" s="91">
        <f t="shared" si="22"/>
        <v>1.0617255714298186E-2</v>
      </c>
      <c r="G39" s="108">
        <f t="shared" si="23"/>
        <v>18499.868064887152</v>
      </c>
      <c r="H39" s="92">
        <f t="shared" si="17"/>
        <v>2624.669954605251</v>
      </c>
      <c r="I39" s="95">
        <f>H39/(VLOOKUP(B39,$O$124:$Q$149,3,FALSE))</f>
        <v>262.46699546052508</v>
      </c>
      <c r="J39" s="228">
        <f>C39*VLOOKUP(B39,$O$124:$R$149,3,FALSE)</f>
        <v>70.484549999999984</v>
      </c>
      <c r="K39" s="228">
        <f>J39*VLOOKUP(B39,$O$124:$R$149,4,FALSE)</f>
        <v>65.550631499999994</v>
      </c>
      <c r="L39" s="948"/>
      <c r="M39" s="951"/>
      <c r="N39" s="951"/>
      <c r="O39" s="147" t="s">
        <v>219</v>
      </c>
      <c r="P39" s="147">
        <f>'Levee &amp; Monitor'!E19+'Levee &amp; Monitor'!E20</f>
        <v>120000</v>
      </c>
      <c r="Q39" s="921"/>
      <c r="S39" s="88">
        <f>8.2923</f>
        <v>8.2922999999999991</v>
      </c>
      <c r="U39" s="45">
        <v>0.85</v>
      </c>
      <c r="V39" s="572">
        <f t="shared" si="18"/>
        <v>0.85</v>
      </c>
      <c r="W39" s="572">
        <f t="shared" si="19"/>
        <v>7.0484549999999988</v>
      </c>
      <c r="X39" s="577">
        <f t="shared" si="20"/>
        <v>0</v>
      </c>
    </row>
    <row r="40" spans="1:24" x14ac:dyDescent="0.2">
      <c r="A40" s="945"/>
      <c r="B40" s="107" t="s">
        <v>145</v>
      </c>
      <c r="C40" s="88">
        <f>0.85*10.9038</f>
        <v>9.2682300000000009</v>
      </c>
      <c r="D40" s="89">
        <f t="shared" si="16"/>
        <v>0.9</v>
      </c>
      <c r="E40" s="90">
        <f t="shared" si="21"/>
        <v>8.3414070000000002</v>
      </c>
      <c r="F40" s="91">
        <f t="shared" si="22"/>
        <v>2.5129720239694207E-2</v>
      </c>
      <c r="G40" s="108">
        <f t="shared" si="23"/>
        <v>43786.880664067852</v>
      </c>
      <c r="H40" s="93">
        <f t="shared" si="17"/>
        <v>4724.4059182894516</v>
      </c>
      <c r="I40" s="92"/>
      <c r="J40" s="230"/>
      <c r="K40" s="228">
        <f>C40*VLOOKUP(B40,$O$124:$R$149,4,FALSE)</f>
        <v>163.5842595</v>
      </c>
      <c r="L40" s="948"/>
      <c r="M40" s="951"/>
      <c r="N40" s="951"/>
      <c r="O40" s="165" t="s">
        <v>220</v>
      </c>
      <c r="P40" s="165">
        <f>0.19*Q35</f>
        <v>122330.92376515405</v>
      </c>
      <c r="S40" s="88">
        <f>10.9038</f>
        <v>10.9038</v>
      </c>
      <c r="U40" s="45">
        <v>0.85</v>
      </c>
      <c r="V40" s="572">
        <f t="shared" si="18"/>
        <v>0.85</v>
      </c>
      <c r="W40" s="572">
        <f t="shared" si="19"/>
        <v>9.2682300000000009</v>
      </c>
      <c r="X40" s="577">
        <f t="shared" si="20"/>
        <v>0</v>
      </c>
    </row>
    <row r="41" spans="1:24" x14ac:dyDescent="0.2">
      <c r="A41" s="945"/>
      <c r="B41" s="107" t="s">
        <v>140</v>
      </c>
      <c r="C41" s="88">
        <f>0.85*0.9926</f>
        <v>0.84370999999999996</v>
      </c>
      <c r="D41" s="89">
        <f t="shared" si="16"/>
        <v>0.1</v>
      </c>
      <c r="E41" s="90">
        <f t="shared" si="21"/>
        <v>8.4371000000000002E-2</v>
      </c>
      <c r="F41" s="91">
        <f t="shared" si="22"/>
        <v>2.5418009531764121E-4</v>
      </c>
      <c r="G41" s="108">
        <f t="shared" si="23"/>
        <v>442.89205747999932</v>
      </c>
      <c r="H41" s="93">
        <f t="shared" si="17"/>
        <v>524.93399092105028</v>
      </c>
      <c r="I41" s="92"/>
      <c r="J41" s="230"/>
      <c r="K41" s="228">
        <f>C41*VLOOKUP(B41,$O$124:$R$149,4,FALSE)</f>
        <v>0</v>
      </c>
      <c r="L41" s="948"/>
      <c r="M41" s="951"/>
      <c r="N41" s="951"/>
      <c r="O41" s="165" t="s">
        <v>221</v>
      </c>
      <c r="P41" s="165">
        <f>0.02*Q35*0</f>
        <v>0</v>
      </c>
      <c r="S41" s="88">
        <f>0.9926</f>
        <v>0.99260000000000004</v>
      </c>
      <c r="U41" s="45">
        <v>0.85</v>
      </c>
      <c r="V41" s="572">
        <f t="shared" si="18"/>
        <v>0.85</v>
      </c>
      <c r="W41" s="572">
        <f t="shared" si="19"/>
        <v>0.84370999999999996</v>
      </c>
      <c r="X41" s="577">
        <f t="shared" si="20"/>
        <v>0</v>
      </c>
    </row>
    <row r="42" spans="1:24" x14ac:dyDescent="0.2">
      <c r="A42" s="945"/>
      <c r="B42" s="107" t="s">
        <v>134</v>
      </c>
      <c r="C42" s="88">
        <f>0.85*26.4164</f>
        <v>22.453939999999999</v>
      </c>
      <c r="D42" s="89">
        <f t="shared" si="16"/>
        <v>0.1</v>
      </c>
      <c r="E42" s="90">
        <f t="shared" si="21"/>
        <v>2.2453940000000001</v>
      </c>
      <c r="F42" s="91">
        <f t="shared" si="22"/>
        <v>6.7645809691204289E-3</v>
      </c>
      <c r="G42" s="108">
        <f t="shared" si="23"/>
        <v>11786.836336101807</v>
      </c>
      <c r="H42" s="93">
        <f t="shared" si="17"/>
        <v>524.93399092105028</v>
      </c>
      <c r="I42" s="92"/>
      <c r="J42" s="230"/>
      <c r="K42" s="228">
        <f>C42*VLOOKUP(B42,$O$124:$R$149,4,FALSE)</f>
        <v>0</v>
      </c>
      <c r="L42" s="948"/>
      <c r="M42" s="951"/>
      <c r="N42" s="951"/>
      <c r="O42" s="165" t="s">
        <v>222</v>
      </c>
      <c r="P42" s="165">
        <v>500000</v>
      </c>
      <c r="S42" s="88">
        <f>26.4164</f>
        <v>26.416399999999999</v>
      </c>
      <c r="U42" s="45">
        <v>0.85</v>
      </c>
      <c r="V42" s="572">
        <f t="shared" si="18"/>
        <v>0.85</v>
      </c>
      <c r="W42" s="572">
        <f t="shared" si="19"/>
        <v>22.453939999999999</v>
      </c>
      <c r="X42" s="577">
        <f t="shared" si="20"/>
        <v>0</v>
      </c>
    </row>
    <row r="43" spans="1:24" x14ac:dyDescent="0.2">
      <c r="A43" s="945"/>
      <c r="B43" s="257" t="s">
        <v>147</v>
      </c>
      <c r="C43" s="180">
        <f>0.5*0.85*237.681</f>
        <v>101.014425</v>
      </c>
      <c r="D43" s="102">
        <f t="shared" si="16"/>
        <v>0.3</v>
      </c>
      <c r="E43" s="103">
        <f>C43*D43</f>
        <v>30.304327499999999</v>
      </c>
      <c r="F43" s="91">
        <f t="shared" si="22"/>
        <v>9.1296261185561584E-2</v>
      </c>
      <c r="G43" s="108">
        <f t="shared" si="23"/>
        <v>159077.71576753535</v>
      </c>
      <c r="H43" s="94">
        <f>G43/C43</f>
        <v>1574.8019727631508</v>
      </c>
      <c r="I43" s="95">
        <f>H43/(VLOOKUP(B43,$O$124:$Q$149,3,FALSE))</f>
        <v>314.96039455263019</v>
      </c>
      <c r="J43" s="228">
        <f>C43*VLOOKUP(B43,$O$124:$R$149,3,FALSE)</f>
        <v>505.07212500000003</v>
      </c>
      <c r="K43" s="228">
        <f>J43*VLOOKUP(B43,$O$124:$R$149,4,FALSE)</f>
        <v>505.07212500000003</v>
      </c>
      <c r="L43" s="948"/>
      <c r="M43" s="951"/>
      <c r="N43" s="951"/>
      <c r="O43" s="526" t="s">
        <v>232</v>
      </c>
      <c r="P43" s="526">
        <f>0.518*1.2*(Q35+P40)</f>
        <v>476256.17701462901</v>
      </c>
      <c r="S43" s="180">
        <f>237.681</f>
        <v>237.68100000000001</v>
      </c>
      <c r="T43" s="45">
        <v>0.5</v>
      </c>
      <c r="U43" s="45">
        <v>0.85</v>
      </c>
      <c r="V43" s="572">
        <f t="shared" si="18"/>
        <v>0.42499999999999999</v>
      </c>
      <c r="W43" s="572">
        <f t="shared" si="19"/>
        <v>101.014425</v>
      </c>
      <c r="X43" s="577">
        <f t="shared" si="20"/>
        <v>0</v>
      </c>
    </row>
    <row r="44" spans="1:24" x14ac:dyDescent="0.2">
      <c r="A44" s="945"/>
      <c r="B44" s="257" t="s">
        <v>230</v>
      </c>
      <c r="C44" s="180">
        <f>0.5*0.85*47.5726</f>
        <v>20.218354999999999</v>
      </c>
      <c r="D44" s="102">
        <f t="shared" si="16"/>
        <v>0.3</v>
      </c>
      <c r="E44" s="103">
        <f>C44*D44</f>
        <v>6.0655064999999997</v>
      </c>
      <c r="F44" s="91">
        <f t="shared" si="22"/>
        <v>1.8273233934880142E-2</v>
      </c>
      <c r="G44" s="108">
        <f t="shared" si="23"/>
        <v>31839.905340025714</v>
      </c>
      <c r="H44" s="94">
        <f>G44/C44</f>
        <v>1574.8019727631508</v>
      </c>
      <c r="I44" s="95">
        <f>H44/(VLOOKUP(B44,$O$124:$Q$149,3,FALSE))</f>
        <v>314.96039455263019</v>
      </c>
      <c r="J44" s="228">
        <f>C44*VLOOKUP(B44,$O$124:$R$149,3,FALSE)</f>
        <v>101.091775</v>
      </c>
      <c r="K44" s="228">
        <f>J44*VLOOKUP(B44,$O$124:$R$149,4,FALSE)</f>
        <v>101.091775</v>
      </c>
      <c r="L44" s="948"/>
      <c r="M44" s="951"/>
      <c r="N44" s="951"/>
      <c r="O44" s="953"/>
      <c r="P44" s="954"/>
      <c r="S44" s="180">
        <f>47.5726</f>
        <v>47.572600000000001</v>
      </c>
      <c r="T44" s="45">
        <v>0.5</v>
      </c>
      <c r="U44" s="45">
        <v>0.85</v>
      </c>
      <c r="V44" s="572">
        <f t="shared" si="18"/>
        <v>0.42499999999999999</v>
      </c>
      <c r="W44" s="572">
        <f t="shared" si="19"/>
        <v>20.218354999999999</v>
      </c>
      <c r="X44" s="577">
        <f t="shared" si="20"/>
        <v>0</v>
      </c>
    </row>
    <row r="45" spans="1:24" x14ac:dyDescent="0.2">
      <c r="A45" s="945"/>
      <c r="B45" s="258" t="s">
        <v>153</v>
      </c>
      <c r="C45" s="179">
        <f>0.5*0.85*78.7132</f>
        <v>33.453110000000002</v>
      </c>
      <c r="D45" s="89">
        <f t="shared" si="16"/>
        <v>0.3</v>
      </c>
      <c r="E45" s="90">
        <f>C45*D45</f>
        <v>10.035933</v>
      </c>
      <c r="F45" s="91">
        <f t="shared" si="22"/>
        <v>3.0234730020284945E-2</v>
      </c>
      <c r="G45" s="108">
        <f t="shared" si="23"/>
        <v>52682.023623062691</v>
      </c>
      <c r="H45" s="92">
        <f>G45/C45</f>
        <v>1574.8019727631508</v>
      </c>
      <c r="I45" s="95">
        <f>H45/(VLOOKUP(B45,$O$124:$Q$149,3,FALSE))</f>
        <v>314.96039455263019</v>
      </c>
      <c r="J45" s="228">
        <f>C45*VLOOKUP(B45,$O$124:$R$149,3,FALSE)</f>
        <v>167.26555000000002</v>
      </c>
      <c r="K45" s="228">
        <f>J45*VLOOKUP(B45,$O$124:$R$149,4,FALSE)</f>
        <v>167.26555000000002</v>
      </c>
      <c r="L45" s="948"/>
      <c r="M45" s="951"/>
      <c r="N45" s="951"/>
      <c r="O45" s="955"/>
      <c r="P45" s="956"/>
      <c r="S45" s="179">
        <f>78.7132</f>
        <v>78.713200000000001</v>
      </c>
      <c r="T45" s="45">
        <v>0.5</v>
      </c>
      <c r="U45" s="45">
        <v>0.85</v>
      </c>
      <c r="V45" s="572">
        <f t="shared" si="18"/>
        <v>0.42499999999999999</v>
      </c>
      <c r="W45" s="572">
        <f t="shared" si="19"/>
        <v>33.453110000000002</v>
      </c>
      <c r="X45" s="577">
        <f t="shared" si="20"/>
        <v>0</v>
      </c>
    </row>
    <row r="46" spans="1:24" x14ac:dyDescent="0.2">
      <c r="A46" s="945"/>
      <c r="B46" s="258" t="s">
        <v>155</v>
      </c>
      <c r="C46" s="179">
        <f>0.5*0.85*4.0133</f>
        <v>1.7056525</v>
      </c>
      <c r="D46" s="89">
        <f t="shared" si="16"/>
        <v>0.1</v>
      </c>
      <c r="E46" s="90">
        <f>C46*D46</f>
        <v>0.17056525</v>
      </c>
      <c r="F46" s="91">
        <f t="shared" si="22"/>
        <v>5.1385300047264231E-4</v>
      </c>
      <c r="G46" s="108">
        <f t="shared" si="23"/>
        <v>895.35497394946663</v>
      </c>
      <c r="H46" s="93">
        <f>G46/C46</f>
        <v>524.93399092105017</v>
      </c>
      <c r="I46" s="92"/>
      <c r="J46" s="230"/>
      <c r="K46" s="228">
        <f>C46*VLOOKUP(B46,$O$124:$R$149,4,FALSE)</f>
        <v>0</v>
      </c>
      <c r="L46" s="948"/>
      <c r="M46" s="951"/>
      <c r="N46" s="951"/>
      <c r="O46" s="955"/>
      <c r="P46" s="956"/>
      <c r="S46" s="179">
        <f>4.0133</f>
        <v>4.0133000000000001</v>
      </c>
      <c r="T46" s="45">
        <v>0.5</v>
      </c>
      <c r="U46" s="45">
        <v>0.85</v>
      </c>
      <c r="V46" s="572">
        <f t="shared" si="18"/>
        <v>0.42499999999999999</v>
      </c>
      <c r="W46" s="572">
        <f t="shared" si="19"/>
        <v>1.7056525</v>
      </c>
      <c r="X46" s="577">
        <f t="shared" si="20"/>
        <v>0</v>
      </c>
    </row>
    <row r="47" spans="1:24" x14ac:dyDescent="0.2">
      <c r="A47" s="946"/>
      <c r="B47" s="522" t="s">
        <v>133</v>
      </c>
      <c r="C47" s="521">
        <f>0.25*3.1369</f>
        <v>0.78422499999999995</v>
      </c>
      <c r="D47" s="89">
        <f t="shared" si="16"/>
        <v>0.3</v>
      </c>
      <c r="E47" s="90">
        <f>C47*D47</f>
        <v>0.23526749999999996</v>
      </c>
      <c r="F47" s="91">
        <f t="shared" si="22"/>
        <v>7.0877808222189072E-4</v>
      </c>
      <c r="G47" s="108">
        <f t="shared" si="23"/>
        <v>1234.9990770901816</v>
      </c>
      <c r="H47" s="92">
        <f>G47/C47</f>
        <v>1574.8019727631504</v>
      </c>
      <c r="I47" s="95">
        <f>H47/(VLOOKUP(B47,$O$124:$Q$149,3,FALSE))</f>
        <v>787.40098638157519</v>
      </c>
      <c r="J47" s="228">
        <f>C47*VLOOKUP(B47,$O$124:$R$149,3,FALSE)</f>
        <v>1.5684499999999999</v>
      </c>
      <c r="K47" s="228">
        <f>J47*VLOOKUP(B47,$O$124:$R$149,4,FALSE)</f>
        <v>3.921125</v>
      </c>
      <c r="L47" s="949"/>
      <c r="M47" s="952"/>
      <c r="N47" s="952"/>
      <c r="O47" s="957"/>
      <c r="P47" s="958"/>
      <c r="S47" s="521">
        <f>3.1369</f>
        <v>3.1368999999999998</v>
      </c>
      <c r="T47" s="269">
        <v>0.25</v>
      </c>
      <c r="U47" s="269"/>
      <c r="V47" s="575">
        <f t="shared" si="18"/>
        <v>0.25</v>
      </c>
      <c r="W47" s="575">
        <f t="shared" si="19"/>
        <v>0.78422499999999995</v>
      </c>
      <c r="X47" s="578">
        <f t="shared" si="20"/>
        <v>0</v>
      </c>
    </row>
    <row r="48" spans="1:24" x14ac:dyDescent="0.2">
      <c r="A48" s="105"/>
      <c r="B48" s="97"/>
      <c r="C48" s="97"/>
      <c r="F48" s="158">
        <f>SUM(F34:F47)</f>
        <v>1</v>
      </c>
      <c r="G48" s="160">
        <f>SUM(G34:G47)</f>
        <v>1742434.0679648048</v>
      </c>
      <c r="H48" s="106"/>
      <c r="I48" s="106"/>
      <c r="K48" s="235">
        <f>SUM(K34:K47)</f>
        <v>5936.8544773499998</v>
      </c>
      <c r="S48" s="98">
        <f>SUM(S34:S47)</f>
        <v>1097.5920000000001</v>
      </c>
      <c r="W48" s="98">
        <f>SUM(W34:W47)</f>
        <v>774.67951749999997</v>
      </c>
      <c r="X48" s="98">
        <f>SUM(X34:X47)</f>
        <v>0</v>
      </c>
    </row>
    <row r="49" spans="1:27" x14ac:dyDescent="0.2">
      <c r="A49" s="105"/>
      <c r="B49" s="109"/>
      <c r="C49" s="110"/>
    </row>
    <row r="50" spans="1:27" x14ac:dyDescent="0.2">
      <c r="A50" s="939" t="s">
        <v>160</v>
      </c>
      <c r="B50" s="550" t="s">
        <v>142</v>
      </c>
      <c r="C50" s="551">
        <f>0.85*0.8318</f>
        <v>0.70702999999999994</v>
      </c>
      <c r="D50" s="552">
        <f t="shared" ref="D50:D56" si="24">VLOOKUP(B50,$O$124:$P$149,2,FALSE)</f>
        <v>0.9</v>
      </c>
      <c r="E50" s="553">
        <f t="shared" si="12"/>
        <v>0.63632699999999998</v>
      </c>
      <c r="F50" s="554">
        <f>E50/($L$50*$M$50)</f>
        <v>4.5143228533810502E-3</v>
      </c>
      <c r="G50" s="555">
        <f t="shared" ref="G50:G56" si="25">$O$50*F50</f>
        <v>3647.0544119540436</v>
      </c>
      <c r="H50" s="555">
        <f t="shared" si="14"/>
        <v>5158.2739232480153</v>
      </c>
      <c r="I50" s="555"/>
      <c r="J50" s="556"/>
      <c r="K50" s="556">
        <f>C50*VLOOKUP(B50,$O$124:$R$149,4,FALSE)</f>
        <v>12.479079499999997</v>
      </c>
      <c r="L50" s="940">
        <f>SUM(C50:C56)</f>
        <v>215.07363000000001</v>
      </c>
      <c r="M50" s="941">
        <f>SUM(E50:E56)/L50</f>
        <v>0.65539114674355947</v>
      </c>
      <c r="N50" s="941">
        <f>L50*M50</f>
        <v>140.95735300000001</v>
      </c>
      <c r="O50" s="942">
        <f>SUM(P51:P59)</f>
        <v>807885.15363329486</v>
      </c>
      <c r="P50" s="942"/>
      <c r="Q50" s="557"/>
      <c r="S50" s="551">
        <f>0.8318</f>
        <v>0.83179999999999998</v>
      </c>
      <c r="U50" s="45">
        <v>0.85</v>
      </c>
      <c r="V50" s="572">
        <f t="shared" ref="V50:V56" si="26">IF(AND(T50="",U50=""),0,IF(AND(T50&gt;0,U50&gt;0),T50*U50,IF(T50&gt;0,T50,U50)))</f>
        <v>0.85</v>
      </c>
      <c r="W50" s="572">
        <f t="shared" ref="W50:W56" si="27">IF(V50&gt;0,V50*S50,S50)</f>
        <v>0.70702999999999994</v>
      </c>
      <c r="X50" s="577">
        <f t="shared" ref="X50:X56" si="28">W50-C50</f>
        <v>0</v>
      </c>
    </row>
    <row r="51" spans="1:27" x14ac:dyDescent="0.2">
      <c r="A51" s="939"/>
      <c r="B51" s="550" t="s">
        <v>143</v>
      </c>
      <c r="C51" s="551">
        <f>0.85*0.8944</f>
        <v>0.76023999999999992</v>
      </c>
      <c r="D51" s="552">
        <f t="shared" si="24"/>
        <v>0.9</v>
      </c>
      <c r="E51" s="553">
        <f t="shared" si="12"/>
        <v>0.68421599999999994</v>
      </c>
      <c r="F51" s="554">
        <f t="shared" ref="F51:F56" si="29">E51/($L$50*$M$50)</f>
        <v>4.8540639096706067E-3</v>
      </c>
      <c r="G51" s="555">
        <f t="shared" si="25"/>
        <v>3921.5261674100698</v>
      </c>
      <c r="H51" s="555">
        <f t="shared" si="14"/>
        <v>5158.2739232480144</v>
      </c>
      <c r="I51" s="555"/>
      <c r="J51" s="556"/>
      <c r="K51" s="556">
        <f>C51*VLOOKUP(B51,$O$124:$R$149,4,FALSE)</f>
        <v>13.418235999999997</v>
      </c>
      <c r="L51" s="940"/>
      <c r="M51" s="941"/>
      <c r="N51" s="941"/>
      <c r="O51" s="558" t="s">
        <v>202</v>
      </c>
      <c r="P51" s="558">
        <v>0</v>
      </c>
      <c r="Q51" s="943">
        <f>SUM(P51:P55)</f>
        <v>159550.45625302894</v>
      </c>
      <c r="S51" s="551">
        <f>0.8944</f>
        <v>0.89439999999999997</v>
      </c>
      <c r="U51" s="45">
        <v>0.85</v>
      </c>
      <c r="V51" s="572">
        <f t="shared" si="26"/>
        <v>0.85</v>
      </c>
      <c r="W51" s="572">
        <f t="shared" si="27"/>
        <v>0.76023999999999992</v>
      </c>
      <c r="X51" s="577">
        <f t="shared" si="28"/>
        <v>0</v>
      </c>
    </row>
    <row r="52" spans="1:27" s="46" customFormat="1" x14ac:dyDescent="0.2">
      <c r="A52" s="939"/>
      <c r="B52" s="550" t="s">
        <v>146</v>
      </c>
      <c r="C52" s="551">
        <f>0.85*72.6832</f>
        <v>61.780719999999995</v>
      </c>
      <c r="D52" s="552">
        <f t="shared" si="24"/>
        <v>0.7</v>
      </c>
      <c r="E52" s="553">
        <f t="shared" si="12"/>
        <v>43.246503999999995</v>
      </c>
      <c r="F52" s="554">
        <f t="shared" si="29"/>
        <v>0.30680559104993971</v>
      </c>
      <c r="G52" s="555">
        <f t="shared" si="25"/>
        <v>247863.68206093437</v>
      </c>
      <c r="H52" s="555">
        <f t="shared" si="14"/>
        <v>4011.9908291929</v>
      </c>
      <c r="I52" s="555"/>
      <c r="J52" s="556"/>
      <c r="K52" s="556">
        <f>C52*VLOOKUP(B52,$O$124:$R$149,4,FALSE)</f>
        <v>848.24928560000001</v>
      </c>
      <c r="L52" s="940"/>
      <c r="M52" s="941"/>
      <c r="N52" s="941"/>
      <c r="O52" s="558" t="s">
        <v>206</v>
      </c>
      <c r="P52" s="558">
        <f>N50/($N$3+$N$15+$N$34+$N$50+$N$61+$N$75+$N$87)*'Future Improve'!$D$8</f>
        <v>28133.368620905148</v>
      </c>
      <c r="Q52" s="943"/>
      <c r="S52" s="551">
        <f>72.6832</f>
        <v>72.683199999999999</v>
      </c>
      <c r="T52" s="45"/>
      <c r="U52" s="45">
        <v>0.85</v>
      </c>
      <c r="V52" s="572">
        <f t="shared" si="26"/>
        <v>0.85</v>
      </c>
      <c r="W52" s="572">
        <f t="shared" si="27"/>
        <v>61.780719999999995</v>
      </c>
      <c r="X52" s="577">
        <f t="shared" si="28"/>
        <v>0</v>
      </c>
    </row>
    <row r="53" spans="1:27" x14ac:dyDescent="0.2">
      <c r="A53" s="939"/>
      <c r="B53" s="550" t="s">
        <v>135</v>
      </c>
      <c r="C53" s="551">
        <f>0.85*21.4997</f>
        <v>18.274744999999999</v>
      </c>
      <c r="D53" s="552">
        <f t="shared" si="24"/>
        <v>0.3</v>
      </c>
      <c r="E53" s="553">
        <f t="shared" si="12"/>
        <v>5.4824234999999994</v>
      </c>
      <c r="F53" s="554">
        <f t="shared" si="29"/>
        <v>3.889420014860806E-2</v>
      </c>
      <c r="G53" s="555">
        <f t="shared" si="25"/>
        <v>31422.046862502342</v>
      </c>
      <c r="H53" s="555">
        <f t="shared" si="14"/>
        <v>1719.4246410826713</v>
      </c>
      <c r="I53" s="555">
        <f>H53/(VLOOKUP(B53,$O$124:$Q$149,3,FALSE))</f>
        <v>343.88492821653426</v>
      </c>
      <c r="J53" s="556">
        <f>C53*VLOOKUP(B53,$O$124:$R$149,3,FALSE)</f>
        <v>91.373724999999993</v>
      </c>
      <c r="K53" s="556">
        <f>J53*VLOOKUP(B53,$O$124:$R$149,4,FALSE)</f>
        <v>91.373724999999993</v>
      </c>
      <c r="L53" s="940"/>
      <c r="M53" s="941"/>
      <c r="N53" s="941"/>
      <c r="O53" s="558" t="s">
        <v>207</v>
      </c>
      <c r="P53" s="558">
        <f>N50/($N$15+$N$34+$N$50+$N$61+$N$75+$N$87)*'Future Improve'!$D$9</f>
        <v>24458.845289678662</v>
      </c>
      <c r="Q53" s="943"/>
      <c r="S53" s="551">
        <f>21.4997</f>
        <v>21.499700000000001</v>
      </c>
      <c r="U53" s="45">
        <v>0.85</v>
      </c>
      <c r="V53" s="572">
        <f t="shared" si="26"/>
        <v>0.85</v>
      </c>
      <c r="W53" s="572">
        <f t="shared" si="27"/>
        <v>18.274744999999999</v>
      </c>
      <c r="X53" s="577">
        <f t="shared" si="28"/>
        <v>0</v>
      </c>
    </row>
    <row r="54" spans="1:27" x14ac:dyDescent="0.2">
      <c r="A54" s="939"/>
      <c r="B54" s="550" t="s">
        <v>148</v>
      </c>
      <c r="C54" s="551">
        <f>0.85*139.3999</f>
        <v>118.489915</v>
      </c>
      <c r="D54" s="552">
        <f t="shared" si="24"/>
        <v>0.7</v>
      </c>
      <c r="E54" s="553">
        <f t="shared" si="12"/>
        <v>82.942940499999992</v>
      </c>
      <c r="F54" s="554">
        <f t="shared" si="29"/>
        <v>0.58842578081045538</v>
      </c>
      <c r="G54" s="555">
        <f t="shared" si="25"/>
        <v>475380.45233184623</v>
      </c>
      <c r="H54" s="555">
        <f t="shared" si="14"/>
        <v>4011.9908291929</v>
      </c>
      <c r="I54" s="555"/>
      <c r="J54" s="556"/>
      <c r="K54" s="556">
        <f>C54*VLOOKUP(B54,$O$124:$R$149,4,FALSE)</f>
        <v>1626.86653295</v>
      </c>
      <c r="L54" s="940"/>
      <c r="M54" s="941"/>
      <c r="N54" s="941"/>
      <c r="O54" s="558" t="s">
        <v>209</v>
      </c>
      <c r="P54" s="558">
        <f>N50/($N$50+$N$61+$N$75+$N$87)*'Future Improve'!$D$10</f>
        <v>26958.242342445115</v>
      </c>
      <c r="Q54" s="943"/>
      <c r="S54" s="551">
        <f>139.3999</f>
        <v>139.3999</v>
      </c>
      <c r="U54" s="45">
        <v>0.85</v>
      </c>
      <c r="V54" s="572">
        <f t="shared" si="26"/>
        <v>0.85</v>
      </c>
      <c r="W54" s="572">
        <f t="shared" si="27"/>
        <v>118.489915</v>
      </c>
      <c r="X54" s="577">
        <f t="shared" si="28"/>
        <v>0</v>
      </c>
    </row>
    <row r="55" spans="1:27" x14ac:dyDescent="0.2">
      <c r="A55" s="939"/>
      <c r="B55" s="550" t="s">
        <v>137</v>
      </c>
      <c r="C55" s="551">
        <f>0.85*16.441</f>
        <v>13.974849999999998</v>
      </c>
      <c r="D55" s="552">
        <f t="shared" si="24"/>
        <v>0.5</v>
      </c>
      <c r="E55" s="553">
        <f t="shared" si="12"/>
        <v>6.9874249999999991</v>
      </c>
      <c r="F55" s="554">
        <f t="shared" si="29"/>
        <v>4.9571199027836445E-2</v>
      </c>
      <c r="G55" s="555">
        <f t="shared" si="25"/>
        <v>40047.835742390285</v>
      </c>
      <c r="H55" s="555">
        <f t="shared" si="14"/>
        <v>2865.7077351377861</v>
      </c>
      <c r="I55" s="555">
        <f>H55/(VLOOKUP(B55,$O$124:$Q$149,3,FALSE))</f>
        <v>286.57077351377859</v>
      </c>
      <c r="J55" s="556">
        <f>C55*VLOOKUP(B55,$O$124:$R$149,3,FALSE)</f>
        <v>139.74849999999998</v>
      </c>
      <c r="K55" s="556">
        <f>J55*VLOOKUP(B55,$O$124:$R$149,4,FALSE)</f>
        <v>129.966105</v>
      </c>
      <c r="L55" s="940"/>
      <c r="M55" s="941"/>
      <c r="N55" s="941"/>
      <c r="O55" s="558" t="s">
        <v>219</v>
      </c>
      <c r="P55" s="558">
        <f>'Levee &amp; Monitor'!E21</f>
        <v>80000</v>
      </c>
      <c r="Q55" s="943"/>
      <c r="S55" s="551">
        <f>16.441</f>
        <v>16.440999999999999</v>
      </c>
      <c r="U55" s="45">
        <v>0.85</v>
      </c>
      <c r="V55" s="572">
        <f t="shared" si="26"/>
        <v>0.85</v>
      </c>
      <c r="W55" s="572">
        <f t="shared" si="27"/>
        <v>13.974849999999998</v>
      </c>
      <c r="X55" s="577">
        <f t="shared" si="28"/>
        <v>0</v>
      </c>
    </row>
    <row r="56" spans="1:27" x14ac:dyDescent="0.2">
      <c r="A56" s="939"/>
      <c r="B56" s="550" t="s">
        <v>145</v>
      </c>
      <c r="C56" s="551">
        <f>0.85*1.2778</f>
        <v>1.08613</v>
      </c>
      <c r="D56" s="552">
        <f t="shared" si="24"/>
        <v>0.9</v>
      </c>
      <c r="E56" s="553">
        <f t="shared" si="12"/>
        <v>0.97751700000000008</v>
      </c>
      <c r="F56" s="554">
        <f t="shared" si="29"/>
        <v>6.9348422001085678E-3</v>
      </c>
      <c r="G56" s="555">
        <f t="shared" si="25"/>
        <v>5602.5560562573664</v>
      </c>
      <c r="H56" s="555">
        <f t="shared" si="14"/>
        <v>5158.2739232480144</v>
      </c>
      <c r="I56" s="555"/>
      <c r="J56" s="556"/>
      <c r="K56" s="556">
        <f>C56*VLOOKUP(B56,$O$124:$R$149,4,FALSE)</f>
        <v>19.170194500000001</v>
      </c>
      <c r="L56" s="940"/>
      <c r="M56" s="941"/>
      <c r="N56" s="941"/>
      <c r="O56" s="558" t="s">
        <v>220</v>
      </c>
      <c r="P56" s="558">
        <f>0.19*Q51</f>
        <v>30314.586688075498</v>
      </c>
      <c r="Q56" s="559"/>
      <c r="S56" s="551">
        <f>1.2778</f>
        <v>1.2778</v>
      </c>
      <c r="T56" s="269"/>
      <c r="U56" s="269">
        <v>0.85</v>
      </c>
      <c r="V56" s="575">
        <f t="shared" si="26"/>
        <v>0.85</v>
      </c>
      <c r="W56" s="575">
        <f t="shared" si="27"/>
        <v>1.08613</v>
      </c>
      <c r="X56" s="578">
        <f t="shared" si="28"/>
        <v>0</v>
      </c>
    </row>
    <row r="57" spans="1:27" x14ac:dyDescent="0.2">
      <c r="A57" s="560"/>
      <c r="B57" s="561"/>
      <c r="C57" s="561"/>
      <c r="D57" s="562"/>
      <c r="E57" s="563"/>
      <c r="F57" s="564">
        <f>SUM(F50:F56)</f>
        <v>0.99999999999999978</v>
      </c>
      <c r="G57" s="565">
        <f>SUM(G50:G56)</f>
        <v>807885.15363329463</v>
      </c>
      <c r="H57" s="566"/>
      <c r="I57" s="566"/>
      <c r="J57" s="567"/>
      <c r="K57" s="568">
        <f>SUM(K50:K56)</f>
        <v>2741.5231585500001</v>
      </c>
      <c r="L57" s="563"/>
      <c r="M57" s="562"/>
      <c r="N57" s="562"/>
      <c r="O57" s="558" t="s">
        <v>221</v>
      </c>
      <c r="P57" s="558">
        <f>0.02*Q51*0</f>
        <v>0</v>
      </c>
      <c r="Q57" s="557"/>
      <c r="S57" s="98">
        <f>SUM(S50:S56)</f>
        <v>253.02780000000004</v>
      </c>
      <c r="W57" s="98">
        <f>SUM(W50:W56)</f>
        <v>215.07363000000001</v>
      </c>
      <c r="X57" s="98">
        <f>SUM(X50:X56)</f>
        <v>0</v>
      </c>
    </row>
    <row r="58" spans="1:27" x14ac:dyDescent="0.2">
      <c r="A58" s="560"/>
      <c r="B58" s="561"/>
      <c r="C58" s="561"/>
      <c r="D58" s="562"/>
      <c r="E58" s="563"/>
      <c r="F58" s="569"/>
      <c r="G58" s="566"/>
      <c r="H58" s="566"/>
      <c r="I58" s="566"/>
      <c r="J58" s="567"/>
      <c r="K58" s="567"/>
      <c r="L58" s="563"/>
      <c r="M58" s="562"/>
      <c r="N58" s="562"/>
      <c r="O58" s="558" t="s">
        <v>222</v>
      </c>
      <c r="P58" s="558">
        <v>500000</v>
      </c>
      <c r="Q58" s="557"/>
    </row>
    <row r="59" spans="1:27" x14ac:dyDescent="0.2">
      <c r="A59" s="560"/>
      <c r="B59" s="561"/>
      <c r="C59" s="561"/>
      <c r="D59" s="562"/>
      <c r="E59" s="563"/>
      <c r="F59" s="569"/>
      <c r="G59" s="566"/>
      <c r="H59" s="566"/>
      <c r="I59" s="566"/>
      <c r="J59" s="567"/>
      <c r="K59" s="567"/>
      <c r="L59" s="563"/>
      <c r="M59" s="562"/>
      <c r="N59" s="562"/>
      <c r="O59" s="570" t="s">
        <v>232</v>
      </c>
      <c r="P59" s="570">
        <f>0.518*1.2*(Q51+P56)</f>
        <v>118020.11069219053</v>
      </c>
      <c r="Q59" s="557"/>
    </row>
    <row r="60" spans="1:27" x14ac:dyDescent="0.2">
      <c r="A60" s="96"/>
      <c r="B60" s="97"/>
      <c r="C60" s="97"/>
      <c r="S60" s="46" t="s">
        <v>352</v>
      </c>
      <c r="Z60" s="269" t="s">
        <v>353</v>
      </c>
      <c r="AA60" s="269"/>
    </row>
    <row r="61" spans="1:27" x14ac:dyDescent="0.2">
      <c r="A61" s="916" t="s">
        <v>342</v>
      </c>
      <c r="B61" s="87" t="s">
        <v>144</v>
      </c>
      <c r="C61" s="546">
        <f>0.85*1</f>
        <v>0.85</v>
      </c>
      <c r="D61" s="89">
        <f t="shared" ref="D61:D71" si="30">VLOOKUP(B61,$O$124:$P$149,2,FALSE)</f>
        <v>0.9</v>
      </c>
      <c r="E61" s="90">
        <f t="shared" si="12"/>
        <v>0.76500000000000001</v>
      </c>
      <c r="F61" s="91">
        <f t="shared" ref="F61:F71" si="31">E61/($L$61*$M$61)</f>
        <v>1.4521477386066307E-3</v>
      </c>
      <c r="G61" s="92">
        <f t="shared" ref="G61:G71" si="32">$O$61*F61</f>
        <v>4539.1936648203791</v>
      </c>
      <c r="H61" s="93">
        <f>G61/C61</f>
        <v>5340.2278409651517</v>
      </c>
      <c r="I61" s="92"/>
      <c r="J61" s="230"/>
      <c r="K61" s="228">
        <f>C61*VLOOKUP(B61,$O$124:$R$149,4,FALSE)</f>
        <v>15.002499999999998</v>
      </c>
      <c r="L61" s="931">
        <f>SUM(C61:C71)</f>
        <v>880.19896999999992</v>
      </c>
      <c r="M61" s="932">
        <f>SUM(E61:E71)/L61</f>
        <v>0.59850774706087184</v>
      </c>
      <c r="N61" s="932">
        <f>L61*M61</f>
        <v>526.80590249999989</v>
      </c>
      <c r="O61" s="933">
        <f>SUM(P62:P72)</f>
        <v>3125848.3859058586</v>
      </c>
      <c r="P61" s="933"/>
      <c r="S61" s="546">
        <f>1</f>
        <v>1</v>
      </c>
      <c r="U61" s="45">
        <v>0.85</v>
      </c>
      <c r="V61" s="572">
        <f t="shared" ref="V61:V71" si="33">IF(AND(T61="",U61=""),0,IF(AND(T61&gt;0,U61&gt;0),T61*U61,IF(T61&gt;0,T61,U61)))</f>
        <v>0.85</v>
      </c>
      <c r="W61" s="572">
        <f t="shared" ref="W61:W71" si="34">IF(V61&gt;0,V61*S61,S61)</f>
        <v>0.85</v>
      </c>
      <c r="X61" s="577">
        <f t="shared" ref="X61:X71" si="35">W61-C61</f>
        <v>0</v>
      </c>
      <c r="Z61" s="577">
        <f>W61</f>
        <v>0.85</v>
      </c>
      <c r="AA61" s="577">
        <f>C61-Z61</f>
        <v>0</v>
      </c>
    </row>
    <row r="62" spans="1:27" x14ac:dyDescent="0.2">
      <c r="A62" s="917"/>
      <c r="B62" s="87" t="s">
        <v>142</v>
      </c>
      <c r="C62" s="546">
        <f>0.85*33.6992+C50+C75</f>
        <v>74.729109999999991</v>
      </c>
      <c r="D62" s="89">
        <f t="shared" si="30"/>
        <v>0.9</v>
      </c>
      <c r="E62" s="90">
        <f t="shared" si="12"/>
        <v>67.256198999999995</v>
      </c>
      <c r="F62" s="91">
        <f t="shared" si="31"/>
        <v>0.12766789187598371</v>
      </c>
      <c r="G62" s="92">
        <f t="shared" si="32"/>
        <v>399070.47375254735</v>
      </c>
      <c r="H62" s="93">
        <f t="shared" si="14"/>
        <v>5340.2278409651526</v>
      </c>
      <c r="I62" s="92"/>
      <c r="J62" s="230"/>
      <c r="K62" s="228">
        <f>C62*VLOOKUP(B62,$O$124:$R$149,4,FALSE)</f>
        <v>1318.9687914999997</v>
      </c>
      <c r="L62" s="931"/>
      <c r="M62" s="932"/>
      <c r="N62" s="932"/>
      <c r="O62" s="147" t="s">
        <v>202</v>
      </c>
      <c r="P62" s="147">
        <v>0</v>
      </c>
      <c r="Q62" s="919">
        <f>SUM(P62:P68)</f>
        <v>1360751.9007608725</v>
      </c>
      <c r="S62" s="546">
        <f>33.6992</f>
        <v>33.699199999999998</v>
      </c>
      <c r="U62" s="45">
        <v>0.85</v>
      </c>
      <c r="V62" s="572">
        <f t="shared" si="33"/>
        <v>0.85</v>
      </c>
      <c r="W62" s="572">
        <f t="shared" si="34"/>
        <v>28.644319999999997</v>
      </c>
      <c r="X62" s="577">
        <f t="shared" si="35"/>
        <v>-46.084789999999998</v>
      </c>
      <c r="Z62" s="577">
        <f>W62+W50+W75</f>
        <v>74.729109999999991</v>
      </c>
      <c r="AA62" s="577">
        <f t="shared" ref="AA62:AA71" si="36">C62-Z62</f>
        <v>0</v>
      </c>
    </row>
    <row r="63" spans="1:27" s="46" customFormat="1" x14ac:dyDescent="0.2">
      <c r="A63" s="917"/>
      <c r="B63" s="87" t="s">
        <v>143</v>
      </c>
      <c r="C63" s="546">
        <f>0.85*17.532+C51+C76</f>
        <v>48.509074999999996</v>
      </c>
      <c r="D63" s="89">
        <f t="shared" si="30"/>
        <v>0.9</v>
      </c>
      <c r="E63" s="90">
        <f t="shared" si="12"/>
        <v>43.658167499999998</v>
      </c>
      <c r="F63" s="91">
        <f t="shared" si="31"/>
        <v>8.2873345368411108E-2</v>
      </c>
      <c r="G63" s="92">
        <f t="shared" si="32"/>
        <v>259049.51285446662</v>
      </c>
      <c r="H63" s="93">
        <f t="shared" si="14"/>
        <v>5340.2278409651526</v>
      </c>
      <c r="I63" s="92"/>
      <c r="J63" s="230"/>
      <c r="K63" s="228">
        <f>C63*VLOOKUP(B63,$O$124:$R$149,4,FALSE)</f>
        <v>856.18517374999988</v>
      </c>
      <c r="L63" s="931"/>
      <c r="M63" s="932"/>
      <c r="N63" s="932"/>
      <c r="O63" s="147" t="s">
        <v>206</v>
      </c>
      <c r="P63" s="147">
        <f>N61/($N$3+$N$15+$N$34+$N$50-$N$50+$N$61+$N$75-$N$75+$N$87)*('Future Improve'!D8)</f>
        <v>117141.19001086902</v>
      </c>
      <c r="Q63" s="920"/>
      <c r="S63" s="546">
        <f>17.532</f>
        <v>17.532</v>
      </c>
      <c r="T63" s="45"/>
      <c r="U63" s="45">
        <v>0.85</v>
      </c>
      <c r="V63" s="572">
        <f t="shared" si="33"/>
        <v>0.85</v>
      </c>
      <c r="W63" s="572">
        <f t="shared" si="34"/>
        <v>14.902199999999999</v>
      </c>
      <c r="X63" s="577">
        <f t="shared" si="35"/>
        <v>-33.606874999999995</v>
      </c>
      <c r="Z63" s="579">
        <f>W63+W51+W76</f>
        <v>48.509074999999996</v>
      </c>
      <c r="AA63" s="577">
        <f t="shared" si="36"/>
        <v>0</v>
      </c>
    </row>
    <row r="64" spans="1:27" s="46" customFormat="1" x14ac:dyDescent="0.2">
      <c r="A64" s="917"/>
      <c r="B64" s="87" t="s">
        <v>146</v>
      </c>
      <c r="C64" s="546">
        <f>C52+C77</f>
        <v>83.93639499999999</v>
      </c>
      <c r="D64" s="89">
        <f t="shared" si="30"/>
        <v>0.7</v>
      </c>
      <c r="E64" s="90">
        <f>C64*D64</f>
        <v>58.755476499999986</v>
      </c>
      <c r="F64" s="91">
        <f>E64/($L$61*$M$61)</f>
        <v>0.11153154552971244</v>
      </c>
      <c r="G64" s="92">
        <f>$O$61*F64</f>
        <v>348630.70157163742</v>
      </c>
      <c r="H64" s="93">
        <f>G64/C64</f>
        <v>4153.5105429728956</v>
      </c>
      <c r="I64" s="92"/>
      <c r="J64" s="230"/>
      <c r="K64" s="228">
        <f>C64*VLOOKUP(B64,$O$124:$R$149,4,FALSE)</f>
        <v>1152.44670335</v>
      </c>
      <c r="L64" s="931"/>
      <c r="M64" s="932"/>
      <c r="N64" s="932"/>
      <c r="O64" s="147" t="s">
        <v>207</v>
      </c>
      <c r="P64" s="147">
        <f>N61/($N$15+$N$34+$N$50-$N$50+$N$61+$N$75-$N$75+$N$87)*('Future Improve'!D9)</f>
        <v>105501.83340788724</v>
      </c>
      <c r="Q64" s="920"/>
      <c r="S64" s="546"/>
      <c r="T64" s="45"/>
      <c r="U64" s="45">
        <v>0.85</v>
      </c>
      <c r="V64" s="572">
        <f t="shared" si="33"/>
        <v>0.85</v>
      </c>
      <c r="W64" s="572">
        <f t="shared" si="34"/>
        <v>0</v>
      </c>
      <c r="X64" s="577">
        <f t="shared" si="35"/>
        <v>-83.93639499999999</v>
      </c>
      <c r="Z64" s="579">
        <f>W64+W52+W77</f>
        <v>83.93639499999999</v>
      </c>
      <c r="AA64" s="577">
        <f t="shared" si="36"/>
        <v>0</v>
      </c>
    </row>
    <row r="65" spans="1:27" s="46" customFormat="1" x14ac:dyDescent="0.2">
      <c r="A65" s="917"/>
      <c r="B65" s="87" t="s">
        <v>139</v>
      </c>
      <c r="C65" s="546">
        <f>0.85*20.7362</f>
        <v>17.625769999999999</v>
      </c>
      <c r="D65" s="89">
        <f t="shared" si="30"/>
        <v>0.65</v>
      </c>
      <c r="E65" s="90">
        <f t="shared" si="12"/>
        <v>11.4567505</v>
      </c>
      <c r="F65" s="91">
        <f t="shared" si="31"/>
        <v>2.1747574288046256E-2</v>
      </c>
      <c r="G65" s="92">
        <f t="shared" si="32"/>
        <v>67979.619985657133</v>
      </c>
      <c r="H65" s="92">
        <f t="shared" si="14"/>
        <v>3856.831218474832</v>
      </c>
      <c r="I65" s="95">
        <f>H65/(VLOOKUP(B65,$O$124:$Q$149,3,FALSE))</f>
        <v>226.8724246161666</v>
      </c>
      <c r="J65" s="228">
        <f>C65*VLOOKUP(B65,$O$124:$R$149,3,FALSE)</f>
        <v>299.63808999999998</v>
      </c>
      <c r="K65" s="228">
        <f>J65*VLOOKUP(B65,$O$124:$R$149,4,FALSE)</f>
        <v>191.76837759999998</v>
      </c>
      <c r="L65" s="931"/>
      <c r="M65" s="932"/>
      <c r="N65" s="932"/>
      <c r="O65" s="147" t="s">
        <v>209</v>
      </c>
      <c r="P65" s="147">
        <f>N61/($N$50-$N$50+$N$61+$N$75-$N$75+$N$87)*('Future Improve'!D10)</f>
        <v>121855.81146136046</v>
      </c>
      <c r="Q65" s="920"/>
      <c r="S65" s="546">
        <f>20.7362</f>
        <v>20.7362</v>
      </c>
      <c r="T65" s="45"/>
      <c r="U65" s="45">
        <v>0.85</v>
      </c>
      <c r="V65" s="572">
        <f t="shared" si="33"/>
        <v>0.85</v>
      </c>
      <c r="W65" s="572">
        <f t="shared" si="34"/>
        <v>17.625769999999999</v>
      </c>
      <c r="X65" s="577">
        <f t="shared" si="35"/>
        <v>0</v>
      </c>
      <c r="Z65" s="579">
        <f>W65</f>
        <v>17.625769999999999</v>
      </c>
      <c r="AA65" s="577">
        <f t="shared" si="36"/>
        <v>0</v>
      </c>
    </row>
    <row r="66" spans="1:27" s="46" customFormat="1" x14ac:dyDescent="0.2">
      <c r="A66" s="917"/>
      <c r="B66" s="87" t="s">
        <v>135</v>
      </c>
      <c r="C66" s="546">
        <f>0.85*184.0932+C53+C78</f>
        <v>184.47549999999998</v>
      </c>
      <c r="D66" s="89">
        <f t="shared" si="30"/>
        <v>0.3</v>
      </c>
      <c r="E66" s="90">
        <f t="shared" si="12"/>
        <v>55.342649999999992</v>
      </c>
      <c r="F66" s="91">
        <f t="shared" si="31"/>
        <v>0.10505320790326567</v>
      </c>
      <c r="G66" s="92">
        <f t="shared" si="32"/>
        <v>328380.40035865555</v>
      </c>
      <c r="H66" s="92">
        <f t="shared" si="14"/>
        <v>1780.0759469883837</v>
      </c>
      <c r="I66" s="95">
        <f>H66/(VLOOKUP(B66,$O$124:$Q$149,3,FALSE))</f>
        <v>356.01518939767675</v>
      </c>
      <c r="J66" s="228">
        <f>C66*VLOOKUP(B66,$O$124:$R$149,3,FALSE)</f>
        <v>922.37749999999994</v>
      </c>
      <c r="K66" s="228">
        <f>J66*VLOOKUP(B66,$O$124:$R$149,4,FALSE)</f>
        <v>922.37749999999994</v>
      </c>
      <c r="L66" s="931"/>
      <c r="M66" s="932"/>
      <c r="N66" s="932"/>
      <c r="O66" s="147" t="s">
        <v>210</v>
      </c>
      <c r="P66" s="147">
        <f>N61/($N$75+$N$87)*('Future Improve'!D11)</f>
        <v>76253.065880755734</v>
      </c>
      <c r="Q66" s="920"/>
      <c r="S66" s="546">
        <f>184.0932</f>
        <v>184.0932</v>
      </c>
      <c r="T66" s="45"/>
      <c r="U66" s="45">
        <v>0.85</v>
      </c>
      <c r="V66" s="572">
        <f t="shared" si="33"/>
        <v>0.85</v>
      </c>
      <c r="W66" s="572">
        <f t="shared" si="34"/>
        <v>156.47922</v>
      </c>
      <c r="X66" s="577">
        <f t="shared" si="35"/>
        <v>-27.996279999999985</v>
      </c>
      <c r="Z66" s="579">
        <f>W66+W53+W78</f>
        <v>184.47549999999998</v>
      </c>
      <c r="AA66" s="577">
        <f t="shared" si="36"/>
        <v>0</v>
      </c>
    </row>
    <row r="67" spans="1:27" s="46" customFormat="1" x14ac:dyDescent="0.2">
      <c r="A67" s="917"/>
      <c r="B67" s="87" t="s">
        <v>148</v>
      </c>
      <c r="C67" s="546">
        <f>0.85*4.5486+C54+C79</f>
        <v>325.76088500000003</v>
      </c>
      <c r="D67" s="89">
        <f t="shared" si="30"/>
        <v>0.7</v>
      </c>
      <c r="E67" s="90">
        <f t="shared" si="12"/>
        <v>228.03261950000001</v>
      </c>
      <c r="F67" s="91">
        <f t="shared" si="31"/>
        <v>0.43285889246466835</v>
      </c>
      <c r="G67" s="92">
        <f t="shared" si="32"/>
        <v>1353051.2703356813</v>
      </c>
      <c r="H67" s="93">
        <f t="shared" si="14"/>
        <v>4153.5105429728965</v>
      </c>
      <c r="I67" s="92"/>
      <c r="J67" s="230"/>
      <c r="K67" s="228">
        <f>C67*VLOOKUP(B67,$O$124:$R$149,4,FALSE)</f>
        <v>4472.6969510500003</v>
      </c>
      <c r="L67" s="931"/>
      <c r="M67" s="932"/>
      <c r="N67" s="932"/>
      <c r="O67" s="147" t="s">
        <v>212</v>
      </c>
      <c r="P67" s="147">
        <f>'Future Improve'!D14</f>
        <v>700000</v>
      </c>
      <c r="Q67" s="920"/>
      <c r="S67" s="546">
        <f>4.5486</f>
        <v>4.5486000000000004</v>
      </c>
      <c r="T67" s="45"/>
      <c r="U67" s="45">
        <v>0.85</v>
      </c>
      <c r="V67" s="572">
        <f t="shared" si="33"/>
        <v>0.85</v>
      </c>
      <c r="W67" s="572">
        <f t="shared" si="34"/>
        <v>3.8663100000000004</v>
      </c>
      <c r="X67" s="577">
        <f t="shared" si="35"/>
        <v>-321.89457500000003</v>
      </c>
      <c r="Z67" s="579">
        <f>W67+W54+W79</f>
        <v>325.76088500000003</v>
      </c>
      <c r="AA67" s="577">
        <f t="shared" si="36"/>
        <v>0</v>
      </c>
    </row>
    <row r="68" spans="1:27" s="46" customFormat="1" x14ac:dyDescent="0.2">
      <c r="A68" s="917"/>
      <c r="B68" s="87" t="s">
        <v>137</v>
      </c>
      <c r="C68" s="546">
        <f>0.85*51.2758+C55</f>
        <v>57.559279999999994</v>
      </c>
      <c r="D68" s="89">
        <f t="shared" si="30"/>
        <v>0.5</v>
      </c>
      <c r="E68" s="90">
        <f t="shared" si="12"/>
        <v>28.779639999999997</v>
      </c>
      <c r="F68" s="91">
        <f t="shared" si="31"/>
        <v>5.4630443325376379E-2</v>
      </c>
      <c r="G68" s="92">
        <f t="shared" si="32"/>
        <v>170766.48308994924</v>
      </c>
      <c r="H68" s="92">
        <f t="shared" si="14"/>
        <v>2966.7932449806399</v>
      </c>
      <c r="I68" s="95">
        <f>H68/(VLOOKUP(B68,$O$124:$Q$149,3,FALSE))</f>
        <v>296.67932449806398</v>
      </c>
      <c r="J68" s="228">
        <f>C68*VLOOKUP(B68,$O$124:$R$149,3,FALSE)</f>
        <v>575.5927999999999</v>
      </c>
      <c r="K68" s="228">
        <f>J68*VLOOKUP(B68,$O$124:$R$149,4,FALSE)</f>
        <v>535.30130399999996</v>
      </c>
      <c r="L68" s="931"/>
      <c r="M68" s="932"/>
      <c r="N68" s="932"/>
      <c r="O68" s="147" t="s">
        <v>219</v>
      </c>
      <c r="P68" s="147">
        <f>SUM('Levee &amp; Monitor'!E21:E23)</f>
        <v>240000</v>
      </c>
      <c r="Q68" s="921"/>
      <c r="S68" s="546">
        <f>51.2758</f>
        <v>51.275799999999997</v>
      </c>
      <c r="T68" s="45"/>
      <c r="U68" s="45">
        <v>0.85</v>
      </c>
      <c r="V68" s="572">
        <f t="shared" si="33"/>
        <v>0.85</v>
      </c>
      <c r="W68" s="572">
        <f t="shared" si="34"/>
        <v>43.584429999999998</v>
      </c>
      <c r="X68" s="577">
        <f t="shared" si="35"/>
        <v>-13.974849999999996</v>
      </c>
      <c r="Z68" s="579">
        <f>W68+W55</f>
        <v>57.559279999999994</v>
      </c>
      <c r="AA68" s="577">
        <f t="shared" si="36"/>
        <v>0</v>
      </c>
    </row>
    <row r="69" spans="1:27" s="46" customFormat="1" x14ac:dyDescent="0.2">
      <c r="A69" s="917"/>
      <c r="B69" s="87" t="s">
        <v>145</v>
      </c>
      <c r="C69" s="546">
        <f>0.85*23.2902+C56+C80</f>
        <v>30.105129999999999</v>
      </c>
      <c r="D69" s="89">
        <f t="shared" si="30"/>
        <v>0.9</v>
      </c>
      <c r="E69" s="90">
        <f t="shared" si="12"/>
        <v>27.094617</v>
      </c>
      <c r="F69" s="91">
        <f t="shared" si="31"/>
        <v>5.1431878176421926E-2</v>
      </c>
      <c r="G69" s="92">
        <f t="shared" si="32"/>
        <v>160768.25338187523</v>
      </c>
      <c r="H69" s="93">
        <f t="shared" si="14"/>
        <v>5340.2278409651526</v>
      </c>
      <c r="I69" s="92"/>
      <c r="J69" s="230"/>
      <c r="K69" s="228">
        <f>C69*VLOOKUP(B69,$O$124:$R$149,4,FALSE)</f>
        <v>531.35554449999995</v>
      </c>
      <c r="L69" s="931"/>
      <c r="M69" s="932"/>
      <c r="N69" s="932"/>
      <c r="O69" s="165" t="s">
        <v>220</v>
      </c>
      <c r="P69" s="165">
        <f>0.19*Q62</f>
        <v>258542.86114456577</v>
      </c>
      <c r="Q69" s="189"/>
      <c r="S69" s="546">
        <f>23.2902</f>
        <v>23.290199999999999</v>
      </c>
      <c r="T69" s="45"/>
      <c r="U69" s="45">
        <v>0.85</v>
      </c>
      <c r="V69" s="572">
        <f t="shared" si="33"/>
        <v>0.85</v>
      </c>
      <c r="W69" s="572">
        <f t="shared" si="34"/>
        <v>19.796669999999999</v>
      </c>
      <c r="X69" s="577">
        <f t="shared" si="35"/>
        <v>-10.30846</v>
      </c>
      <c r="Z69" s="579">
        <f>W69+W56+W80</f>
        <v>30.105129999999999</v>
      </c>
      <c r="AA69" s="577">
        <f t="shared" si="36"/>
        <v>0</v>
      </c>
    </row>
    <row r="70" spans="1:27" s="46" customFormat="1" x14ac:dyDescent="0.2">
      <c r="A70" s="917"/>
      <c r="B70" s="87" t="s">
        <v>134</v>
      </c>
      <c r="C70" s="546">
        <f>0.85*14.2135</f>
        <v>12.081474999999999</v>
      </c>
      <c r="D70" s="89">
        <f t="shared" si="30"/>
        <v>0.1</v>
      </c>
      <c r="E70" s="90">
        <f t="shared" si="12"/>
        <v>1.2081474999999999</v>
      </c>
      <c r="F70" s="91">
        <f t="shared" si="31"/>
        <v>2.2933446536317049E-3</v>
      </c>
      <c r="G70" s="92">
        <f t="shared" si="32"/>
        <v>7168.6476838804947</v>
      </c>
      <c r="H70" s="93">
        <f t="shared" si="14"/>
        <v>593.35864899612795</v>
      </c>
      <c r="I70" s="92"/>
      <c r="J70" s="230"/>
      <c r="K70" s="228">
        <f>C70*VLOOKUP(B70,$O$124:$R$149,4,FALSE)</f>
        <v>0</v>
      </c>
      <c r="L70" s="931"/>
      <c r="M70" s="932"/>
      <c r="N70" s="932"/>
      <c r="O70" s="165" t="s">
        <v>221</v>
      </c>
      <c r="P70" s="165">
        <f>0.02*Q62*0</f>
        <v>0</v>
      </c>
      <c r="S70" s="546">
        <f>14.2135</f>
        <v>14.2135</v>
      </c>
      <c r="T70" s="45"/>
      <c r="U70" s="45">
        <v>0.85</v>
      </c>
      <c r="V70" s="572">
        <f t="shared" si="33"/>
        <v>0.85</v>
      </c>
      <c r="W70" s="572">
        <f t="shared" si="34"/>
        <v>12.081474999999999</v>
      </c>
      <c r="X70" s="577">
        <f t="shared" si="35"/>
        <v>0</v>
      </c>
      <c r="Z70" s="579">
        <f>W70</f>
        <v>12.081474999999999</v>
      </c>
      <c r="AA70" s="577">
        <f t="shared" si="36"/>
        <v>0</v>
      </c>
    </row>
    <row r="71" spans="1:27" s="46" customFormat="1" x14ac:dyDescent="0.2">
      <c r="A71" s="918"/>
      <c r="B71" s="87" t="s">
        <v>136</v>
      </c>
      <c r="C71" s="546">
        <f>0.85*0.8327+C81</f>
        <v>44.56635</v>
      </c>
      <c r="D71" s="89">
        <f t="shared" si="30"/>
        <v>0.1</v>
      </c>
      <c r="E71" s="90">
        <f t="shared" si="12"/>
        <v>4.4566350000000003</v>
      </c>
      <c r="F71" s="91">
        <f t="shared" si="31"/>
        <v>8.4597286758760284E-3</v>
      </c>
      <c r="G71" s="92">
        <f t="shared" si="32"/>
        <v>26443.829226688591</v>
      </c>
      <c r="H71" s="93">
        <f t="shared" si="14"/>
        <v>593.35864899612807</v>
      </c>
      <c r="I71" s="92"/>
      <c r="J71" s="230"/>
      <c r="K71" s="228">
        <f>C71*VLOOKUP(B71,$O$124:$R$149,4,FALSE)</f>
        <v>44.56635</v>
      </c>
      <c r="L71" s="931"/>
      <c r="M71" s="932"/>
      <c r="N71" s="932"/>
      <c r="O71" s="165" t="s">
        <v>222</v>
      </c>
      <c r="P71" s="165">
        <v>500000</v>
      </c>
      <c r="S71" s="546">
        <f>0.8327</f>
        <v>0.8327</v>
      </c>
      <c r="T71" s="269"/>
      <c r="U71" s="269">
        <v>0.85</v>
      </c>
      <c r="V71" s="575">
        <f t="shared" si="33"/>
        <v>0.85</v>
      </c>
      <c r="W71" s="575">
        <f t="shared" si="34"/>
        <v>0.70779499999999995</v>
      </c>
      <c r="X71" s="577">
        <f t="shared" si="35"/>
        <v>-43.858555000000003</v>
      </c>
      <c r="Z71" s="580">
        <f>W71+W81</f>
        <v>44.56635</v>
      </c>
      <c r="AA71" s="578">
        <f t="shared" si="36"/>
        <v>0</v>
      </c>
    </row>
    <row r="72" spans="1:27" s="46" customFormat="1" x14ac:dyDescent="0.2">
      <c r="A72" s="273" t="s">
        <v>253</v>
      </c>
      <c r="B72" s="274"/>
      <c r="C72" s="256"/>
      <c r="D72" s="250"/>
      <c r="E72" s="251"/>
      <c r="F72" s="252">
        <f>SUM(F61:F71)</f>
        <v>1.0000000000000002</v>
      </c>
      <c r="G72" s="160">
        <f>SUM(G61:G71)</f>
        <v>3125848.3859058591</v>
      </c>
      <c r="H72" s="101"/>
      <c r="I72" s="101"/>
      <c r="J72" s="229"/>
      <c r="K72" s="235">
        <f>SUM(K61:K71)</f>
        <v>10040.669195750001</v>
      </c>
      <c r="L72" s="99"/>
      <c r="M72" s="98"/>
      <c r="N72" s="98"/>
      <c r="O72" s="526" t="s">
        <v>232</v>
      </c>
      <c r="P72" s="526">
        <f>0.518*1.2*(Q62+P69)</f>
        <v>1006553.6240004204</v>
      </c>
      <c r="S72" s="98">
        <f>SUM(S61:S71)</f>
        <v>351.22140000000002</v>
      </c>
      <c r="W72" s="98">
        <f>SUM(W61:W71)</f>
        <v>298.53818999999999</v>
      </c>
      <c r="Z72" s="98">
        <f>SUM(Z61:Z71)</f>
        <v>880.19896999999992</v>
      </c>
      <c r="AA72" s="98">
        <f>SUM(AA61:AA71)</f>
        <v>0</v>
      </c>
    </row>
    <row r="73" spans="1:27" s="46" customFormat="1" x14ac:dyDescent="0.2">
      <c r="A73" s="275" t="s">
        <v>323</v>
      </c>
      <c r="B73" s="276"/>
      <c r="C73" s="922" t="s">
        <v>325</v>
      </c>
      <c r="D73" s="922"/>
      <c r="E73" s="922"/>
      <c r="F73" s="922"/>
      <c r="G73" s="923"/>
      <c r="H73" s="101"/>
      <c r="I73" s="101"/>
      <c r="J73" s="229"/>
      <c r="K73" s="229"/>
      <c r="L73" s="99"/>
      <c r="M73" s="98"/>
      <c r="N73" s="98"/>
      <c r="O73" s="193"/>
      <c r="P73" s="193"/>
    </row>
    <row r="74" spans="1:27" s="46" customFormat="1" x14ac:dyDescent="0.2">
      <c r="A74" s="571" t="s">
        <v>351</v>
      </c>
      <c r="B74" s="97"/>
      <c r="C74" s="97"/>
      <c r="D74" s="98"/>
      <c r="E74" s="99"/>
      <c r="F74" s="100"/>
      <c r="G74" s="101"/>
      <c r="H74" s="101"/>
      <c r="I74" s="101"/>
      <c r="J74" s="229"/>
      <c r="K74" s="229"/>
      <c r="L74" s="99"/>
      <c r="M74" s="98"/>
      <c r="N74" s="98"/>
      <c r="O74" s="193"/>
      <c r="P74" s="193"/>
      <c r="X74" s="577">
        <f t="shared" ref="X74:X81" si="37">W74-C74</f>
        <v>0</v>
      </c>
    </row>
    <row r="75" spans="1:27" s="46" customFormat="1" x14ac:dyDescent="0.2">
      <c r="A75" s="939" t="s">
        <v>162</v>
      </c>
      <c r="B75" s="550" t="s">
        <v>142</v>
      </c>
      <c r="C75" s="551">
        <f>0.85*53.3856</f>
        <v>45.377759999999995</v>
      </c>
      <c r="D75" s="552">
        <f t="shared" ref="D75:D81" si="38">VLOOKUP(B75,$O$124:$P$149,2,FALSE)</f>
        <v>0.9</v>
      </c>
      <c r="E75" s="553">
        <f t="shared" si="12"/>
        <v>40.839983999999994</v>
      </c>
      <c r="F75" s="554">
        <f t="shared" ref="F75:F80" si="39">E75/($L$75*$M$75)</f>
        <v>0.16744794104409891</v>
      </c>
      <c r="G75" s="555">
        <f t="shared" ref="G75:G81" si="40">$O$75*F75</f>
        <v>191307.82734832886</v>
      </c>
      <c r="H75" s="555">
        <f t="shared" si="14"/>
        <v>4215.8940271253778</v>
      </c>
      <c r="I75" s="555"/>
      <c r="J75" s="556"/>
      <c r="K75" s="556">
        <f>C75*VLOOKUP(B75,$O$124:$R$149,4,FALSE)</f>
        <v>800.91746399999988</v>
      </c>
      <c r="L75" s="940">
        <f>SUM(C75:C81)</f>
        <v>366.58715000000001</v>
      </c>
      <c r="M75" s="941">
        <f>SUM(E75:E81)/L75</f>
        <v>0.6653168366648966</v>
      </c>
      <c r="N75" s="941">
        <f>L75*M75</f>
        <v>243.89660299999997</v>
      </c>
      <c r="O75" s="942">
        <f>SUM(P76:P85)</f>
        <v>1142491.3686931883</v>
      </c>
      <c r="P75" s="942"/>
      <c r="Q75" s="557"/>
      <c r="S75" s="551">
        <f>53.3856</f>
        <v>53.385599999999997</v>
      </c>
      <c r="T75" s="45"/>
      <c r="U75" s="45">
        <v>0.85</v>
      </c>
      <c r="V75" s="572">
        <f t="shared" ref="V75:V81" si="41">IF(AND(T75="",U75=""),0,IF(AND(T75&gt;0,U75&gt;0),T75*U75,IF(T75&gt;0,T75,U75)))</f>
        <v>0.85</v>
      </c>
      <c r="W75" s="572">
        <f t="shared" ref="W75:W81" si="42">IF(V75&gt;0,V75*S75,S75)</f>
        <v>45.377759999999995</v>
      </c>
      <c r="X75" s="577">
        <f t="shared" si="37"/>
        <v>0</v>
      </c>
    </row>
    <row r="76" spans="1:27" s="46" customFormat="1" x14ac:dyDescent="0.2">
      <c r="A76" s="939"/>
      <c r="B76" s="550" t="s">
        <v>143</v>
      </c>
      <c r="C76" s="551">
        <f>0.85*38.6431</f>
        <v>32.846634999999999</v>
      </c>
      <c r="D76" s="552">
        <f t="shared" si="38"/>
        <v>0.9</v>
      </c>
      <c r="E76" s="553">
        <f t="shared" si="12"/>
        <v>29.561971499999999</v>
      </c>
      <c r="F76" s="554">
        <f t="shared" si="39"/>
        <v>0.12120698335433562</v>
      </c>
      <c r="G76" s="555">
        <f t="shared" si="40"/>
        <v>138477.93230766739</v>
      </c>
      <c r="H76" s="555">
        <f t="shared" si="14"/>
        <v>4215.8940271253778</v>
      </c>
      <c r="I76" s="555"/>
      <c r="J76" s="556"/>
      <c r="K76" s="556">
        <f>C76*VLOOKUP(B76,$O$124:$R$149,4,FALSE)</f>
        <v>579.74310774999992</v>
      </c>
      <c r="L76" s="940"/>
      <c r="M76" s="941"/>
      <c r="N76" s="941"/>
      <c r="O76" s="558" t="s">
        <v>202</v>
      </c>
      <c r="P76" s="558">
        <v>0</v>
      </c>
      <c r="Q76" s="943">
        <f>SUM(P76:P81)</f>
        <v>332948.14577426808</v>
      </c>
      <c r="S76" s="551">
        <f>38.6431</f>
        <v>38.643099999999997</v>
      </c>
      <c r="T76" s="45"/>
      <c r="U76" s="45">
        <v>0.85</v>
      </c>
      <c r="V76" s="572">
        <f t="shared" si="41"/>
        <v>0.85</v>
      </c>
      <c r="W76" s="572">
        <f t="shared" si="42"/>
        <v>32.846634999999999</v>
      </c>
      <c r="X76" s="577">
        <f t="shared" si="37"/>
        <v>0</v>
      </c>
    </row>
    <row r="77" spans="1:27" s="46" customFormat="1" x14ac:dyDescent="0.2">
      <c r="A77" s="939"/>
      <c r="B77" s="550" t="s">
        <v>146</v>
      </c>
      <c r="C77" s="551">
        <f>0.85*26.0655</f>
        <v>22.155674999999999</v>
      </c>
      <c r="D77" s="552">
        <f t="shared" si="38"/>
        <v>0.7</v>
      </c>
      <c r="E77" s="553">
        <f t="shared" si="12"/>
        <v>15.508972499999999</v>
      </c>
      <c r="F77" s="554">
        <f t="shared" si="39"/>
        <v>6.3588308771975799E-2</v>
      </c>
      <c r="G77" s="555">
        <f t="shared" si="40"/>
        <v>72649.093921779699</v>
      </c>
      <c r="H77" s="555">
        <f t="shared" si="14"/>
        <v>3279.0286877641825</v>
      </c>
      <c r="I77" s="555"/>
      <c r="J77" s="556"/>
      <c r="K77" s="556">
        <f>C77*VLOOKUP(B77,$O$124:$R$149,4,FALSE)</f>
        <v>304.19741775</v>
      </c>
      <c r="L77" s="940"/>
      <c r="M77" s="941"/>
      <c r="N77" s="941"/>
      <c r="O77" s="558" t="s">
        <v>206</v>
      </c>
      <c r="P77" s="558">
        <f>N75/($N$3+$N$15+$N$34+$N$50+$N$61+$N$75+$N$87)*'Future Improve'!$D$8</f>
        <v>48678.787530761583</v>
      </c>
      <c r="Q77" s="943"/>
      <c r="S77" s="551">
        <f>26.0655</f>
        <v>26.0655</v>
      </c>
      <c r="T77" s="45"/>
      <c r="U77" s="45">
        <v>0.85</v>
      </c>
      <c r="V77" s="572">
        <f t="shared" si="41"/>
        <v>0.85</v>
      </c>
      <c r="W77" s="572">
        <f t="shared" si="42"/>
        <v>22.155674999999999</v>
      </c>
      <c r="X77" s="577">
        <f t="shared" si="37"/>
        <v>0</v>
      </c>
    </row>
    <row r="78" spans="1:27" s="46" customFormat="1" x14ac:dyDescent="0.2">
      <c r="A78" s="939"/>
      <c r="B78" s="550" t="s">
        <v>135</v>
      </c>
      <c r="C78" s="551">
        <f>0.85*11.4371</f>
        <v>9.7215349999999994</v>
      </c>
      <c r="D78" s="552">
        <f t="shared" si="38"/>
        <v>0.3</v>
      </c>
      <c r="E78" s="553">
        <f t="shared" si="12"/>
        <v>2.9164604999999999</v>
      </c>
      <c r="F78" s="554">
        <f t="shared" si="39"/>
        <v>1.1957774172033057E-2</v>
      </c>
      <c r="G78" s="555">
        <f t="shared" si="40"/>
        <v>13661.653780330103</v>
      </c>
      <c r="H78" s="555">
        <f t="shared" si="14"/>
        <v>1405.2980090417927</v>
      </c>
      <c r="I78" s="555">
        <f>H78/(VLOOKUP(B78,$O$124:$Q$149,3,FALSE))</f>
        <v>281.05960180835854</v>
      </c>
      <c r="J78" s="556">
        <f>C78*VLOOKUP(B78,$O$124:$R$149,3,FALSE)</f>
        <v>48.607675</v>
      </c>
      <c r="K78" s="556">
        <f>J78*VLOOKUP(B78,$O$124:$R$149,4,FALSE)</f>
        <v>48.607675</v>
      </c>
      <c r="L78" s="940"/>
      <c r="M78" s="941"/>
      <c r="N78" s="941"/>
      <c r="O78" s="558" t="s">
        <v>207</v>
      </c>
      <c r="P78" s="558">
        <f>N75/($N$15+$N$34+$N$50+$N$61+$N$75+$N$87)*'Future Improve'!$D$9</f>
        <v>42320.809468202599</v>
      </c>
      <c r="Q78" s="943"/>
      <c r="S78" s="551">
        <f>11.4371</f>
        <v>11.437099999999999</v>
      </c>
      <c r="T78" s="45"/>
      <c r="U78" s="45">
        <v>0.85</v>
      </c>
      <c r="V78" s="572">
        <f t="shared" si="41"/>
        <v>0.85</v>
      </c>
      <c r="W78" s="572">
        <f t="shared" si="42"/>
        <v>9.7215349999999994</v>
      </c>
      <c r="X78" s="577">
        <f t="shared" si="37"/>
        <v>0</v>
      </c>
    </row>
    <row r="79" spans="1:27" s="46" customFormat="1" x14ac:dyDescent="0.2">
      <c r="A79" s="939"/>
      <c r="B79" s="550" t="s">
        <v>148</v>
      </c>
      <c r="C79" s="551">
        <f>0.85*239.2996</f>
        <v>203.40466000000001</v>
      </c>
      <c r="D79" s="552">
        <f t="shared" si="38"/>
        <v>0.7</v>
      </c>
      <c r="E79" s="553">
        <f t="shared" si="12"/>
        <v>142.383262</v>
      </c>
      <c r="F79" s="554">
        <f t="shared" si="39"/>
        <v>0.58378534284054795</v>
      </c>
      <c r="G79" s="555">
        <f t="shared" si="40"/>
        <v>666969.71536491986</v>
      </c>
      <c r="H79" s="555">
        <f t="shared" si="14"/>
        <v>3279.0286877641834</v>
      </c>
      <c r="I79" s="555"/>
      <c r="J79" s="556"/>
      <c r="K79" s="556">
        <f>C79*VLOOKUP(B79,$O$124:$R$149,4,FALSE)</f>
        <v>2792.7459818000002</v>
      </c>
      <c r="L79" s="940"/>
      <c r="M79" s="941"/>
      <c r="N79" s="941"/>
      <c r="O79" s="558" t="s">
        <v>209</v>
      </c>
      <c r="P79" s="558">
        <f>N75/($N$50+$N$61+$N$75+$N$87)*'Future Improve'!$D$10</f>
        <v>46645.482411783974</v>
      </c>
      <c r="Q79" s="943"/>
      <c r="S79" s="551">
        <f>239.2996</f>
        <v>239.2996</v>
      </c>
      <c r="T79" s="45"/>
      <c r="U79" s="45">
        <v>0.85</v>
      </c>
      <c r="V79" s="572">
        <f t="shared" si="41"/>
        <v>0.85</v>
      </c>
      <c r="W79" s="572">
        <f t="shared" si="42"/>
        <v>203.40466000000001</v>
      </c>
      <c r="X79" s="577">
        <f t="shared" si="37"/>
        <v>0</v>
      </c>
    </row>
    <row r="80" spans="1:27" s="46" customFormat="1" x14ac:dyDescent="0.2">
      <c r="A80" s="939"/>
      <c r="B80" s="550" t="s">
        <v>145</v>
      </c>
      <c r="C80" s="551">
        <f>0.85*10.8498</f>
        <v>9.2223299999999995</v>
      </c>
      <c r="D80" s="552">
        <f t="shared" si="38"/>
        <v>0.9</v>
      </c>
      <c r="E80" s="553">
        <f t="shared" si="12"/>
        <v>8.3000969999999992</v>
      </c>
      <c r="F80" s="554">
        <f t="shared" si="39"/>
        <v>3.4031211988631099E-2</v>
      </c>
      <c r="G80" s="555">
        <f t="shared" si="40"/>
        <v>38880.365963179182</v>
      </c>
      <c r="H80" s="555">
        <f t="shared" si="14"/>
        <v>4215.8940271253778</v>
      </c>
      <c r="I80" s="555"/>
      <c r="J80" s="556"/>
      <c r="K80" s="556">
        <f>C80*VLOOKUP(B80,$O$124:$R$149,4,FALSE)</f>
        <v>162.77412449999997</v>
      </c>
      <c r="L80" s="940"/>
      <c r="M80" s="941"/>
      <c r="N80" s="941"/>
      <c r="O80" s="558" t="s">
        <v>210</v>
      </c>
      <c r="P80" s="558">
        <f>N75/($N$75+$N$87)*'Future Improve'!$D$11</f>
        <v>35303.066363519967</v>
      </c>
      <c r="Q80" s="943"/>
      <c r="S80" s="551">
        <f>10.8498</f>
        <v>10.8498</v>
      </c>
      <c r="T80" s="45"/>
      <c r="U80" s="45">
        <v>0.85</v>
      </c>
      <c r="V80" s="572">
        <f t="shared" si="41"/>
        <v>0.85</v>
      </c>
      <c r="W80" s="572">
        <f t="shared" si="42"/>
        <v>9.2223299999999995</v>
      </c>
      <c r="X80" s="577">
        <f t="shared" si="37"/>
        <v>0</v>
      </c>
    </row>
    <row r="81" spans="1:29" s="46" customFormat="1" x14ac:dyDescent="0.2">
      <c r="A81" s="939"/>
      <c r="B81" s="550" t="s">
        <v>136</v>
      </c>
      <c r="C81" s="551">
        <f>0.85*51.5983</f>
        <v>43.858555000000003</v>
      </c>
      <c r="D81" s="552">
        <f t="shared" si="38"/>
        <v>0.1</v>
      </c>
      <c r="E81" s="553">
        <f t="shared" si="12"/>
        <v>4.3858555000000008</v>
      </c>
      <c r="F81" s="554">
        <f>E81/($L$75*$M$75)</f>
        <v>1.7982437828377631E-2</v>
      </c>
      <c r="G81" s="555">
        <f t="shared" si="40"/>
        <v>20544.780006983325</v>
      </c>
      <c r="H81" s="555">
        <f t="shared" si="14"/>
        <v>468.43266968059766</v>
      </c>
      <c r="I81" s="555"/>
      <c r="J81" s="556"/>
      <c r="K81" s="556">
        <f>C81*VLOOKUP(B81,$O$124:$R$149,4,FALSE)</f>
        <v>43.858555000000003</v>
      </c>
      <c r="L81" s="940"/>
      <c r="M81" s="941"/>
      <c r="N81" s="941"/>
      <c r="O81" s="558" t="s">
        <v>219</v>
      </c>
      <c r="P81" s="558">
        <f>'Levee &amp; Monitor'!E23+'Levee &amp; Monitor'!E25+'Levee &amp; Monitor'!E26</f>
        <v>160000</v>
      </c>
      <c r="Q81" s="943"/>
      <c r="S81" s="551">
        <f>51.5983</f>
        <v>51.598300000000002</v>
      </c>
      <c r="T81" s="269"/>
      <c r="U81" s="269">
        <v>0.85</v>
      </c>
      <c r="V81" s="575">
        <f t="shared" si="41"/>
        <v>0.85</v>
      </c>
      <c r="W81" s="575">
        <f t="shared" si="42"/>
        <v>43.858555000000003</v>
      </c>
      <c r="X81" s="577">
        <f t="shared" si="37"/>
        <v>0</v>
      </c>
    </row>
    <row r="82" spans="1:29" s="46" customFormat="1" x14ac:dyDescent="0.2">
      <c r="A82" s="560"/>
      <c r="B82" s="561"/>
      <c r="C82" s="561"/>
      <c r="D82" s="562"/>
      <c r="E82" s="563"/>
      <c r="F82" s="564">
        <f>SUM(F75:F81)</f>
        <v>1</v>
      </c>
      <c r="G82" s="565">
        <f>SUM(G75:G81)</f>
        <v>1142491.3686931883</v>
      </c>
      <c r="H82" s="566"/>
      <c r="I82" s="566"/>
      <c r="J82" s="567"/>
      <c r="K82" s="568">
        <f>SUM(K75:K81)</f>
        <v>4732.8443257999998</v>
      </c>
      <c r="L82" s="563"/>
      <c r="M82" s="562"/>
      <c r="N82" s="562"/>
      <c r="O82" s="558" t="s">
        <v>220</v>
      </c>
      <c r="P82" s="558">
        <f>0.19*Q76</f>
        <v>63260.147697110937</v>
      </c>
      <c r="Q82" s="559"/>
      <c r="S82" s="98">
        <f>SUM(S75:S81)</f>
        <v>431.279</v>
      </c>
      <c r="W82" s="98">
        <f>SUM(W75:W81)</f>
        <v>366.58715000000001</v>
      </c>
    </row>
    <row r="83" spans="1:29" s="46" customFormat="1" x14ac:dyDescent="0.2">
      <c r="A83" s="560"/>
      <c r="B83" s="561"/>
      <c r="C83" s="561"/>
      <c r="D83" s="562"/>
      <c r="E83" s="563"/>
      <c r="F83" s="569"/>
      <c r="G83" s="566"/>
      <c r="H83" s="566"/>
      <c r="I83" s="566"/>
      <c r="J83" s="567"/>
      <c r="K83" s="567"/>
      <c r="L83" s="563"/>
      <c r="M83" s="562"/>
      <c r="N83" s="562"/>
      <c r="O83" s="558" t="s">
        <v>221</v>
      </c>
      <c r="P83" s="558">
        <f>0.02*Q76*0</f>
        <v>0</v>
      </c>
      <c r="Q83" s="557"/>
    </row>
    <row r="84" spans="1:29" s="46" customFormat="1" x14ac:dyDescent="0.2">
      <c r="A84" s="560"/>
      <c r="B84" s="561"/>
      <c r="C84" s="561"/>
      <c r="D84" s="562"/>
      <c r="E84" s="563"/>
      <c r="F84" s="569"/>
      <c r="G84" s="566"/>
      <c r="H84" s="566"/>
      <c r="I84" s="566"/>
      <c r="J84" s="567"/>
      <c r="K84" s="567"/>
      <c r="L84" s="563"/>
      <c r="M84" s="562"/>
      <c r="N84" s="562"/>
      <c r="O84" s="558" t="s">
        <v>222</v>
      </c>
      <c r="P84" s="558">
        <v>500000</v>
      </c>
      <c r="Q84" s="557"/>
    </row>
    <row r="85" spans="1:29" s="46" customFormat="1" x14ac:dyDescent="0.2">
      <c r="A85" s="560"/>
      <c r="B85" s="561"/>
      <c r="C85" s="561"/>
      <c r="D85" s="562"/>
      <c r="E85" s="563"/>
      <c r="F85" s="569"/>
      <c r="G85" s="566"/>
      <c r="H85" s="566"/>
      <c r="I85" s="566"/>
      <c r="J85" s="567"/>
      <c r="K85" s="567"/>
      <c r="L85" s="563"/>
      <c r="M85" s="562"/>
      <c r="N85" s="562"/>
      <c r="O85" s="570" t="s">
        <v>232</v>
      </c>
      <c r="P85" s="570">
        <f>0.518*1.2*(Q76+P82)</f>
        <v>246283.07522180921</v>
      </c>
      <c r="Q85" s="557"/>
    </row>
    <row r="86" spans="1:29" s="46" customFormat="1" ht="38.25" x14ac:dyDescent="0.2">
      <c r="A86" s="96"/>
      <c r="B86" s="97"/>
      <c r="C86" s="476" t="s">
        <v>305</v>
      </c>
      <c r="D86" s="98"/>
      <c r="E86" s="99"/>
      <c r="F86" s="161"/>
      <c r="G86" s="162"/>
      <c r="H86" s="101"/>
      <c r="I86" s="101"/>
      <c r="J86" s="229"/>
      <c r="K86" s="229"/>
      <c r="L86" s="99"/>
      <c r="M86" s="98"/>
      <c r="N86" s="98"/>
      <c r="O86" s="193"/>
      <c r="P86" s="193"/>
      <c r="Z86" s="604" t="s">
        <v>262</v>
      </c>
      <c r="AA86" s="605" t="s">
        <v>378</v>
      </c>
      <c r="AB86" s="605" t="s">
        <v>379</v>
      </c>
      <c r="AC86" s="606"/>
    </row>
    <row r="87" spans="1:29" s="46" customFormat="1" x14ac:dyDescent="0.2">
      <c r="A87" s="936" t="s">
        <v>163</v>
      </c>
      <c r="B87" s="279" t="s">
        <v>229</v>
      </c>
      <c r="C87" s="179">
        <f>0.5*0.85*116.4719</f>
        <v>49.500557499999999</v>
      </c>
      <c r="D87" s="89">
        <f t="shared" ref="D87:D105" si="43">VLOOKUP(B87,$O$124:$P$149,2,FALSE)</f>
        <v>0.3</v>
      </c>
      <c r="E87" s="90">
        <f t="shared" ref="E87:E120" si="44">C87*D87</f>
        <v>14.850167249999998</v>
      </c>
      <c r="F87" s="91">
        <f t="shared" ref="F87:F105" si="45">E87/($L$87*$M$87)</f>
        <v>1.1331247138218103E-2</v>
      </c>
      <c r="G87" s="92">
        <f t="shared" ref="G87:G105" si="46">$O$87*F87</f>
        <v>169749.71281759423</v>
      </c>
      <c r="H87" s="92">
        <f t="shared" si="14"/>
        <v>3429.2485052838897</v>
      </c>
      <c r="I87" s="95">
        <f>H87/(VLOOKUP(B87,$O$124:$Q$149,3,FALSE))</f>
        <v>685.84970105677792</v>
      </c>
      <c r="J87" s="228">
        <f>C87*VLOOKUP(B87,$O$124:$R$149,3,FALSE)</f>
        <v>247.50278750000001</v>
      </c>
      <c r="K87" s="228">
        <f>J87*VLOOKUP(B87,$O$124:$R$149,4,FALSE)</f>
        <v>247.50278750000001</v>
      </c>
      <c r="L87" s="937">
        <f>SUM(C87:C105)</f>
        <v>3306.3592137499995</v>
      </c>
      <c r="M87" s="932">
        <f>SUM(E87:E105)/L87</f>
        <v>0.39637257513487262</v>
      </c>
      <c r="N87" s="932">
        <f>L87*M87</f>
        <v>1310.5501158750001</v>
      </c>
      <c r="O87" s="933">
        <f>SUM(P88:P98)</f>
        <v>14980673.41987991</v>
      </c>
      <c r="P87" s="933"/>
      <c r="S87" s="179">
        <f>AC87</f>
        <v>116.47190000000001</v>
      </c>
      <c r="T87" s="45">
        <v>0.5</v>
      </c>
      <c r="U87" s="45">
        <v>0.85</v>
      </c>
      <c r="V87" s="572">
        <f t="shared" ref="V87:V105" si="47">IF(AND(T87="",U87=""),0,IF(AND(T87&gt;0,U87&gt;0),T87*U87,IF(T87&gt;0,T87,U87)))</f>
        <v>0.42499999999999999</v>
      </c>
      <c r="W87" s="572">
        <f t="shared" ref="W87:W105" si="48">IF(V87&gt;0,V87*S87,S87)</f>
        <v>49.500557499999999</v>
      </c>
      <c r="X87" s="577">
        <f t="shared" ref="X87:X105" si="49">W87-C87</f>
        <v>0</v>
      </c>
      <c r="Z87" s="603">
        <f>116.4719</f>
        <v>116.47190000000001</v>
      </c>
      <c r="AC87" s="98">
        <f>Z87-AA87+AB87</f>
        <v>116.47190000000001</v>
      </c>
    </row>
    <row r="88" spans="1:29" s="46" customFormat="1" x14ac:dyDescent="0.2">
      <c r="A88" s="936"/>
      <c r="B88" s="87" t="s">
        <v>142</v>
      </c>
      <c r="C88" s="475">
        <f>0.85*(130.7478-'Summary+Austin (Shed D)'!$O$87)</f>
        <v>39.820630000000001</v>
      </c>
      <c r="D88" s="89">
        <f t="shared" si="43"/>
        <v>0.9</v>
      </c>
      <c r="E88" s="90">
        <f t="shared" si="44"/>
        <v>35.838567000000005</v>
      </c>
      <c r="F88" s="91">
        <f t="shared" si="45"/>
        <v>2.7346201084475184E-2</v>
      </c>
      <c r="G88" s="92">
        <f t="shared" si="46"/>
        <v>409664.50772088853</v>
      </c>
      <c r="H88" s="93">
        <f t="shared" si="14"/>
        <v>10287.745515851671</v>
      </c>
      <c r="I88" s="92"/>
      <c r="J88" s="230"/>
      <c r="K88" s="228">
        <f>C88*VLOOKUP(B88,$O$124:$R$149,4,FALSE)</f>
        <v>702.83411949999993</v>
      </c>
      <c r="L88" s="937"/>
      <c r="M88" s="932"/>
      <c r="N88" s="932"/>
      <c r="O88" s="147" t="s">
        <v>202</v>
      </c>
      <c r="P88" s="147">
        <f>'South &amp; Levee'!G53-'South &amp; Levee'!F9</f>
        <v>4664773.6746070273</v>
      </c>
      <c r="Q88" s="934">
        <f>SUM(P88:P94)</f>
        <v>7504090.4822086226</v>
      </c>
      <c r="S88" s="179">
        <f t="shared" ref="S88:S105" si="50">AC88</f>
        <v>46.847800000000007</v>
      </c>
      <c r="T88" s="45"/>
      <c r="U88" s="45">
        <v>0.85</v>
      </c>
      <c r="V88" s="572">
        <f t="shared" si="47"/>
        <v>0.85</v>
      </c>
      <c r="W88" s="572">
        <f t="shared" si="48"/>
        <v>39.820630000000001</v>
      </c>
      <c r="X88" s="577">
        <f t="shared" si="49"/>
        <v>0</v>
      </c>
      <c r="Z88" s="475">
        <f>130.7478</f>
        <v>130.74780000000001</v>
      </c>
      <c r="AA88" s="475">
        <f>'Summary+Austin (Shed D)'!$O$87</f>
        <v>83.9</v>
      </c>
      <c r="AC88" s="98">
        <f t="shared" ref="AC88:AC105" si="51">Z88-AA88+AB88</f>
        <v>46.847800000000007</v>
      </c>
    </row>
    <row r="89" spans="1:29" s="46" customFormat="1" x14ac:dyDescent="0.2">
      <c r="A89" s="936"/>
      <c r="B89" s="87" t="s">
        <v>143</v>
      </c>
      <c r="C89" s="475">
        <f>0.85*(264.0133-'Summary+Austin (Shed D)'!$O$88)</f>
        <v>77.106305000000006</v>
      </c>
      <c r="D89" s="89">
        <f t="shared" si="43"/>
        <v>0.9</v>
      </c>
      <c r="E89" s="90">
        <f t="shared" si="44"/>
        <v>69.395674500000013</v>
      </c>
      <c r="F89" s="91">
        <f t="shared" si="45"/>
        <v>5.295156107301352E-2</v>
      </c>
      <c r="G89" s="92">
        <f t="shared" si="46"/>
        <v>793250.0435076413</v>
      </c>
      <c r="H89" s="93">
        <f t="shared" ref="H89:H105" si="52">G89/C89</f>
        <v>10287.74551585167</v>
      </c>
      <c r="I89" s="92"/>
      <c r="J89" s="230"/>
      <c r="K89" s="228">
        <f>C89*VLOOKUP(B89,$O$124:$R$149,4,FALSE)</f>
        <v>1360.9262832500001</v>
      </c>
      <c r="L89" s="937"/>
      <c r="M89" s="932"/>
      <c r="N89" s="932"/>
      <c r="O89" s="147" t="s">
        <v>206</v>
      </c>
      <c r="P89" s="147">
        <f>N87/($N$3+$N$15+$N$34+$N$50+$N$61+$N$75+$N$87)*'Future Improve'!$D$8</f>
        <v>261569.82038447706</v>
      </c>
      <c r="Q89" s="934"/>
      <c r="S89" s="179">
        <f t="shared" si="50"/>
        <v>90.713300000000004</v>
      </c>
      <c r="T89" s="45"/>
      <c r="U89" s="45">
        <v>0.85</v>
      </c>
      <c r="V89" s="572">
        <f t="shared" si="47"/>
        <v>0.85</v>
      </c>
      <c r="W89" s="572">
        <f t="shared" si="48"/>
        <v>77.106305000000006</v>
      </c>
      <c r="X89" s="577">
        <f t="shared" si="49"/>
        <v>0</v>
      </c>
      <c r="Z89" s="475">
        <f>264.0133</f>
        <v>264.01330000000002</v>
      </c>
      <c r="AA89" s="475">
        <f>'Summary+Austin (Shed D)'!$O$88</f>
        <v>173.3</v>
      </c>
      <c r="AC89" s="98">
        <f t="shared" si="51"/>
        <v>90.713300000000004</v>
      </c>
    </row>
    <row r="90" spans="1:29" s="46" customFormat="1" x14ac:dyDescent="0.2">
      <c r="A90" s="936"/>
      <c r="B90" s="495" t="s">
        <v>139</v>
      </c>
      <c r="C90" s="490">
        <f>0.85*(66.1414-'Summary+Austin (Shed D)'!$O$89+'Summary+Austin (Shed D)'!$I$89)</f>
        <v>38.965190000000007</v>
      </c>
      <c r="D90" s="89">
        <f t="shared" si="43"/>
        <v>0.65</v>
      </c>
      <c r="E90" s="90">
        <f t="shared" si="44"/>
        <v>25.327373500000004</v>
      </c>
      <c r="F90" s="91">
        <f t="shared" si="45"/>
        <v>1.9325757323740318E-2</v>
      </c>
      <c r="G90" s="92">
        <f t="shared" si="46"/>
        <v>289512.85905880609</v>
      </c>
      <c r="H90" s="92">
        <f t="shared" si="52"/>
        <v>7430.0384281150955</v>
      </c>
      <c r="I90" s="95">
        <f>H90/(VLOOKUP(B90,$O$124:$Q$149,3,FALSE))</f>
        <v>437.06108400677033</v>
      </c>
      <c r="J90" s="228">
        <f>C90*VLOOKUP(B90,$O$124:$R$149,3,FALSE)</f>
        <v>662.40823000000012</v>
      </c>
      <c r="K90" s="228">
        <f>J90*VLOOKUP(B90,$O$124:$R$149,4,FALSE)</f>
        <v>423.94126720000008</v>
      </c>
      <c r="L90" s="937"/>
      <c r="M90" s="932"/>
      <c r="N90" s="932"/>
      <c r="O90" s="147" t="s">
        <v>207</v>
      </c>
      <c r="P90" s="147">
        <f>N87/($N$15+$N$34+$N$50+$N$61+$N$75+$N$87)*'Future Improve'!$D$9</f>
        <v>227405.96248680315</v>
      </c>
      <c r="Q90" s="934"/>
      <c r="S90" s="179">
        <f t="shared" si="50"/>
        <v>45.841400000000007</v>
      </c>
      <c r="T90" s="45"/>
      <c r="U90" s="45">
        <v>0.85</v>
      </c>
      <c r="V90" s="572">
        <f t="shared" si="47"/>
        <v>0.85</v>
      </c>
      <c r="W90" s="572">
        <f t="shared" si="48"/>
        <v>38.965190000000007</v>
      </c>
      <c r="X90" s="577">
        <f t="shared" si="49"/>
        <v>0</v>
      </c>
      <c r="Z90" s="490">
        <f>66.1414</f>
        <v>66.141400000000004</v>
      </c>
      <c r="AA90" s="490">
        <f>'Summary+Austin (Shed D)'!$O$89</f>
        <v>46</v>
      </c>
      <c r="AB90" s="490">
        <f>'Summary+Austin (Shed D)'!$I$89</f>
        <v>25.7</v>
      </c>
      <c r="AC90" s="98">
        <f t="shared" si="51"/>
        <v>45.841400000000007</v>
      </c>
    </row>
    <row r="91" spans="1:29" s="46" customFormat="1" x14ac:dyDescent="0.2">
      <c r="A91" s="936"/>
      <c r="B91" s="87" t="s">
        <v>146</v>
      </c>
      <c r="C91" s="475">
        <f>0.85*(537.7245-'Summary+Austin (Shed D)'!$O$90)</f>
        <v>247.11582500000003</v>
      </c>
      <c r="D91" s="89">
        <f t="shared" si="43"/>
        <v>0.7</v>
      </c>
      <c r="E91" s="90">
        <f t="shared" si="44"/>
        <v>172.9810775</v>
      </c>
      <c r="F91" s="91">
        <f t="shared" si="45"/>
        <v>0.1319911962195415</v>
      </c>
      <c r="G91" s="92">
        <f t="shared" si="46"/>
        <v>1977317.0048642389</v>
      </c>
      <c r="H91" s="93">
        <f t="shared" si="52"/>
        <v>8001.5798456624079</v>
      </c>
      <c r="I91" s="92"/>
      <c r="J91" s="230"/>
      <c r="K91" s="228">
        <f>C91*VLOOKUP(B91,$O$124:$R$149,4,FALSE)</f>
        <v>3392.9002772500007</v>
      </c>
      <c r="L91" s="937"/>
      <c r="M91" s="932"/>
      <c r="N91" s="932"/>
      <c r="O91" s="147" t="s">
        <v>209</v>
      </c>
      <c r="P91" s="147">
        <f>N87/($N$50+$N$61+$N$75+$N$87)*'Future Improve'!$D$10</f>
        <v>250644.09109383446</v>
      </c>
      <c r="Q91" s="934"/>
      <c r="S91" s="179">
        <f t="shared" si="50"/>
        <v>290.72450000000003</v>
      </c>
      <c r="T91" s="45"/>
      <c r="U91" s="45">
        <v>0.85</v>
      </c>
      <c r="V91" s="572">
        <f t="shared" si="47"/>
        <v>0.85</v>
      </c>
      <c r="W91" s="572">
        <f t="shared" si="48"/>
        <v>247.11582500000003</v>
      </c>
      <c r="X91" s="577">
        <f t="shared" si="49"/>
        <v>0</v>
      </c>
      <c r="Z91" s="475">
        <f>537.7245</f>
        <v>537.72450000000003</v>
      </c>
      <c r="AA91" s="475">
        <f>'Summary+Austin (Shed D)'!$O$90</f>
        <v>247</v>
      </c>
      <c r="AC91" s="98">
        <f t="shared" si="51"/>
        <v>290.72450000000003</v>
      </c>
    </row>
    <row r="92" spans="1:29" s="46" customFormat="1" x14ac:dyDescent="0.2">
      <c r="A92" s="936"/>
      <c r="B92" s="495" t="s">
        <v>135</v>
      </c>
      <c r="C92" s="490">
        <f>0.85*(1932.381-'Summary+Austin (Shed D)'!$O$91+'Summary+Austin (Shed D)'!$I$91)</f>
        <v>1410.6438500000002</v>
      </c>
      <c r="D92" s="89">
        <f t="shared" si="43"/>
        <v>0.3</v>
      </c>
      <c r="E92" s="90">
        <f t="shared" si="44"/>
        <v>423.19315500000005</v>
      </c>
      <c r="F92" s="91">
        <f t="shared" si="45"/>
        <v>0.32291260736522959</v>
      </c>
      <c r="G92" s="92">
        <f t="shared" si="46"/>
        <v>4837448.3141004127</v>
      </c>
      <c r="H92" s="92">
        <f t="shared" si="52"/>
        <v>3429.2485052838902</v>
      </c>
      <c r="I92" s="95">
        <f>H92/(VLOOKUP(B92,$O$124:$Q$149,3,FALSE))</f>
        <v>685.84970105677803</v>
      </c>
      <c r="J92" s="228">
        <f>C92*VLOOKUP(B92,$O$124:$R$149,3,FALSE)</f>
        <v>7053.219250000001</v>
      </c>
      <c r="K92" s="228">
        <f>J92*VLOOKUP(B92,$O$124:$R$149,4,FALSE)</f>
        <v>7053.219250000001</v>
      </c>
      <c r="L92" s="937"/>
      <c r="M92" s="932"/>
      <c r="N92" s="932"/>
      <c r="O92" s="147" t="s">
        <v>210</v>
      </c>
      <c r="P92" s="147">
        <f>N87/($N$75+$N$87)*'Future Improve'!$D$11</f>
        <v>189696.93363648004</v>
      </c>
      <c r="Q92" s="934"/>
      <c r="S92" s="179">
        <f t="shared" si="50"/>
        <v>1659.5810000000001</v>
      </c>
      <c r="T92" s="45"/>
      <c r="U92" s="45">
        <v>0.85</v>
      </c>
      <c r="V92" s="572">
        <f t="shared" si="47"/>
        <v>0.85</v>
      </c>
      <c r="W92" s="572">
        <f t="shared" si="48"/>
        <v>1410.6438500000002</v>
      </c>
      <c r="X92" s="577">
        <f t="shared" si="49"/>
        <v>0</v>
      </c>
      <c r="Z92" s="490">
        <f>1932.381</f>
        <v>1932.3810000000001</v>
      </c>
      <c r="AA92" s="490">
        <f>'Summary+Austin (Shed D)'!$O$91</f>
        <v>330.4</v>
      </c>
      <c r="AB92" s="490">
        <f>'Summary+Austin (Shed D)'!$I$91</f>
        <v>57.6</v>
      </c>
      <c r="AC92" s="98">
        <f t="shared" si="51"/>
        <v>1659.5810000000001</v>
      </c>
    </row>
    <row r="93" spans="1:29" s="46" customFormat="1" x14ac:dyDescent="0.2">
      <c r="A93" s="936"/>
      <c r="B93" s="87" t="s">
        <v>148</v>
      </c>
      <c r="C93" s="88">
        <f>0.85*3.9352</f>
        <v>3.3449200000000001</v>
      </c>
      <c r="D93" s="89">
        <f t="shared" si="43"/>
        <v>0.7</v>
      </c>
      <c r="E93" s="90">
        <f t="shared" si="44"/>
        <v>2.3414440000000001</v>
      </c>
      <c r="F93" s="91">
        <f t="shared" si="45"/>
        <v>1.7866115699335273E-3</v>
      </c>
      <c r="G93" s="92">
        <f t="shared" si="46"/>
        <v>26764.644457353108</v>
      </c>
      <c r="H93" s="93">
        <f t="shared" si="52"/>
        <v>8001.5798456624098</v>
      </c>
      <c r="I93" s="92"/>
      <c r="J93" s="230"/>
      <c r="K93" s="228">
        <f>C93*VLOOKUP(B93,$O$124:$R$149,4,FALSE)</f>
        <v>45.925751600000005</v>
      </c>
      <c r="L93" s="937"/>
      <c r="M93" s="932"/>
      <c r="N93" s="932"/>
      <c r="O93" s="147" t="s">
        <v>291</v>
      </c>
      <c r="P93" s="147">
        <f>'South &amp; Levee'!F9+'South &amp; Levee'!F44</f>
        <v>1750000</v>
      </c>
      <c r="Q93" s="934"/>
      <c r="S93" s="179">
        <f t="shared" si="50"/>
        <v>3.9352</v>
      </c>
      <c r="T93" s="45"/>
      <c r="U93" s="45">
        <v>0.85</v>
      </c>
      <c r="V93" s="572">
        <f t="shared" si="47"/>
        <v>0.85</v>
      </c>
      <c r="W93" s="572">
        <f t="shared" si="48"/>
        <v>3.3449200000000001</v>
      </c>
      <c r="X93" s="577">
        <f t="shared" si="49"/>
        <v>0</v>
      </c>
      <c r="Z93" s="88">
        <f>3.9352</f>
        <v>3.9352</v>
      </c>
      <c r="AC93" s="98">
        <f t="shared" si="51"/>
        <v>3.9352</v>
      </c>
    </row>
    <row r="94" spans="1:29" s="46" customFormat="1" x14ac:dyDescent="0.2">
      <c r="A94" s="936"/>
      <c r="B94" s="495" t="s">
        <v>137</v>
      </c>
      <c r="C94" s="490">
        <f>0.85*(96.1849-'Summary+Austin (Shed D)'!$O$93+'Summary+Austin (Shed D)'!$I$93)</f>
        <v>64.842164999999994</v>
      </c>
      <c r="D94" s="89">
        <f t="shared" si="43"/>
        <v>0.5</v>
      </c>
      <c r="E94" s="90">
        <f t="shared" si="44"/>
        <v>32.421082499999997</v>
      </c>
      <c r="F94" s="91">
        <f t="shared" si="45"/>
        <v>2.4738529345254213E-2</v>
      </c>
      <c r="G94" s="92">
        <f t="shared" si="46"/>
        <v>370599.82900936896</v>
      </c>
      <c r="H94" s="92">
        <f t="shared" si="52"/>
        <v>5715.4141754731509</v>
      </c>
      <c r="I94" s="95">
        <f>H94/(VLOOKUP(B94,$O$124:$Q$149,3,FALSE))</f>
        <v>571.54141754731506</v>
      </c>
      <c r="J94" s="228">
        <f>C94*VLOOKUP(B94,$O$124:$R$149,3,FALSE)</f>
        <v>648.42165</v>
      </c>
      <c r="K94" s="228">
        <f>J94*VLOOKUP(B94,$O$124:$R$149,4,FALSE)</f>
        <v>603.03213449999998</v>
      </c>
      <c r="L94" s="937"/>
      <c r="M94" s="932"/>
      <c r="N94" s="932"/>
      <c r="O94" s="147" t="s">
        <v>219</v>
      </c>
      <c r="P94" s="147">
        <f>'Levee &amp; Monitor'!E24</f>
        <v>160000</v>
      </c>
      <c r="Q94" s="934"/>
      <c r="S94" s="179">
        <f t="shared" si="50"/>
        <v>76.284899999999993</v>
      </c>
      <c r="T94" s="45"/>
      <c r="U94" s="45">
        <v>0.85</v>
      </c>
      <c r="V94" s="572">
        <f t="shared" si="47"/>
        <v>0.85</v>
      </c>
      <c r="W94" s="572">
        <f t="shared" si="48"/>
        <v>64.842164999999994</v>
      </c>
      <c r="X94" s="577">
        <f t="shared" si="49"/>
        <v>0</v>
      </c>
      <c r="Z94" s="490">
        <f>96.1849</f>
        <v>96.184899999999999</v>
      </c>
      <c r="AA94" s="490">
        <f>'Summary+Austin (Shed D)'!$O$93</f>
        <v>61.1</v>
      </c>
      <c r="AB94" s="490">
        <f>+'Summary+Austin (Shed D)'!$I$93</f>
        <v>41.2</v>
      </c>
      <c r="AC94" s="98">
        <f t="shared" si="51"/>
        <v>76.284899999999993</v>
      </c>
    </row>
    <row r="95" spans="1:29" s="46" customFormat="1" x14ac:dyDescent="0.2">
      <c r="A95" s="936"/>
      <c r="B95" s="87" t="s">
        <v>145</v>
      </c>
      <c r="C95" s="88">
        <f>0.85*9.8404</f>
        <v>8.3643400000000003</v>
      </c>
      <c r="D95" s="89">
        <f t="shared" si="43"/>
        <v>0.9</v>
      </c>
      <c r="E95" s="90">
        <f t="shared" si="44"/>
        <v>7.5279060000000007</v>
      </c>
      <c r="F95" s="91">
        <f t="shared" si="45"/>
        <v>5.7440809846282985E-3</v>
      </c>
      <c r="G95" s="92">
        <f t="shared" si="46"/>
        <v>86050.201328058771</v>
      </c>
      <c r="H95" s="93">
        <f t="shared" si="52"/>
        <v>10287.745515851671</v>
      </c>
      <c r="I95" s="92"/>
      <c r="J95" s="230"/>
      <c r="K95" s="228">
        <f>C95*VLOOKUP(B95,$O$124:$R$149,4,FALSE)</f>
        <v>147.63060099999998</v>
      </c>
      <c r="L95" s="937"/>
      <c r="M95" s="932"/>
      <c r="N95" s="932"/>
      <c r="O95" s="165" t="s">
        <v>220</v>
      </c>
      <c r="P95" s="165">
        <f>0.19*Q88</f>
        <v>1425777.1916196384</v>
      </c>
      <c r="Q95" s="435" t="s">
        <v>292</v>
      </c>
      <c r="S95" s="179">
        <f t="shared" si="50"/>
        <v>9.8404000000000007</v>
      </c>
      <c r="T95" s="45"/>
      <c r="U95" s="45">
        <v>0.85</v>
      </c>
      <c r="V95" s="572">
        <f t="shared" si="47"/>
        <v>0.85</v>
      </c>
      <c r="W95" s="572">
        <f t="shared" si="48"/>
        <v>8.3643400000000003</v>
      </c>
      <c r="X95" s="577">
        <f t="shared" si="49"/>
        <v>0</v>
      </c>
      <c r="Z95" s="88">
        <f>9.8404</f>
        <v>9.8404000000000007</v>
      </c>
      <c r="AC95" s="98">
        <f t="shared" si="51"/>
        <v>9.8404000000000007</v>
      </c>
    </row>
    <row r="96" spans="1:29" s="46" customFormat="1" x14ac:dyDescent="0.2">
      <c r="A96" s="936"/>
      <c r="B96" s="87" t="s">
        <v>134</v>
      </c>
      <c r="C96" s="475">
        <f>0.85*(108.3499-'Summary+Austin (Shed D)'!$O$95)</f>
        <v>34.042415000000005</v>
      </c>
      <c r="D96" s="89">
        <f t="shared" si="43"/>
        <v>0.1</v>
      </c>
      <c r="E96" s="90">
        <f t="shared" si="44"/>
        <v>3.4042415000000008</v>
      </c>
      <c r="F96" s="91">
        <f t="shared" si="45"/>
        <v>2.5975668223318037E-3</v>
      </c>
      <c r="G96" s="92">
        <f t="shared" si="46"/>
        <v>38913.30025166797</v>
      </c>
      <c r="H96" s="93">
        <f t="shared" si="52"/>
        <v>1143.0828350946301</v>
      </c>
      <c r="I96" s="92"/>
      <c r="J96" s="230"/>
      <c r="K96" s="228">
        <f>C96*VLOOKUP(B96,$O$124:$R$149,4,FALSE)</f>
        <v>0</v>
      </c>
      <c r="L96" s="937"/>
      <c r="M96" s="932"/>
      <c r="N96" s="932"/>
      <c r="O96" s="165" t="s">
        <v>221</v>
      </c>
      <c r="P96" s="165">
        <f>0.02*Q88*0</f>
        <v>0</v>
      </c>
      <c r="Q96" s="436" t="s">
        <v>293</v>
      </c>
      <c r="S96" s="179">
        <f t="shared" si="50"/>
        <v>40.049900000000008</v>
      </c>
      <c r="T96" s="45"/>
      <c r="U96" s="45">
        <v>0.85</v>
      </c>
      <c r="V96" s="572">
        <f t="shared" si="47"/>
        <v>0.85</v>
      </c>
      <c r="W96" s="572">
        <f t="shared" si="48"/>
        <v>34.042415000000005</v>
      </c>
      <c r="X96" s="577">
        <f t="shared" si="49"/>
        <v>0</v>
      </c>
      <c r="Z96" s="475">
        <f>108.3499</f>
        <v>108.34990000000001</v>
      </c>
      <c r="AA96" s="475">
        <f>'Summary+Austin (Shed D)'!$O$95</f>
        <v>68.3</v>
      </c>
      <c r="AC96" s="98">
        <f t="shared" si="51"/>
        <v>40.049900000000008</v>
      </c>
    </row>
    <row r="97" spans="1:29" s="46" customFormat="1" x14ac:dyDescent="0.2">
      <c r="A97" s="936"/>
      <c r="B97" s="87" t="s">
        <v>136</v>
      </c>
      <c r="C97" s="475">
        <f>0.85*(33.4438-'Summary+Austin (Shed D)'!$O$96)</f>
        <v>6.1572300000000029</v>
      </c>
      <c r="D97" s="89">
        <f t="shared" si="43"/>
        <v>0.1</v>
      </c>
      <c r="E97" s="90">
        <f t="shared" si="44"/>
        <v>0.61572300000000035</v>
      </c>
      <c r="F97" s="91">
        <f t="shared" si="45"/>
        <v>4.6982026291219513E-4</v>
      </c>
      <c r="G97" s="92">
        <f t="shared" si="46"/>
        <v>7038.223924729713</v>
      </c>
      <c r="H97" s="93">
        <f t="shared" si="52"/>
        <v>1143.0828350946301</v>
      </c>
      <c r="I97" s="92"/>
      <c r="J97" s="230"/>
      <c r="K97" s="228">
        <f>C97*VLOOKUP(B97,$O$124:$R$149,4,FALSE)</f>
        <v>6.1572300000000029</v>
      </c>
      <c r="L97" s="937"/>
      <c r="M97" s="932"/>
      <c r="N97" s="932"/>
      <c r="O97" s="165" t="s">
        <v>222</v>
      </c>
      <c r="P97" s="165">
        <v>500000</v>
      </c>
      <c r="Q97" s="437"/>
      <c r="S97" s="179">
        <f t="shared" si="50"/>
        <v>7.2438000000000038</v>
      </c>
      <c r="T97" s="45"/>
      <c r="U97" s="45">
        <v>0.85</v>
      </c>
      <c r="V97" s="572">
        <f t="shared" si="47"/>
        <v>0.85</v>
      </c>
      <c r="W97" s="572">
        <f t="shared" si="48"/>
        <v>6.1572300000000029</v>
      </c>
      <c r="X97" s="577">
        <f t="shared" si="49"/>
        <v>0</v>
      </c>
      <c r="Z97" s="475">
        <f>33.4438</f>
        <v>33.443800000000003</v>
      </c>
      <c r="AA97" s="475">
        <f>'Summary+Austin (Shed D)'!$O$96</f>
        <v>26.2</v>
      </c>
      <c r="AC97" s="98">
        <f t="shared" si="51"/>
        <v>7.2438000000000038</v>
      </c>
    </row>
    <row r="98" spans="1:29" s="46" customFormat="1" x14ac:dyDescent="0.2">
      <c r="A98" s="936"/>
      <c r="B98" s="279" t="s">
        <v>147</v>
      </c>
      <c r="C98" s="179">
        <f>0.5*0.85*1130.5842</f>
        <v>480.49828500000001</v>
      </c>
      <c r="D98" s="89">
        <f t="shared" si="43"/>
        <v>0.3</v>
      </c>
      <c r="E98" s="90">
        <f t="shared" si="44"/>
        <v>144.1494855</v>
      </c>
      <c r="F98" s="91">
        <f t="shared" si="45"/>
        <v>0.10999158578819961</v>
      </c>
      <c r="G98" s="92">
        <f t="shared" si="46"/>
        <v>1647748.0256277227</v>
      </c>
      <c r="H98" s="92">
        <f t="shared" si="52"/>
        <v>3429.2485052838902</v>
      </c>
      <c r="I98" s="95">
        <f>H98/(VLOOKUP(B98,$O$124:$Q$149,3,FALSE))</f>
        <v>685.84970105677803</v>
      </c>
      <c r="J98" s="228">
        <f>C98*VLOOKUP(B98,$O$124:$R$149,3,FALSE)</f>
        <v>2402.4914250000002</v>
      </c>
      <c r="K98" s="228">
        <f>J98*VLOOKUP(B98,$O$124:$R$149,4,FALSE)</f>
        <v>2402.4914250000002</v>
      </c>
      <c r="L98" s="937"/>
      <c r="M98" s="932"/>
      <c r="N98" s="932"/>
      <c r="O98" s="526" t="s">
        <v>232</v>
      </c>
      <c r="P98" s="526">
        <f>0.518*1.2*(Q88+P95)</f>
        <v>5550805.7460516477</v>
      </c>
      <c r="S98" s="179">
        <f t="shared" si="50"/>
        <v>1130.5842</v>
      </c>
      <c r="T98" s="45">
        <v>0.5</v>
      </c>
      <c r="U98" s="45">
        <v>0.85</v>
      </c>
      <c r="V98" s="572">
        <f t="shared" si="47"/>
        <v>0.42499999999999999</v>
      </c>
      <c r="W98" s="572">
        <f t="shared" si="48"/>
        <v>480.49828500000001</v>
      </c>
      <c r="X98" s="577">
        <f t="shared" si="49"/>
        <v>0</v>
      </c>
      <c r="Z98" s="179">
        <f>1130.5842</f>
        <v>1130.5842</v>
      </c>
      <c r="AC98" s="98">
        <f t="shared" si="51"/>
        <v>1130.5842</v>
      </c>
    </row>
    <row r="99" spans="1:29" s="46" customFormat="1" x14ac:dyDescent="0.2">
      <c r="A99" s="936"/>
      <c r="B99" s="279" t="s">
        <v>230</v>
      </c>
      <c r="C99" s="179">
        <f>0.5*0.85*459.1943</f>
        <v>195.1575775</v>
      </c>
      <c r="D99" s="89">
        <f t="shared" si="43"/>
        <v>0.3</v>
      </c>
      <c r="E99" s="90">
        <f t="shared" si="44"/>
        <v>58.547273249999996</v>
      </c>
      <c r="F99" s="91">
        <f t="shared" si="45"/>
        <v>4.4673814866599285E-2</v>
      </c>
      <c r="G99" s="92">
        <f t="shared" si="46"/>
        <v>669243.83093669987</v>
      </c>
      <c r="H99" s="92">
        <f t="shared" si="52"/>
        <v>3429.2485052838897</v>
      </c>
      <c r="I99" s="95">
        <f>H99/(VLOOKUP(B99,$O$124:$Q$149,3,FALSE))</f>
        <v>685.84970105677792</v>
      </c>
      <c r="J99" s="228">
        <f>C99*VLOOKUP(B99,$O$124:$R$149,3,FALSE)</f>
        <v>975.78788750000001</v>
      </c>
      <c r="K99" s="228">
        <f>J99*VLOOKUP(B99,$O$124:$R$149,4,FALSE)</f>
        <v>975.78788750000001</v>
      </c>
      <c r="L99" s="937"/>
      <c r="M99" s="932"/>
      <c r="N99" s="932"/>
      <c r="O99" s="938" t="s">
        <v>163</v>
      </c>
      <c r="P99" s="938"/>
      <c r="S99" s="179">
        <f t="shared" si="50"/>
        <v>459.1943</v>
      </c>
      <c r="T99" s="45">
        <v>0.5</v>
      </c>
      <c r="U99" s="45">
        <v>0.85</v>
      </c>
      <c r="V99" s="572">
        <f t="shared" si="47"/>
        <v>0.42499999999999999</v>
      </c>
      <c r="W99" s="572">
        <f t="shared" si="48"/>
        <v>195.1575775</v>
      </c>
      <c r="X99" s="577">
        <f t="shared" si="49"/>
        <v>0</v>
      </c>
      <c r="Z99" s="179">
        <f>459.1943</f>
        <v>459.1943</v>
      </c>
      <c r="AC99" s="98">
        <f t="shared" si="51"/>
        <v>459.1943</v>
      </c>
    </row>
    <row r="100" spans="1:29" s="46" customFormat="1" x14ac:dyDescent="0.2">
      <c r="A100" s="936"/>
      <c r="B100" s="279" t="s">
        <v>157</v>
      </c>
      <c r="C100" s="179">
        <f>0.5*0.85*338.6966</f>
        <v>143.946055</v>
      </c>
      <c r="D100" s="89">
        <f t="shared" si="43"/>
        <v>0.7</v>
      </c>
      <c r="E100" s="90">
        <f t="shared" si="44"/>
        <v>100.7622385</v>
      </c>
      <c r="F100" s="91">
        <f t="shared" si="45"/>
        <v>7.6885452360381676E-2</v>
      </c>
      <c r="G100" s="92">
        <f t="shared" si="46"/>
        <v>1151795.8525506128</v>
      </c>
      <c r="H100" s="93">
        <f t="shared" si="52"/>
        <v>8001.5798456624098</v>
      </c>
      <c r="I100" s="92"/>
      <c r="J100" s="230"/>
      <c r="K100" s="228">
        <f>C100*VLOOKUP(B100,$O$124:$R$149,4,FALSE)</f>
        <v>1976.3793351500001</v>
      </c>
      <c r="L100" s="937"/>
      <c r="M100" s="932"/>
      <c r="N100" s="932"/>
      <c r="O100" s="938"/>
      <c r="P100" s="938"/>
      <c r="S100" s="179">
        <f t="shared" si="50"/>
        <v>338.69659999999999</v>
      </c>
      <c r="T100" s="45">
        <v>0.5</v>
      </c>
      <c r="U100" s="45">
        <v>0.85</v>
      </c>
      <c r="V100" s="572">
        <f t="shared" si="47"/>
        <v>0.42499999999999999</v>
      </c>
      <c r="W100" s="572">
        <f t="shared" si="48"/>
        <v>143.946055</v>
      </c>
      <c r="X100" s="577">
        <f t="shared" si="49"/>
        <v>0</v>
      </c>
      <c r="Z100" s="179">
        <f>338.6966</f>
        <v>338.69659999999999</v>
      </c>
      <c r="AC100" s="98">
        <f t="shared" si="51"/>
        <v>338.69659999999999</v>
      </c>
    </row>
    <row r="101" spans="1:29" s="46" customFormat="1" x14ac:dyDescent="0.2">
      <c r="A101" s="936"/>
      <c r="B101" s="279" t="s">
        <v>150</v>
      </c>
      <c r="C101" s="179">
        <f>0.5*0.85*273.27525</f>
        <v>116.14198125000001</v>
      </c>
      <c r="D101" s="89">
        <f t="shared" si="43"/>
        <v>0.9</v>
      </c>
      <c r="E101" s="90">
        <f t="shared" si="44"/>
        <v>104.52778312500001</v>
      </c>
      <c r="F101" s="91">
        <f t="shared" si="45"/>
        <v>7.9758707323612066E-2</v>
      </c>
      <c r="G101" s="92">
        <f t="shared" si="46"/>
        <v>1194839.1468068163</v>
      </c>
      <c r="H101" s="93">
        <f t="shared" si="52"/>
        <v>10287.74551585167</v>
      </c>
      <c r="I101" s="92"/>
      <c r="J101" s="230"/>
      <c r="K101" s="228">
        <f>C101*VLOOKUP(B101,$O$124:$R$149,4,FALSE)</f>
        <v>2049.9059690624999</v>
      </c>
      <c r="L101" s="937"/>
      <c r="M101" s="932"/>
      <c r="N101" s="932"/>
      <c r="O101" s="938"/>
      <c r="P101" s="938"/>
      <c r="S101" s="179">
        <f t="shared" si="50"/>
        <v>273.27525000000003</v>
      </c>
      <c r="T101" s="45">
        <v>0.5</v>
      </c>
      <c r="U101" s="45">
        <v>0.85</v>
      </c>
      <c r="V101" s="572">
        <f t="shared" si="47"/>
        <v>0.42499999999999999</v>
      </c>
      <c r="W101" s="572">
        <f t="shared" si="48"/>
        <v>116.14198125000001</v>
      </c>
      <c r="X101" s="577">
        <f t="shared" si="49"/>
        <v>0</v>
      </c>
      <c r="Z101" s="179">
        <f>273.27525</f>
        <v>273.27525000000003</v>
      </c>
      <c r="AC101" s="98">
        <f t="shared" si="51"/>
        <v>273.27525000000003</v>
      </c>
    </row>
    <row r="102" spans="1:29" s="46" customFormat="1" x14ac:dyDescent="0.2">
      <c r="A102" s="936"/>
      <c r="B102" s="279" t="s">
        <v>153</v>
      </c>
      <c r="C102" s="179">
        <f>0.5*0.85*481.4582</f>
        <v>204.61973499999999</v>
      </c>
      <c r="D102" s="89">
        <f t="shared" si="43"/>
        <v>0.3</v>
      </c>
      <c r="E102" s="90">
        <f t="shared" si="44"/>
        <v>61.385920499999997</v>
      </c>
      <c r="F102" s="91">
        <f t="shared" si="45"/>
        <v>4.6839811584782592E-2</v>
      </c>
      <c r="G102" s="92">
        <f t="shared" si="46"/>
        <v>701691.92040033569</v>
      </c>
      <c r="H102" s="92">
        <f t="shared" si="52"/>
        <v>3429.2485052838902</v>
      </c>
      <c r="I102" s="95">
        <f>H102/(VLOOKUP(B102,$O$124:$Q$149,3,FALSE))</f>
        <v>685.84970105677803</v>
      </c>
      <c r="J102" s="228">
        <f>C102*VLOOKUP(B102,$O$124:$R$149,3,FALSE)</f>
        <v>1023.098675</v>
      </c>
      <c r="K102" s="228">
        <f>J102*VLOOKUP(B102,$O$124:$R$149,4,FALSE)</f>
        <v>1023.098675</v>
      </c>
      <c r="L102" s="937"/>
      <c r="M102" s="932"/>
      <c r="N102" s="932"/>
      <c r="O102" s="938"/>
      <c r="P102" s="938"/>
      <c r="S102" s="179">
        <f t="shared" si="50"/>
        <v>481.45819999999998</v>
      </c>
      <c r="T102" s="45">
        <v>0.5</v>
      </c>
      <c r="U102" s="45">
        <v>0.85</v>
      </c>
      <c r="V102" s="572">
        <f t="shared" si="47"/>
        <v>0.42499999999999999</v>
      </c>
      <c r="W102" s="572">
        <f t="shared" si="48"/>
        <v>204.61973499999999</v>
      </c>
      <c r="X102" s="577">
        <f t="shared" si="49"/>
        <v>0</v>
      </c>
      <c r="Z102" s="179">
        <f>481.4582</f>
        <v>481.45819999999998</v>
      </c>
      <c r="AC102" s="98">
        <f t="shared" si="51"/>
        <v>481.45819999999998</v>
      </c>
    </row>
    <row r="103" spans="1:29" s="46" customFormat="1" x14ac:dyDescent="0.2">
      <c r="A103" s="936"/>
      <c r="B103" s="279" t="s">
        <v>155</v>
      </c>
      <c r="C103" s="179">
        <f>0.5*0.85*29.9605</f>
        <v>12.733212499999999</v>
      </c>
      <c r="D103" s="89">
        <f t="shared" si="43"/>
        <v>0.1</v>
      </c>
      <c r="E103" s="90">
        <f t="shared" si="44"/>
        <v>1.27332125</v>
      </c>
      <c r="F103" s="91">
        <f t="shared" si="45"/>
        <v>9.7159294755382627E-4</v>
      </c>
      <c r="G103" s="92">
        <f t="shared" si="46"/>
        <v>14555.116644362381</v>
      </c>
      <c r="H103" s="93">
        <f t="shared" si="52"/>
        <v>1143.0828350946301</v>
      </c>
      <c r="I103" s="92"/>
      <c r="J103" s="230"/>
      <c r="K103" s="228">
        <f>C103*VLOOKUP(B103,$O$124:$R$149,4,FALSE)</f>
        <v>0</v>
      </c>
      <c r="L103" s="937"/>
      <c r="M103" s="932"/>
      <c r="N103" s="932"/>
      <c r="O103" s="938"/>
      <c r="P103" s="938"/>
      <c r="S103" s="179">
        <f t="shared" si="50"/>
        <v>29.9605</v>
      </c>
      <c r="T103" s="45">
        <v>0.5</v>
      </c>
      <c r="U103" s="45">
        <v>0.85</v>
      </c>
      <c r="V103" s="572">
        <f t="shared" si="47"/>
        <v>0.42499999999999999</v>
      </c>
      <c r="W103" s="572">
        <f t="shared" si="48"/>
        <v>12.733212499999999</v>
      </c>
      <c r="X103" s="577">
        <f t="shared" si="49"/>
        <v>0</v>
      </c>
      <c r="Z103" s="179">
        <f>29.9605</f>
        <v>29.9605</v>
      </c>
      <c r="AC103" s="98">
        <f t="shared" si="51"/>
        <v>29.9605</v>
      </c>
    </row>
    <row r="104" spans="1:29" s="46" customFormat="1" x14ac:dyDescent="0.2">
      <c r="A104" s="936"/>
      <c r="B104" s="279" t="s">
        <v>152</v>
      </c>
      <c r="C104" s="179">
        <f>0.5*0.85*99.2228</f>
        <v>42.169690000000003</v>
      </c>
      <c r="D104" s="89">
        <f t="shared" si="43"/>
        <v>0.3</v>
      </c>
      <c r="E104" s="90">
        <f t="shared" si="44"/>
        <v>12.650907</v>
      </c>
      <c r="F104" s="91">
        <f t="shared" si="45"/>
        <v>9.6531272224973357E-3</v>
      </c>
      <c r="G104" s="92">
        <f t="shared" si="46"/>
        <v>144610.34640078503</v>
      </c>
      <c r="H104" s="92">
        <f t="shared" si="52"/>
        <v>3429.2485052838902</v>
      </c>
      <c r="I104" s="95">
        <f>H104/(VLOOKUP(B104,$O$124:$Q$149,3,FALSE))</f>
        <v>1714.6242526419451</v>
      </c>
      <c r="J104" s="228">
        <f>C104*VLOOKUP(B104,$O$124:$R$149,3,FALSE)</f>
        <v>84.339380000000006</v>
      </c>
      <c r="K104" s="228">
        <f>J104*VLOOKUP(B104,$O$124:$R$149,4,FALSE)</f>
        <v>210.84845000000001</v>
      </c>
      <c r="L104" s="937"/>
      <c r="M104" s="932"/>
      <c r="N104" s="932"/>
      <c r="O104" s="938"/>
      <c r="P104" s="938"/>
      <c r="S104" s="179">
        <f t="shared" si="50"/>
        <v>99.222800000000007</v>
      </c>
      <c r="T104" s="45">
        <v>0.5</v>
      </c>
      <c r="U104" s="45">
        <v>0.85</v>
      </c>
      <c r="V104" s="572">
        <f t="shared" si="47"/>
        <v>0.42499999999999999</v>
      </c>
      <c r="W104" s="572">
        <f t="shared" si="48"/>
        <v>42.169690000000003</v>
      </c>
      <c r="X104" s="577">
        <f t="shared" si="49"/>
        <v>0</v>
      </c>
      <c r="Z104" s="179">
        <f>99.2228</f>
        <v>99.222800000000007</v>
      </c>
      <c r="AC104" s="98">
        <f t="shared" si="51"/>
        <v>99.222800000000007</v>
      </c>
    </row>
    <row r="105" spans="1:29" s="46" customFormat="1" x14ac:dyDescent="0.2">
      <c r="A105" s="936"/>
      <c r="B105" s="520" t="s">
        <v>133</v>
      </c>
      <c r="C105" s="521">
        <f>0.25*524.757</f>
        <v>131.18924999999999</v>
      </c>
      <c r="D105" s="89">
        <f t="shared" si="43"/>
        <v>0.3</v>
      </c>
      <c r="E105" s="90">
        <f t="shared" si="44"/>
        <v>39.356774999999992</v>
      </c>
      <c r="F105" s="91">
        <f t="shared" si="45"/>
        <v>3.0030728717095341E-2</v>
      </c>
      <c r="G105" s="92">
        <f t="shared" si="46"/>
        <v>449880.53947181447</v>
      </c>
      <c r="H105" s="92">
        <f t="shared" si="52"/>
        <v>3429.2485052838897</v>
      </c>
      <c r="I105" s="95">
        <f>H105/(VLOOKUP(B105,$O$124:$Q$149,3,FALSE))</f>
        <v>1714.6242526419448</v>
      </c>
      <c r="J105" s="228">
        <f>C105*VLOOKUP(B105,$O$124:$R$149,3,FALSE)</f>
        <v>262.37849999999997</v>
      </c>
      <c r="K105" s="228">
        <f>J105*VLOOKUP(B105,$O$124:$R$149,4,FALSE)</f>
        <v>655.94624999999996</v>
      </c>
      <c r="L105" s="937"/>
      <c r="M105" s="932"/>
      <c r="N105" s="932"/>
      <c r="O105" s="938"/>
      <c r="P105" s="938"/>
      <c r="S105" s="179">
        <f t="shared" si="50"/>
        <v>524.75699999999995</v>
      </c>
      <c r="T105" s="269"/>
      <c r="U105" s="269">
        <v>0.25</v>
      </c>
      <c r="V105" s="575">
        <f t="shared" si="47"/>
        <v>0.25</v>
      </c>
      <c r="W105" s="575">
        <f t="shared" si="48"/>
        <v>131.18924999999999</v>
      </c>
      <c r="X105" s="577">
        <f t="shared" si="49"/>
        <v>0</v>
      </c>
      <c r="Z105" s="521">
        <f>524.757</f>
        <v>524.75699999999995</v>
      </c>
      <c r="AC105" s="98">
        <f t="shared" si="51"/>
        <v>524.75699999999995</v>
      </c>
    </row>
    <row r="106" spans="1:29" s="46" customFormat="1" x14ac:dyDescent="0.2">
      <c r="A106" s="477" t="s">
        <v>321</v>
      </c>
      <c r="B106" s="97"/>
      <c r="C106" s="97"/>
      <c r="D106" s="98"/>
      <c r="E106" s="99"/>
      <c r="F106" s="158">
        <f>SUM(F87:F105)</f>
        <v>1</v>
      </c>
      <c r="G106" s="159">
        <f>SUM(G87:G105)</f>
        <v>14980673.419879911</v>
      </c>
      <c r="H106" s="101"/>
      <c r="I106" s="101"/>
      <c r="J106" s="229"/>
      <c r="K106" s="235">
        <f>SUM(K87:K105)</f>
        <v>23278.5276935125</v>
      </c>
      <c r="L106" s="99"/>
      <c r="M106" s="98"/>
      <c r="N106" s="98"/>
      <c r="O106" s="193"/>
      <c r="P106" s="193"/>
      <c r="S106" s="98">
        <f>SUM(S87:S105)</f>
        <v>5724.6829500000003</v>
      </c>
      <c r="W106" s="98">
        <f>SUM(W87:W105)</f>
        <v>3306.3592137499995</v>
      </c>
      <c r="Z106" s="98">
        <f>SUM(Z87:Z105)</f>
        <v>6636.3829500000011</v>
      </c>
      <c r="AA106" s="98">
        <f t="shared" ref="AA106:AB106" si="53">SUM(AA87:AA105)</f>
        <v>1036.2</v>
      </c>
      <c r="AB106" s="98">
        <f t="shared" si="53"/>
        <v>124.5</v>
      </c>
    </row>
    <row r="107" spans="1:29" s="46" customFormat="1" x14ac:dyDescent="0.2">
      <c r="A107" s="96"/>
      <c r="B107" s="97"/>
      <c r="C107" s="97"/>
      <c r="D107" s="98"/>
      <c r="E107" s="99"/>
      <c r="F107" s="100"/>
      <c r="G107" s="101"/>
      <c r="H107" s="101"/>
      <c r="I107" s="101"/>
      <c r="J107" s="229"/>
      <c r="K107" s="229"/>
      <c r="L107" s="99"/>
      <c r="M107" s="98"/>
      <c r="N107" s="98"/>
      <c r="O107" s="193"/>
      <c r="P107" s="193"/>
    </row>
    <row r="108" spans="1:29" s="46" customFormat="1" x14ac:dyDescent="0.2">
      <c r="A108" s="244" t="s">
        <v>113</v>
      </c>
      <c r="B108" s="97"/>
      <c r="C108" s="97"/>
      <c r="D108" s="98"/>
      <c r="E108" s="99"/>
      <c r="F108" s="100"/>
      <c r="G108" s="101"/>
      <c r="H108" s="101"/>
      <c r="I108" s="101"/>
      <c r="J108" s="229"/>
      <c r="K108" s="229"/>
      <c r="L108" s="99"/>
      <c r="M108" s="98"/>
      <c r="N108" s="98"/>
      <c r="O108" s="193"/>
      <c r="P108" s="193"/>
    </row>
    <row r="109" spans="1:29" s="46" customFormat="1" x14ac:dyDescent="0.2">
      <c r="A109" s="930" t="s">
        <v>164</v>
      </c>
      <c r="B109" s="279" t="s">
        <v>229</v>
      </c>
      <c r="C109" s="179">
        <f>0.5*0.85*191.431</f>
        <v>81.358175000000003</v>
      </c>
      <c r="D109" s="89">
        <f t="shared" ref="D109:D120" si="54">VLOOKUP(B109,$O$124:$P$149,2,FALSE)</f>
        <v>0.3</v>
      </c>
      <c r="E109" s="90">
        <f t="shared" si="44"/>
        <v>24.407452500000002</v>
      </c>
      <c r="F109" s="91">
        <f t="shared" ref="F109:F120" si="55">E109/($L$109*$M$109)</f>
        <v>4.5828934107412317E-2</v>
      </c>
      <c r="G109" s="92">
        <f t="shared" ref="G109:G120" si="56">$O$109*F109</f>
        <v>155568.88324792113</v>
      </c>
      <c r="H109" s="92">
        <f t="shared" ref="H109:H120" si="57">G109/C109</f>
        <v>1912.1481430467329</v>
      </c>
      <c r="I109" s="95">
        <f>H109/(VLOOKUP(B109,$O$124:$Q$149,3,FALSE))</f>
        <v>382.42962860934659</v>
      </c>
      <c r="J109" s="228">
        <f>C109*VLOOKUP(B109,$O$124:$R$149,3,FALSE)</f>
        <v>406.79087500000003</v>
      </c>
      <c r="K109" s="228">
        <f>J109*VLOOKUP(B109,$O$124:$R$149,4,FALSE)</f>
        <v>406.79087500000003</v>
      </c>
      <c r="L109" s="931">
        <f>SUM(C109:C120)</f>
        <v>1416.3240375499997</v>
      </c>
      <c r="M109" s="932">
        <f>SUM(E109:E120)/L109</f>
        <v>0.37602790087236559</v>
      </c>
      <c r="N109" s="932">
        <f>L109*M109</f>
        <v>532.57735479499991</v>
      </c>
      <c r="O109" s="933">
        <f>SUM(P110:P116)</f>
        <v>3394556</v>
      </c>
      <c r="P109" s="933"/>
      <c r="S109" s="179">
        <f>191.431</f>
        <v>191.43100000000001</v>
      </c>
      <c r="T109" s="45">
        <v>0.5</v>
      </c>
      <c r="U109" s="45">
        <v>0.85</v>
      </c>
      <c r="V109" s="572">
        <f t="shared" ref="V109" si="58">IF(AND(T109="",U109=""),0,IF(AND(T109&gt;0,U109&gt;0),T109*U109,IF(T109&gt;0,T109,U109)))</f>
        <v>0.42499999999999999</v>
      </c>
      <c r="W109" s="572">
        <f t="shared" ref="W109" si="59">IF(V109&gt;0,V109*S109,S109)</f>
        <v>81.358175000000003</v>
      </c>
      <c r="X109" s="577">
        <f t="shared" ref="X109" si="60">W109-C109</f>
        <v>0</v>
      </c>
    </row>
    <row r="110" spans="1:29" s="46" customFormat="1" x14ac:dyDescent="0.2">
      <c r="A110" s="930"/>
      <c r="B110" s="87" t="s">
        <v>149</v>
      </c>
      <c r="C110" s="88">
        <f>0.85*179.9842</f>
        <v>152.98656999999997</v>
      </c>
      <c r="D110" s="89">
        <f t="shared" si="54"/>
        <v>0.7</v>
      </c>
      <c r="E110" s="90">
        <f t="shared" si="44"/>
        <v>107.09059899999997</v>
      </c>
      <c r="F110" s="91">
        <f t="shared" si="55"/>
        <v>0.20107989578569552</v>
      </c>
      <c r="G110" s="92">
        <f t="shared" si="56"/>
        <v>682576.96671870747</v>
      </c>
      <c r="H110" s="93">
        <f t="shared" si="57"/>
        <v>4461.6790004423756</v>
      </c>
      <c r="I110" s="92"/>
      <c r="J110" s="230"/>
      <c r="K110" s="228">
        <f>C110*VLOOKUP(B110,$O$124:$R$149,4,FALSE)</f>
        <v>2100.5056060999996</v>
      </c>
      <c r="L110" s="931"/>
      <c r="M110" s="932"/>
      <c r="N110" s="932"/>
      <c r="O110" s="147" t="s">
        <v>202</v>
      </c>
      <c r="P110" s="147">
        <f>Trails!G14-Trails!F10</f>
        <v>0</v>
      </c>
      <c r="Q110" s="934">
        <f>SUM(P110:P112)</f>
        <v>1500000</v>
      </c>
      <c r="S110" s="88">
        <f>179.9842</f>
        <v>179.98419999999999</v>
      </c>
      <c r="T110" s="45"/>
      <c r="U110" s="45">
        <v>0.85</v>
      </c>
      <c r="V110" s="572">
        <f t="shared" ref="V110:V120" si="61">IF(AND(T110="",U110=""),0,IF(AND(T110&gt;0,U110&gt;0),T110*U110,IF(T110&gt;0,T110,U110)))</f>
        <v>0.85</v>
      </c>
      <c r="W110" s="572">
        <f t="shared" ref="W110:W120" si="62">IF(V110&gt;0,V110*S110,S110)</f>
        <v>152.98656999999997</v>
      </c>
      <c r="X110" s="577">
        <f t="shared" ref="X110:X120" si="63">W110-C110</f>
        <v>0</v>
      </c>
    </row>
    <row r="111" spans="1:29" s="46" customFormat="1" x14ac:dyDescent="0.2">
      <c r="A111" s="930"/>
      <c r="B111" s="87" t="s">
        <v>142</v>
      </c>
      <c r="C111" s="88">
        <f>0.85*23.4056</f>
        <v>19.894759999999998</v>
      </c>
      <c r="D111" s="89">
        <f t="shared" si="54"/>
        <v>0.9</v>
      </c>
      <c r="E111" s="90">
        <f t="shared" si="44"/>
        <v>17.905283999999998</v>
      </c>
      <c r="F111" s="91">
        <f t="shared" si="55"/>
        <v>3.3620062585823077E-2</v>
      </c>
      <c r="G111" s="92">
        <f t="shared" si="56"/>
        <v>114125.18517108123</v>
      </c>
      <c r="H111" s="93">
        <f t="shared" si="57"/>
        <v>5736.4444291401978</v>
      </c>
      <c r="I111" s="92"/>
      <c r="J111" s="230"/>
      <c r="K111" s="228">
        <f>C111*VLOOKUP(B111,$O$124:$R$149,4,FALSE)</f>
        <v>351.14251399999995</v>
      </c>
      <c r="L111" s="931"/>
      <c r="M111" s="932"/>
      <c r="N111" s="932"/>
      <c r="O111" s="147" t="s">
        <v>223</v>
      </c>
      <c r="P111" s="147">
        <f>Trails!F10</f>
        <v>1500000</v>
      </c>
      <c r="Q111" s="934"/>
      <c r="S111" s="88">
        <f>23.4056</f>
        <v>23.4056</v>
      </c>
      <c r="T111" s="45"/>
      <c r="U111" s="45">
        <v>0.85</v>
      </c>
      <c r="V111" s="572">
        <f t="shared" si="61"/>
        <v>0.85</v>
      </c>
      <c r="W111" s="572">
        <f t="shared" si="62"/>
        <v>19.894759999999998</v>
      </c>
      <c r="X111" s="577">
        <f t="shared" si="63"/>
        <v>0</v>
      </c>
    </row>
    <row r="112" spans="1:29" s="46" customFormat="1" x14ac:dyDescent="0.2">
      <c r="A112" s="930"/>
      <c r="B112" s="87" t="s">
        <v>143</v>
      </c>
      <c r="C112" s="88">
        <f>0.85*103.6925</f>
        <v>88.13862499999999</v>
      </c>
      <c r="D112" s="89">
        <f t="shared" si="54"/>
        <v>0.9</v>
      </c>
      <c r="E112" s="90">
        <f t="shared" si="44"/>
        <v>79.324762499999991</v>
      </c>
      <c r="F112" s="91">
        <f t="shared" si="55"/>
        <v>0.14894505330692054</v>
      </c>
      <c r="G112" s="92">
        <f t="shared" si="56"/>
        <v>505602.32437332696</v>
      </c>
      <c r="H112" s="93">
        <f t="shared" si="57"/>
        <v>5736.4444291401987</v>
      </c>
      <c r="I112" s="92"/>
      <c r="J112" s="230"/>
      <c r="K112" s="228">
        <f>C112*VLOOKUP(B112,$O$124:$R$149,4,FALSE)</f>
        <v>1555.6467312499997</v>
      </c>
      <c r="L112" s="931"/>
      <c r="M112" s="932"/>
      <c r="N112" s="932"/>
      <c r="O112" s="147" t="s">
        <v>219</v>
      </c>
      <c r="P112" s="147">
        <f>'Levee &amp; Monitor'!E27*0</f>
        <v>0</v>
      </c>
      <c r="Q112" s="934"/>
      <c r="S112" s="88">
        <f>103.6925</f>
        <v>103.6925</v>
      </c>
      <c r="T112" s="45"/>
      <c r="U112" s="45">
        <v>0.85</v>
      </c>
      <c r="V112" s="572">
        <f t="shared" si="61"/>
        <v>0.85</v>
      </c>
      <c r="W112" s="572">
        <f t="shared" si="62"/>
        <v>88.13862499999999</v>
      </c>
      <c r="X112" s="577">
        <f t="shared" si="63"/>
        <v>0</v>
      </c>
    </row>
    <row r="113" spans="1:24" s="46" customFormat="1" x14ac:dyDescent="0.2">
      <c r="A113" s="930"/>
      <c r="B113" s="87" t="s">
        <v>139</v>
      </c>
      <c r="C113" s="88">
        <f>0.85*20.8516</f>
        <v>17.723860000000002</v>
      </c>
      <c r="D113" s="89">
        <f t="shared" si="54"/>
        <v>0.65</v>
      </c>
      <c r="E113" s="90">
        <f t="shared" si="44"/>
        <v>11.520509000000002</v>
      </c>
      <c r="F113" s="91">
        <f t="shared" si="55"/>
        <v>2.1631616320664789E-2</v>
      </c>
      <c r="G113" s="92">
        <f t="shared" si="56"/>
        <v>73429.732971010584</v>
      </c>
      <c r="H113" s="92">
        <f t="shared" si="57"/>
        <v>4142.9876432679212</v>
      </c>
      <c r="I113" s="95">
        <f>H113/(VLOOKUP(B113,$O$124:$Q$149,3,FALSE))</f>
        <v>243.7051554863483</v>
      </c>
      <c r="J113" s="228">
        <f>C113*VLOOKUP(B113,$O$124:$R$149,3,FALSE)</f>
        <v>301.30562000000003</v>
      </c>
      <c r="K113" s="228">
        <f>J113*VLOOKUP(B113,$O$124:$R$149,4,FALSE)</f>
        <v>192.83559680000002</v>
      </c>
      <c r="L113" s="931"/>
      <c r="M113" s="932"/>
      <c r="N113" s="932"/>
      <c r="O113" s="165" t="s">
        <v>220</v>
      </c>
      <c r="P113" s="165">
        <f>0.19*Q110</f>
        <v>285000</v>
      </c>
      <c r="Q113" s="189"/>
      <c r="S113" s="88">
        <f>20.8516</f>
        <v>20.851600000000001</v>
      </c>
      <c r="T113" s="45"/>
      <c r="U113" s="45">
        <v>0.85</v>
      </c>
      <c r="V113" s="572">
        <f t="shared" si="61"/>
        <v>0.85</v>
      </c>
      <c r="W113" s="572">
        <f t="shared" si="62"/>
        <v>17.723860000000002</v>
      </c>
      <c r="X113" s="577">
        <f t="shared" si="63"/>
        <v>0</v>
      </c>
    </row>
    <row r="114" spans="1:24" s="46" customFormat="1" x14ac:dyDescent="0.2">
      <c r="A114" s="930"/>
      <c r="B114" s="87" t="s">
        <v>135</v>
      </c>
      <c r="C114" s="88">
        <f>0.85*546.7343</f>
        <v>464.72415499999994</v>
      </c>
      <c r="D114" s="89">
        <f t="shared" si="54"/>
        <v>0.3</v>
      </c>
      <c r="E114" s="90">
        <f t="shared" si="44"/>
        <v>139.41724649999998</v>
      </c>
      <c r="F114" s="91">
        <f t="shared" si="55"/>
        <v>0.2617783975318751</v>
      </c>
      <c r="G114" s="92">
        <f t="shared" si="56"/>
        <v>888621.43001221179</v>
      </c>
      <c r="H114" s="92">
        <f t="shared" si="57"/>
        <v>1912.1481430467325</v>
      </c>
      <c r="I114" s="95">
        <f>H114/(VLOOKUP(B114,$O$124:$Q$149,3,FALSE))</f>
        <v>382.42962860934648</v>
      </c>
      <c r="J114" s="228">
        <f>C114*VLOOKUP(B114,$O$124:$R$149,3,FALSE)</f>
        <v>2323.6207749999999</v>
      </c>
      <c r="K114" s="228">
        <f>J114*VLOOKUP(B114,$O$124:$R$149,4,FALSE)</f>
        <v>2323.6207749999999</v>
      </c>
      <c r="L114" s="931"/>
      <c r="M114" s="932"/>
      <c r="N114" s="932"/>
      <c r="O114" s="165" t="s">
        <v>221</v>
      </c>
      <c r="P114" s="165">
        <f>0.02*Q110*0</f>
        <v>0</v>
      </c>
      <c r="S114" s="88">
        <f>546.7343</f>
        <v>546.73429999999996</v>
      </c>
      <c r="T114" s="45"/>
      <c r="U114" s="45">
        <v>0.85</v>
      </c>
      <c r="V114" s="572">
        <f t="shared" si="61"/>
        <v>0.85</v>
      </c>
      <c r="W114" s="572">
        <f t="shared" si="62"/>
        <v>464.72415499999994</v>
      </c>
      <c r="X114" s="577">
        <f t="shared" si="63"/>
        <v>0</v>
      </c>
    </row>
    <row r="115" spans="1:24" s="46" customFormat="1" x14ac:dyDescent="0.2">
      <c r="A115" s="930"/>
      <c r="B115" s="87" t="s">
        <v>137</v>
      </c>
      <c r="C115" s="88">
        <f>0.85*66.4005</f>
        <v>56.440424999999991</v>
      </c>
      <c r="D115" s="89">
        <f t="shared" si="54"/>
        <v>0.5</v>
      </c>
      <c r="E115" s="90">
        <f t="shared" si="44"/>
        <v>28.220212499999995</v>
      </c>
      <c r="F115" s="91">
        <f t="shared" si="55"/>
        <v>5.29880068048754E-2</v>
      </c>
      <c r="G115" s="92">
        <f t="shared" si="56"/>
        <v>179870.75642753061</v>
      </c>
      <c r="H115" s="92">
        <f t="shared" si="57"/>
        <v>3186.9135717445542</v>
      </c>
      <c r="I115" s="95">
        <f>H115/(VLOOKUP(B115,$O$124:$Q$149,3,FALSE))</f>
        <v>318.69135717445545</v>
      </c>
      <c r="J115" s="228">
        <f>C115*VLOOKUP(B115,$O$124:$R$149,3,FALSE)</f>
        <v>564.40424999999993</v>
      </c>
      <c r="K115" s="228">
        <f>J115*VLOOKUP(B115,$O$124:$R$149,4,FALSE)</f>
        <v>524.89595250000002</v>
      </c>
      <c r="L115" s="931"/>
      <c r="M115" s="932"/>
      <c r="N115" s="932"/>
      <c r="O115" s="165" t="s">
        <v>222</v>
      </c>
      <c r="P115" s="165">
        <v>500000</v>
      </c>
      <c r="S115" s="88">
        <f>66.4005</f>
        <v>66.400499999999994</v>
      </c>
      <c r="T115" s="45"/>
      <c r="U115" s="45">
        <v>0.85</v>
      </c>
      <c r="V115" s="572">
        <f t="shared" si="61"/>
        <v>0.85</v>
      </c>
      <c r="W115" s="572">
        <f t="shared" si="62"/>
        <v>56.440424999999991</v>
      </c>
      <c r="X115" s="577">
        <f t="shared" si="63"/>
        <v>0</v>
      </c>
    </row>
    <row r="116" spans="1:24" s="46" customFormat="1" x14ac:dyDescent="0.2">
      <c r="A116" s="930"/>
      <c r="B116" s="87" t="s">
        <v>140</v>
      </c>
      <c r="C116" s="88">
        <f>0.85*428.9581</f>
        <v>364.61438499999997</v>
      </c>
      <c r="D116" s="89">
        <f t="shared" si="54"/>
        <v>0.1</v>
      </c>
      <c r="E116" s="90">
        <f t="shared" si="44"/>
        <v>36.4614385</v>
      </c>
      <c r="F116" s="91">
        <f t="shared" si="55"/>
        <v>6.8462239657250859E-2</v>
      </c>
      <c r="G116" s="92">
        <f t="shared" si="56"/>
        <v>232398.90640195884</v>
      </c>
      <c r="H116" s="93">
        <f t="shared" si="57"/>
        <v>637.38271434891101</v>
      </c>
      <c r="I116" s="92"/>
      <c r="J116" s="230"/>
      <c r="K116" s="228">
        <f>C116*VLOOKUP(B116,$O$124:$R$149,4,FALSE)</f>
        <v>0</v>
      </c>
      <c r="L116" s="931"/>
      <c r="M116" s="932"/>
      <c r="N116" s="932"/>
      <c r="O116" s="526" t="s">
        <v>232</v>
      </c>
      <c r="P116" s="526">
        <f>0.518*1.2*(Q110+P113)</f>
        <v>1109556</v>
      </c>
      <c r="S116" s="88">
        <f>428.9581</f>
        <v>428.9581</v>
      </c>
      <c r="T116" s="45"/>
      <c r="U116" s="45">
        <v>0.85</v>
      </c>
      <c r="V116" s="572">
        <f t="shared" si="61"/>
        <v>0.85</v>
      </c>
      <c r="W116" s="572">
        <f t="shared" si="62"/>
        <v>364.61438499999997</v>
      </c>
      <c r="X116" s="577">
        <f t="shared" si="63"/>
        <v>0</v>
      </c>
    </row>
    <row r="117" spans="1:24" s="46" customFormat="1" x14ac:dyDescent="0.2">
      <c r="A117" s="930"/>
      <c r="B117" s="279" t="s">
        <v>157</v>
      </c>
      <c r="C117" s="179">
        <f>0.5*0.85*70.0025</f>
        <v>29.7510625</v>
      </c>
      <c r="D117" s="89">
        <f t="shared" si="54"/>
        <v>0.7</v>
      </c>
      <c r="E117" s="90">
        <f t="shared" si="44"/>
        <v>20.825743749999997</v>
      </c>
      <c r="F117" s="91">
        <f t="shared" si="55"/>
        <v>3.910369744882649E-2</v>
      </c>
      <c r="G117" s="92">
        <f t="shared" si="56"/>
        <v>132739.69079709865</v>
      </c>
      <c r="H117" s="93">
        <f t="shared" si="57"/>
        <v>4461.6790004423756</v>
      </c>
      <c r="I117" s="92"/>
      <c r="J117" s="230"/>
      <c r="K117" s="228">
        <f>C117*VLOOKUP(B117,$O$124:$R$149,4,FALSE)</f>
        <v>408.48208812500002</v>
      </c>
      <c r="L117" s="931"/>
      <c r="M117" s="932"/>
      <c r="N117" s="932"/>
      <c r="O117" s="935"/>
      <c r="P117" s="935"/>
      <c r="S117" s="179">
        <f>70.0025</f>
        <v>70.002499999999998</v>
      </c>
      <c r="T117" s="45">
        <v>0.5</v>
      </c>
      <c r="U117" s="45">
        <v>0.85</v>
      </c>
      <c r="V117" s="572">
        <f t="shared" si="61"/>
        <v>0.42499999999999999</v>
      </c>
      <c r="W117" s="572">
        <f t="shared" si="62"/>
        <v>29.7510625</v>
      </c>
      <c r="X117" s="577">
        <f t="shared" si="63"/>
        <v>0</v>
      </c>
    </row>
    <row r="118" spans="1:24" s="46" customFormat="1" x14ac:dyDescent="0.2">
      <c r="A118" s="930"/>
      <c r="B118" s="279" t="s">
        <v>150</v>
      </c>
      <c r="C118" s="179">
        <f>0.5*0.85*98.809806</f>
        <v>41.994167549999993</v>
      </c>
      <c r="D118" s="89">
        <f t="shared" si="54"/>
        <v>0.9</v>
      </c>
      <c r="E118" s="90">
        <f t="shared" si="44"/>
        <v>37.794750794999992</v>
      </c>
      <c r="F118" s="91">
        <f t="shared" si="55"/>
        <v>7.0965748833890951E-2</v>
      </c>
      <c r="G118" s="92">
        <f t="shared" si="56"/>
        <v>240897.20849857753</v>
      </c>
      <c r="H118" s="93">
        <f t="shared" si="57"/>
        <v>5736.4444291401978</v>
      </c>
      <c r="I118" s="92"/>
      <c r="J118" s="230"/>
      <c r="K118" s="228">
        <f>C118*VLOOKUP(B118,$O$124:$R$149,4,FALSE)</f>
        <v>741.19705725749986</v>
      </c>
      <c r="L118" s="931"/>
      <c r="M118" s="932"/>
      <c r="N118" s="932"/>
      <c r="O118" s="935"/>
      <c r="P118" s="935"/>
      <c r="S118" s="179">
        <f>98.809806</f>
        <v>98.809805999999995</v>
      </c>
      <c r="T118" s="45">
        <v>0.5</v>
      </c>
      <c r="U118" s="45">
        <v>0.85</v>
      </c>
      <c r="V118" s="572">
        <f t="shared" si="61"/>
        <v>0.42499999999999999</v>
      </c>
      <c r="W118" s="572">
        <f t="shared" si="62"/>
        <v>41.994167549999993</v>
      </c>
      <c r="X118" s="577">
        <f t="shared" si="63"/>
        <v>0</v>
      </c>
    </row>
    <row r="119" spans="1:24" s="46" customFormat="1" x14ac:dyDescent="0.2">
      <c r="A119" s="930"/>
      <c r="B119" s="279" t="s">
        <v>153</v>
      </c>
      <c r="C119" s="179">
        <f>0.5*0.85*145.5188</f>
        <v>61.845489999999998</v>
      </c>
      <c r="D119" s="89">
        <f t="shared" si="54"/>
        <v>0.3</v>
      </c>
      <c r="E119" s="90">
        <f t="shared" si="44"/>
        <v>18.553646999999998</v>
      </c>
      <c r="F119" s="91">
        <f t="shared" si="55"/>
        <v>3.483746883519237E-2</v>
      </c>
      <c r="G119" s="92">
        <f t="shared" si="56"/>
        <v>118257.73885931527</v>
      </c>
      <c r="H119" s="92">
        <f t="shared" si="57"/>
        <v>1912.1481430467327</v>
      </c>
      <c r="I119" s="95">
        <f>H119/(VLOOKUP(B119,$O$124:$Q$149,3,FALSE))</f>
        <v>382.42962860934654</v>
      </c>
      <c r="J119" s="228">
        <f>C119*VLOOKUP(B119,$O$124:$R$149,3,FALSE)</f>
        <v>309.22744999999998</v>
      </c>
      <c r="K119" s="228">
        <f>J119*VLOOKUP(B119,$O$124:$R$149,4,FALSE)</f>
        <v>309.22744999999998</v>
      </c>
      <c r="L119" s="931"/>
      <c r="M119" s="932"/>
      <c r="N119" s="932"/>
      <c r="O119" s="935"/>
      <c r="P119" s="935"/>
      <c r="S119" s="179">
        <f>145.5188</f>
        <v>145.5188</v>
      </c>
      <c r="T119" s="45">
        <v>0.5</v>
      </c>
      <c r="U119" s="45">
        <v>0.85</v>
      </c>
      <c r="V119" s="572">
        <f t="shared" si="61"/>
        <v>0.42499999999999999</v>
      </c>
      <c r="W119" s="572">
        <f t="shared" si="62"/>
        <v>61.845489999999998</v>
      </c>
      <c r="X119" s="577">
        <f t="shared" si="63"/>
        <v>0</v>
      </c>
    </row>
    <row r="120" spans="1:24" s="46" customFormat="1" x14ac:dyDescent="0.2">
      <c r="A120" s="930"/>
      <c r="B120" s="520" t="s">
        <v>152</v>
      </c>
      <c r="C120" s="521">
        <f>0.5*0.25*294.8189</f>
        <v>36.852362499999998</v>
      </c>
      <c r="D120" s="89">
        <f t="shared" si="54"/>
        <v>0.3</v>
      </c>
      <c r="E120" s="90">
        <f t="shared" si="44"/>
        <v>11.055708749999999</v>
      </c>
      <c r="F120" s="91">
        <f t="shared" si="55"/>
        <v>2.0758878781572624E-2</v>
      </c>
      <c r="G120" s="92">
        <f t="shared" si="56"/>
        <v>70467.176521260044</v>
      </c>
      <c r="H120" s="92">
        <f t="shared" si="57"/>
        <v>1912.1481430467327</v>
      </c>
      <c r="I120" s="95">
        <f>H120/(VLOOKUP(B120,$O$124:$Q$149,3,FALSE))</f>
        <v>956.07407152336634</v>
      </c>
      <c r="J120" s="228">
        <f>C120*VLOOKUP(B120,$O$124:$R$149,3,FALSE)</f>
        <v>73.704724999999996</v>
      </c>
      <c r="K120" s="228">
        <f>J120*VLOOKUP(B120,$O$124:$R$149,4,FALSE)</f>
        <v>184.26181249999999</v>
      </c>
      <c r="L120" s="931"/>
      <c r="M120" s="932"/>
      <c r="N120" s="932"/>
      <c r="O120" s="935"/>
      <c r="P120" s="935"/>
      <c r="S120" s="521">
        <f>294.8189</f>
        <v>294.81889999999999</v>
      </c>
      <c r="T120" s="269">
        <v>0.5</v>
      </c>
      <c r="U120" s="269">
        <v>0.25</v>
      </c>
      <c r="V120" s="575">
        <f t="shared" si="61"/>
        <v>0.125</v>
      </c>
      <c r="W120" s="575">
        <f t="shared" si="62"/>
        <v>36.852362499999998</v>
      </c>
      <c r="X120" s="578">
        <f t="shared" si="63"/>
        <v>0</v>
      </c>
    </row>
    <row r="121" spans="1:24" s="46" customFormat="1" ht="13.5" thickBot="1" x14ac:dyDescent="0.25">
      <c r="A121" s="924" t="s">
        <v>224</v>
      </c>
      <c r="B121" s="925"/>
      <c r="C121" s="194">
        <f>SUM(C3:C120)</f>
        <v>10524.117106299997</v>
      </c>
      <c r="D121" s="98"/>
      <c r="E121" s="99"/>
      <c r="F121" s="158">
        <f>SUM(F109:F120)</f>
        <v>1</v>
      </c>
      <c r="G121" s="159">
        <f>SUM(G109:G120)</f>
        <v>3394556</v>
      </c>
      <c r="H121" s="101"/>
      <c r="I121" s="101"/>
      <c r="J121" s="229"/>
      <c r="K121" s="235">
        <f>SUM(K109:K120)</f>
        <v>9098.6064585325003</v>
      </c>
      <c r="L121" s="99"/>
      <c r="M121" s="98"/>
      <c r="N121" s="98"/>
      <c r="O121" s="193"/>
      <c r="P121" s="193"/>
      <c r="Q121" s="289">
        <f>SUM(Q110,Q88,Q76,Q62,Q51,Q35,Q16,Q4)-Q110</f>
        <v>11470518.276325021</v>
      </c>
      <c r="S121" s="98">
        <f>SUM(S109:S120)</f>
        <v>2170.607806</v>
      </c>
      <c r="T121" s="98"/>
      <c r="U121" s="98"/>
      <c r="V121" s="98"/>
      <c r="W121" s="98">
        <f t="shared" ref="W121:X121" si="64">SUM(W109:W120)</f>
        <v>1416.3240375499997</v>
      </c>
      <c r="X121" s="98">
        <f t="shared" si="64"/>
        <v>0</v>
      </c>
    </row>
    <row r="122" spans="1:24" s="46" customFormat="1" ht="13.5" thickBot="1" x14ac:dyDescent="0.25">
      <c r="A122" s="111"/>
      <c r="B122" s="112"/>
      <c r="C122" s="112"/>
      <c r="D122" s="98"/>
      <c r="E122" s="99"/>
      <c r="F122" s="100"/>
      <c r="G122" s="101"/>
      <c r="H122" s="101"/>
      <c r="I122" s="101"/>
      <c r="J122" s="236" t="s">
        <v>242</v>
      </c>
      <c r="K122" s="236" t="e">
        <f>K12+K32+K48+K57+K72+K82+K106+K121</f>
        <v>#N/A</v>
      </c>
      <c r="L122" s="99"/>
      <c r="M122" s="98"/>
      <c r="N122" s="98"/>
      <c r="O122" s="926" t="s">
        <v>225</v>
      </c>
      <c r="P122" s="927"/>
      <c r="Q122" s="927"/>
      <c r="R122" s="928"/>
    </row>
    <row r="123" spans="1:24" s="46" customFormat="1" ht="18" x14ac:dyDescent="0.2">
      <c r="A123" s="111"/>
      <c r="B123" s="112"/>
      <c r="C123" s="112"/>
      <c r="D123" s="98"/>
      <c r="E123" s="99"/>
      <c r="F123" s="100"/>
      <c r="G123" s="101"/>
      <c r="H123" s="101"/>
      <c r="I123" s="101"/>
      <c r="J123" s="229"/>
      <c r="K123" s="229"/>
      <c r="L123" s="99"/>
      <c r="M123" s="98"/>
      <c r="N123" s="98"/>
      <c r="O123" s="221" t="s">
        <v>129</v>
      </c>
      <c r="P123" s="222" t="s">
        <v>130</v>
      </c>
      <c r="Q123" s="223" t="s">
        <v>131</v>
      </c>
      <c r="R123" s="224" t="s">
        <v>165</v>
      </c>
      <c r="S123" s="46" t="s">
        <v>382</v>
      </c>
    </row>
    <row r="124" spans="1:24" s="46" customFormat="1" x14ac:dyDescent="0.2">
      <c r="A124" s="111"/>
      <c r="B124" s="112"/>
      <c r="C124" s="112"/>
      <c r="D124" s="98"/>
      <c r="E124" s="929" t="s">
        <v>231</v>
      </c>
      <c r="F124" s="929"/>
      <c r="G124" s="929"/>
      <c r="H124" s="929"/>
      <c r="I124" s="101"/>
      <c r="J124" s="229"/>
      <c r="K124" s="229"/>
      <c r="L124" s="99"/>
      <c r="M124" s="98"/>
      <c r="N124" s="98"/>
      <c r="O124" s="169" t="s">
        <v>133</v>
      </c>
      <c r="P124" s="170">
        <v>0.3</v>
      </c>
      <c r="Q124" s="220">
        <v>2</v>
      </c>
      <c r="R124" s="225">
        <v>2.5</v>
      </c>
    </row>
    <row r="125" spans="1:24" s="46" customFormat="1" x14ac:dyDescent="0.2">
      <c r="A125" s="111"/>
      <c r="B125" s="112"/>
      <c r="C125" s="112"/>
      <c r="D125" s="98"/>
      <c r="E125" s="190" t="s">
        <v>206</v>
      </c>
      <c r="F125" s="191">
        <f>P5+P17+P36+P52+P63+P77+P89</f>
        <v>761997.15650520928</v>
      </c>
      <c r="G125" s="915" t="str">
        <f>IF(F125='Future Improve'!D8,"Good! Matched!", "No Good!")</f>
        <v>No Good!</v>
      </c>
      <c r="H125" s="915"/>
      <c r="I125" s="101"/>
      <c r="J125" s="229"/>
      <c r="K125" s="229"/>
      <c r="L125" s="99"/>
      <c r="M125" s="98"/>
      <c r="N125" s="98"/>
      <c r="O125" s="169" t="s">
        <v>135</v>
      </c>
      <c r="P125" s="170">
        <v>0.3</v>
      </c>
      <c r="Q125" s="220">
        <v>5</v>
      </c>
      <c r="R125" s="225">
        <v>1</v>
      </c>
    </row>
    <row r="126" spans="1:24" s="46" customFormat="1" x14ac:dyDescent="0.2">
      <c r="A126" s="111"/>
      <c r="B126" s="112"/>
      <c r="C126" s="112"/>
      <c r="D126" s="98"/>
      <c r="E126" s="190" t="s">
        <v>207</v>
      </c>
      <c r="F126" s="191">
        <f>P18+P37+P53+P65+P78+P90</f>
        <v>530444.73007607763</v>
      </c>
      <c r="G126" s="915" t="str">
        <f>IF(F126='Future Improve'!D9,"Good! Matched!", "No Good!")</f>
        <v>No Good!</v>
      </c>
      <c r="H126" s="915"/>
      <c r="I126" s="101"/>
      <c r="J126" s="229"/>
      <c r="K126" s="229"/>
      <c r="L126" s="99"/>
      <c r="M126" s="98"/>
      <c r="N126" s="98"/>
      <c r="O126" s="169" t="s">
        <v>137</v>
      </c>
      <c r="P126" s="170">
        <v>0.5</v>
      </c>
      <c r="Q126" s="220">
        <v>10</v>
      </c>
      <c r="R126" s="225">
        <v>0.93</v>
      </c>
    </row>
    <row r="127" spans="1:24" s="46" customFormat="1" x14ac:dyDescent="0.2">
      <c r="A127" s="111"/>
      <c r="B127" s="112"/>
      <c r="C127" s="112"/>
      <c r="D127" s="98"/>
      <c r="E127" s="190" t="s">
        <v>209</v>
      </c>
      <c r="F127" s="191">
        <f>P54+P66+P79+P91</f>
        <v>400500.88172881928</v>
      </c>
      <c r="G127" s="915" t="str">
        <f>IF(F127='Future Improve'!D10,"Good! Matched!", "No Good!")</f>
        <v>No Good!</v>
      </c>
      <c r="H127" s="915"/>
      <c r="I127" s="101"/>
      <c r="J127" s="229"/>
      <c r="K127" s="409"/>
      <c r="L127" s="99"/>
      <c r="M127" s="98"/>
      <c r="N127" s="98"/>
      <c r="O127" s="169" t="s">
        <v>139</v>
      </c>
      <c r="P127" s="170">
        <v>0.65</v>
      </c>
      <c r="Q127" s="220">
        <v>17</v>
      </c>
      <c r="R127" s="225">
        <v>0.64</v>
      </c>
    </row>
    <row r="128" spans="1:24" s="46" customFormat="1" x14ac:dyDescent="0.2">
      <c r="A128" s="111"/>
      <c r="B128" s="112"/>
      <c r="C128" s="112"/>
      <c r="D128" s="98"/>
      <c r="E128" s="190" t="s">
        <v>210</v>
      </c>
      <c r="F128" s="191">
        <f>P80+P92</f>
        <v>225000</v>
      </c>
      <c r="G128" s="915" t="str">
        <f>IF(F128='Future Improve'!D11,"Good! Matched!", "No Good!")</f>
        <v>Good! Matched!</v>
      </c>
      <c r="H128" s="915"/>
      <c r="I128" s="101"/>
      <c r="J128" s="229"/>
      <c r="K128" s="229"/>
      <c r="L128" s="99"/>
      <c r="M128" s="98"/>
      <c r="N128" s="98"/>
      <c r="O128" s="169" t="s">
        <v>140</v>
      </c>
      <c r="P128" s="170">
        <v>0.1</v>
      </c>
      <c r="Q128" s="231"/>
      <c r="R128" s="225">
        <v>0</v>
      </c>
    </row>
    <row r="129" spans="1:18" s="46" customFormat="1" x14ac:dyDescent="0.2">
      <c r="A129" s="111"/>
      <c r="B129" s="112"/>
      <c r="C129" s="112"/>
      <c r="D129" s="98"/>
      <c r="E129" s="99"/>
      <c r="F129" s="100"/>
      <c r="G129" s="101"/>
      <c r="H129" s="101"/>
      <c r="I129" s="101"/>
      <c r="J129" s="229"/>
      <c r="K129" s="229"/>
      <c r="L129" s="99"/>
      <c r="M129" s="98"/>
      <c r="N129" s="98"/>
      <c r="O129" s="169" t="s">
        <v>134</v>
      </c>
      <c r="P129" s="170">
        <v>0.1</v>
      </c>
      <c r="Q129" s="232"/>
      <c r="R129" s="225">
        <v>0</v>
      </c>
    </row>
    <row r="130" spans="1:18" s="46" customFormat="1" x14ac:dyDescent="0.2">
      <c r="A130" s="111"/>
      <c r="B130" s="112"/>
      <c r="C130" s="112"/>
      <c r="D130" s="98"/>
      <c r="E130" s="99"/>
      <c r="F130" s="100"/>
      <c r="G130" s="101"/>
      <c r="H130" s="101"/>
      <c r="I130" s="101"/>
      <c r="J130" s="229"/>
      <c r="K130" s="229"/>
      <c r="L130" s="99"/>
      <c r="M130" s="98"/>
      <c r="N130" s="98"/>
      <c r="O130" s="169" t="s">
        <v>136</v>
      </c>
      <c r="P130" s="170">
        <v>0.1</v>
      </c>
      <c r="Q130" s="233"/>
      <c r="R130" s="225">
        <v>1</v>
      </c>
    </row>
    <row r="131" spans="1:18" s="46" customFormat="1" x14ac:dyDescent="0.2">
      <c r="A131" s="111"/>
      <c r="B131" s="112"/>
      <c r="C131" s="112"/>
      <c r="D131" s="98"/>
      <c r="E131" s="99"/>
      <c r="F131" s="100"/>
      <c r="G131" s="101"/>
      <c r="H131" s="101"/>
      <c r="I131" s="101"/>
      <c r="J131" s="229"/>
      <c r="K131" s="229"/>
      <c r="L131" s="99"/>
      <c r="M131" s="98"/>
      <c r="N131" s="98"/>
      <c r="O131" s="169" t="s">
        <v>229</v>
      </c>
      <c r="P131" s="170">
        <v>0.3</v>
      </c>
      <c r="Q131" s="220">
        <v>5</v>
      </c>
      <c r="R131" s="225">
        <v>1</v>
      </c>
    </row>
    <row r="132" spans="1:18" s="46" customFormat="1" x14ac:dyDescent="0.2">
      <c r="A132" s="111"/>
      <c r="B132" s="112"/>
      <c r="C132" s="112"/>
      <c r="D132" s="98"/>
      <c r="E132" s="99"/>
      <c r="F132" s="100"/>
      <c r="G132" s="101"/>
      <c r="H132" s="101"/>
      <c r="I132" s="101"/>
      <c r="J132" s="229"/>
      <c r="K132" s="229"/>
      <c r="L132" s="99"/>
      <c r="M132" s="98"/>
      <c r="N132" s="98"/>
      <c r="O132" s="169" t="s">
        <v>144</v>
      </c>
      <c r="P132" s="170">
        <v>0.9</v>
      </c>
      <c r="Q132" s="231"/>
      <c r="R132" s="225">
        <v>17.649999999999999</v>
      </c>
    </row>
    <row r="133" spans="1:18" s="46" customFormat="1" x14ac:dyDescent="0.2">
      <c r="A133" s="111"/>
      <c r="B133" s="112"/>
      <c r="C133" s="112"/>
      <c r="D133" s="98"/>
      <c r="E133" s="99"/>
      <c r="F133" s="100"/>
      <c r="G133" s="101"/>
      <c r="H133" s="101"/>
      <c r="I133" s="101"/>
      <c r="J133" s="229"/>
      <c r="K133" s="229"/>
      <c r="L133" s="99"/>
      <c r="M133" s="98"/>
      <c r="N133" s="98"/>
      <c r="O133" s="169" t="s">
        <v>142</v>
      </c>
      <c r="P133" s="170">
        <v>0.9</v>
      </c>
      <c r="Q133" s="232"/>
      <c r="R133" s="225">
        <v>17.649999999999999</v>
      </c>
    </row>
    <row r="134" spans="1:18" s="46" customFormat="1" x14ac:dyDescent="0.2">
      <c r="A134" s="111"/>
      <c r="B134" s="112"/>
      <c r="C134" s="112"/>
      <c r="D134" s="98"/>
      <c r="E134" s="99"/>
      <c r="F134" s="100"/>
      <c r="G134" s="101"/>
      <c r="H134" s="101"/>
      <c r="I134" s="101"/>
      <c r="J134" s="229"/>
      <c r="K134" s="229"/>
      <c r="L134" s="99"/>
      <c r="M134" s="98"/>
      <c r="N134" s="98"/>
      <c r="O134" s="169" t="s">
        <v>143</v>
      </c>
      <c r="P134" s="170">
        <v>0.9</v>
      </c>
      <c r="Q134" s="232"/>
      <c r="R134" s="225">
        <v>17.649999999999999</v>
      </c>
    </row>
    <row r="135" spans="1:18" s="46" customFormat="1" x14ac:dyDescent="0.2">
      <c r="A135" s="111"/>
      <c r="B135" s="112"/>
      <c r="C135" s="112"/>
      <c r="D135" s="98"/>
      <c r="E135" s="99"/>
      <c r="F135" s="100"/>
      <c r="G135" s="101"/>
      <c r="H135" s="101"/>
      <c r="I135" s="101"/>
      <c r="J135" s="229"/>
      <c r="K135" s="229"/>
      <c r="L135" s="99"/>
      <c r="M135" s="98"/>
      <c r="N135" s="98"/>
      <c r="O135" s="169" t="s">
        <v>145</v>
      </c>
      <c r="P135" s="170">
        <v>0.9</v>
      </c>
      <c r="Q135" s="232"/>
      <c r="R135" s="225">
        <v>17.649999999999999</v>
      </c>
    </row>
    <row r="136" spans="1:18" s="46" customFormat="1" x14ac:dyDescent="0.2">
      <c r="A136" s="111"/>
      <c r="B136" s="112"/>
      <c r="C136" s="112"/>
      <c r="D136" s="98"/>
      <c r="E136" s="99"/>
      <c r="F136" s="100"/>
      <c r="G136" s="101"/>
      <c r="H136" s="101"/>
      <c r="I136" s="101"/>
      <c r="J136" s="229"/>
      <c r="K136" s="229"/>
      <c r="L136" s="99"/>
      <c r="M136" s="98"/>
      <c r="N136" s="98"/>
      <c r="O136" s="169" t="s">
        <v>146</v>
      </c>
      <c r="P136" s="170">
        <v>0.7</v>
      </c>
      <c r="Q136" s="232"/>
      <c r="R136" s="225">
        <v>13.73</v>
      </c>
    </row>
    <row r="137" spans="1:18" s="46" customFormat="1" x14ac:dyDescent="0.2">
      <c r="A137" s="111"/>
      <c r="B137" s="112"/>
      <c r="C137" s="112"/>
      <c r="D137" s="98"/>
      <c r="E137" s="99"/>
      <c r="F137" s="100"/>
      <c r="G137" s="101"/>
      <c r="H137" s="101"/>
      <c r="I137" s="101"/>
      <c r="J137" s="229"/>
      <c r="K137" s="229"/>
      <c r="L137" s="99"/>
      <c r="M137" s="98"/>
      <c r="N137" s="98"/>
      <c r="O137" s="169" t="s">
        <v>148</v>
      </c>
      <c r="P137" s="170">
        <v>0.7</v>
      </c>
      <c r="Q137" s="232"/>
      <c r="R137" s="225">
        <v>13.73</v>
      </c>
    </row>
    <row r="138" spans="1:18" s="46" customFormat="1" x14ac:dyDescent="0.2">
      <c r="A138" s="111" t="s">
        <v>418</v>
      </c>
      <c r="B138" s="112"/>
      <c r="C138" s="112"/>
      <c r="D138" s="98"/>
      <c r="E138" s="99"/>
      <c r="F138" s="100"/>
      <c r="G138" s="101"/>
      <c r="H138" s="101"/>
      <c r="I138" s="101"/>
      <c r="J138" s="229"/>
      <c r="K138" s="229"/>
      <c r="L138" s="99"/>
      <c r="M138" s="98"/>
      <c r="N138" s="98"/>
      <c r="O138" s="169" t="s">
        <v>149</v>
      </c>
      <c r="P138" s="170">
        <v>0.7</v>
      </c>
      <c r="Q138" s="233"/>
      <c r="R138" s="225">
        <v>13.73</v>
      </c>
    </row>
    <row r="139" spans="1:18" s="46" customFormat="1" x14ac:dyDescent="0.2">
      <c r="A139" s="111" t="s">
        <v>239</v>
      </c>
      <c r="B139" s="658">
        <f>Q4</f>
        <v>254883.54851369286</v>
      </c>
      <c r="C139" s="112">
        <f>N3</f>
        <v>876.22361950000004</v>
      </c>
      <c r="D139" s="98"/>
      <c r="E139" s="99"/>
      <c r="F139" s="100"/>
      <c r="G139" s="101"/>
      <c r="H139" s="101"/>
      <c r="I139" s="101"/>
      <c r="J139" s="229"/>
      <c r="K139" s="229"/>
      <c r="L139" s="99"/>
      <c r="M139" s="98"/>
      <c r="N139" s="98"/>
      <c r="O139" s="169" t="s">
        <v>147</v>
      </c>
      <c r="P139" s="170">
        <v>0.3</v>
      </c>
      <c r="Q139" s="220">
        <v>5</v>
      </c>
      <c r="R139" s="225">
        <v>1</v>
      </c>
    </row>
    <row r="140" spans="1:18" s="46" customFormat="1" x14ac:dyDescent="0.2">
      <c r="A140" s="111" t="s">
        <v>238</v>
      </c>
      <c r="B140" s="658">
        <f>Q16</f>
        <v>1214446.7756295153</v>
      </c>
      <c r="C140" s="112">
        <f>N15</f>
        <v>327.37709425000008</v>
      </c>
      <c r="D140" s="98"/>
      <c r="E140" s="99"/>
      <c r="F140" s="100"/>
      <c r="G140" s="101"/>
      <c r="H140" s="101"/>
      <c r="I140" s="101"/>
      <c r="J140" s="229"/>
      <c r="K140" s="229"/>
      <c r="L140" s="99"/>
      <c r="M140" s="98"/>
      <c r="N140" s="98"/>
      <c r="O140" s="169" t="s">
        <v>152</v>
      </c>
      <c r="P140" s="170">
        <v>0.3</v>
      </c>
      <c r="Q140" s="220">
        <v>2</v>
      </c>
      <c r="R140" s="225">
        <v>2.5</v>
      </c>
    </row>
    <row r="141" spans="1:18" s="46" customFormat="1" x14ac:dyDescent="0.2">
      <c r="A141" s="111" t="s">
        <v>258</v>
      </c>
      <c r="B141" s="658">
        <f>Q35</f>
        <v>643846.96718502126</v>
      </c>
      <c r="C141" s="112">
        <f>N34</f>
        <v>331.93393799999996</v>
      </c>
      <c r="D141" s="98"/>
      <c r="E141" s="99"/>
      <c r="F141" s="100"/>
      <c r="G141" s="101"/>
      <c r="H141" s="101"/>
      <c r="I141" s="101"/>
      <c r="J141" s="229"/>
      <c r="K141" s="229"/>
      <c r="L141" s="99"/>
      <c r="M141" s="98"/>
      <c r="N141" s="98"/>
      <c r="O141" s="169" t="s">
        <v>153</v>
      </c>
      <c r="P141" s="170">
        <v>0.3</v>
      </c>
      <c r="Q141" s="220">
        <v>5</v>
      </c>
      <c r="R141" s="225">
        <v>1</v>
      </c>
    </row>
    <row r="142" spans="1:18" s="46" customFormat="1" x14ac:dyDescent="0.2">
      <c r="A142" s="111" t="s">
        <v>259</v>
      </c>
      <c r="B142" s="658">
        <f>Q62</f>
        <v>1360751.9007608725</v>
      </c>
      <c r="C142" s="112">
        <f>N61</f>
        <v>526.80590249999989</v>
      </c>
      <c r="D142" s="98"/>
      <c r="E142" s="99"/>
      <c r="F142" s="100"/>
      <c r="G142" s="101"/>
      <c r="H142" s="101"/>
      <c r="I142" s="101"/>
      <c r="J142" s="229"/>
      <c r="K142" s="229"/>
      <c r="L142" s="99"/>
      <c r="M142" s="98"/>
      <c r="N142" s="98"/>
      <c r="O142" s="169" t="s">
        <v>154</v>
      </c>
      <c r="P142" s="170">
        <v>0.5</v>
      </c>
      <c r="Q142" s="220">
        <v>10</v>
      </c>
      <c r="R142" s="225">
        <v>0.93</v>
      </c>
    </row>
    <row r="143" spans="1:18" s="46" customFormat="1" x14ac:dyDescent="0.2">
      <c r="A143" s="111" t="s">
        <v>260</v>
      </c>
      <c r="B143" s="658"/>
      <c r="C143" s="112"/>
      <c r="D143" s="98"/>
      <c r="E143" s="99"/>
      <c r="F143" s="100"/>
      <c r="G143" s="101"/>
      <c r="H143" s="101"/>
      <c r="I143" s="101"/>
      <c r="J143" s="229"/>
      <c r="K143" s="229"/>
      <c r="L143" s="99"/>
      <c r="M143" s="98"/>
      <c r="N143" s="98"/>
      <c r="O143" s="169" t="s">
        <v>155</v>
      </c>
      <c r="P143" s="170">
        <v>0.1</v>
      </c>
      <c r="Q143" s="231"/>
      <c r="R143" s="225">
        <v>0</v>
      </c>
    </row>
    <row r="144" spans="1:18" s="46" customFormat="1" x14ac:dyDescent="0.2">
      <c r="A144" s="111" t="s">
        <v>261</v>
      </c>
      <c r="B144" s="658"/>
      <c r="C144" s="112"/>
      <c r="D144" s="98"/>
      <c r="E144" s="99"/>
      <c r="F144" s="100"/>
      <c r="G144" s="101"/>
      <c r="H144" s="101"/>
      <c r="I144" s="101"/>
      <c r="J144" s="229"/>
      <c r="K144" s="229"/>
      <c r="L144" s="99"/>
      <c r="M144" s="98"/>
      <c r="N144" s="98"/>
      <c r="O144" s="169" t="s">
        <v>156</v>
      </c>
      <c r="P144" s="170">
        <v>0.1</v>
      </c>
      <c r="Q144" s="233"/>
      <c r="R144" s="225">
        <v>1</v>
      </c>
    </row>
    <row r="145" spans="1:18" s="46" customFormat="1" x14ac:dyDescent="0.2">
      <c r="A145" s="111" t="s">
        <v>262</v>
      </c>
      <c r="B145" s="658">
        <f>Q88</f>
        <v>7504090.4822086226</v>
      </c>
      <c r="C145" s="112">
        <f>N87</f>
        <v>1310.5501158750001</v>
      </c>
      <c r="D145" s="98"/>
      <c r="E145" s="99"/>
      <c r="F145" s="100"/>
      <c r="G145" s="101"/>
      <c r="H145" s="101"/>
      <c r="I145" s="101"/>
      <c r="J145" s="229"/>
      <c r="K145" s="229"/>
      <c r="L145" s="99"/>
      <c r="M145" s="98"/>
      <c r="N145" s="98"/>
      <c r="O145" s="169" t="s">
        <v>230</v>
      </c>
      <c r="P145" s="170">
        <v>0.3</v>
      </c>
      <c r="Q145" s="220">
        <v>5</v>
      </c>
      <c r="R145" s="225">
        <v>1</v>
      </c>
    </row>
    <row r="146" spans="1:18" s="46" customFormat="1" x14ac:dyDescent="0.2">
      <c r="A146" s="111" t="s">
        <v>263</v>
      </c>
      <c r="B146" s="659">
        <f>Q110</f>
        <v>1500000</v>
      </c>
      <c r="C146" s="663">
        <f>N109</f>
        <v>532.57735479499991</v>
      </c>
      <c r="D146" s="98"/>
      <c r="E146" s="99"/>
      <c r="F146" s="100"/>
      <c r="G146" s="101"/>
      <c r="H146" s="101"/>
      <c r="I146" s="101"/>
      <c r="J146" s="229"/>
      <c r="K146" s="229"/>
      <c r="L146" s="99"/>
      <c r="M146" s="98"/>
      <c r="N146" s="98"/>
      <c r="O146" s="169" t="s">
        <v>157</v>
      </c>
      <c r="P146" s="170">
        <v>0.7</v>
      </c>
      <c r="Q146" s="231"/>
      <c r="R146" s="225">
        <v>13.73</v>
      </c>
    </row>
    <row r="147" spans="1:18" s="46" customFormat="1" x14ac:dyDescent="0.2">
      <c r="A147" s="111"/>
      <c r="B147" s="657">
        <f>SUM(B139:B146)</f>
        <v>12478019.674297724</v>
      </c>
      <c r="C147" s="656">
        <f>SUM(C139:C146)</f>
        <v>3905.4680249199996</v>
      </c>
      <c r="D147" s="98"/>
      <c r="E147" s="99"/>
      <c r="F147" s="100"/>
      <c r="G147" s="101"/>
      <c r="H147" s="101"/>
      <c r="I147" s="101"/>
      <c r="J147" s="229"/>
      <c r="K147" s="229"/>
      <c r="L147" s="99"/>
      <c r="M147" s="98"/>
      <c r="N147" s="98"/>
      <c r="O147" s="169" t="s">
        <v>150</v>
      </c>
      <c r="P147" s="170">
        <v>0.9</v>
      </c>
      <c r="Q147" s="232"/>
      <c r="R147" s="225">
        <v>17.649999999999999</v>
      </c>
    </row>
    <row r="148" spans="1:18" s="46" customFormat="1" x14ac:dyDescent="0.2">
      <c r="A148" s="111"/>
      <c r="B148" s="112"/>
      <c r="C148" s="112"/>
      <c r="D148" s="98"/>
      <c r="E148" s="99"/>
      <c r="F148" s="100"/>
      <c r="G148" s="101"/>
      <c r="H148" s="101"/>
      <c r="I148" s="101"/>
      <c r="J148" s="229"/>
      <c r="K148" s="229"/>
      <c r="L148" s="99"/>
      <c r="M148" s="98"/>
      <c r="N148" s="98"/>
      <c r="O148" s="169" t="s">
        <v>151</v>
      </c>
      <c r="P148" s="170">
        <v>0.9</v>
      </c>
      <c r="Q148" s="232"/>
      <c r="R148" s="225">
        <v>17.649999999999999</v>
      </c>
    </row>
    <row r="149" spans="1:18" s="46" customFormat="1" ht="13.5" thickBot="1" x14ac:dyDescent="0.25">
      <c r="A149" s="111"/>
      <c r="B149" s="112"/>
      <c r="C149" s="112"/>
      <c r="D149" s="98"/>
      <c r="E149" s="99"/>
      <c r="F149" s="100"/>
      <c r="G149" s="101"/>
      <c r="H149" s="101"/>
      <c r="I149" s="101"/>
      <c r="J149" s="229"/>
      <c r="K149" s="229"/>
      <c r="L149" s="99"/>
      <c r="M149" s="98"/>
      <c r="N149" s="98"/>
      <c r="O149" s="172" t="s">
        <v>159</v>
      </c>
      <c r="P149" s="173">
        <v>0.7</v>
      </c>
      <c r="Q149" s="234"/>
      <c r="R149" s="226">
        <v>13.73</v>
      </c>
    </row>
  </sheetData>
  <mergeCells count="62">
    <mergeCell ref="O2:P2"/>
    <mergeCell ref="A3:A11"/>
    <mergeCell ref="L3:L11"/>
    <mergeCell ref="M3:M11"/>
    <mergeCell ref="N3:N11"/>
    <mergeCell ref="O3:P3"/>
    <mergeCell ref="Q4:Q6"/>
    <mergeCell ref="C13:G13"/>
    <mergeCell ref="A15:A31"/>
    <mergeCell ref="L15:L31"/>
    <mergeCell ref="M15:M31"/>
    <mergeCell ref="N15:N31"/>
    <mergeCell ref="O15:P15"/>
    <mergeCell ref="Q16:Q19"/>
    <mergeCell ref="O24:P31"/>
    <mergeCell ref="Q51:Q55"/>
    <mergeCell ref="A34:A47"/>
    <mergeCell ref="L34:L47"/>
    <mergeCell ref="M34:M47"/>
    <mergeCell ref="N34:N47"/>
    <mergeCell ref="O34:P34"/>
    <mergeCell ref="Q35:Q39"/>
    <mergeCell ref="O44:P47"/>
    <mergeCell ref="L61:L71"/>
    <mergeCell ref="M61:M71"/>
    <mergeCell ref="N61:N71"/>
    <mergeCell ref="O61:P61"/>
    <mergeCell ref="A50:A56"/>
    <mergeCell ref="L50:L56"/>
    <mergeCell ref="M50:M56"/>
    <mergeCell ref="N50:N56"/>
    <mergeCell ref="O50:P50"/>
    <mergeCell ref="Q88:Q94"/>
    <mergeCell ref="O99:P105"/>
    <mergeCell ref="A75:A81"/>
    <mergeCell ref="L75:L81"/>
    <mergeCell ref="M75:M81"/>
    <mergeCell ref="N75:N81"/>
    <mergeCell ref="O75:P75"/>
    <mergeCell ref="Q76:Q81"/>
    <mergeCell ref="O117:P120"/>
    <mergeCell ref="A87:A105"/>
    <mergeCell ref="L87:L105"/>
    <mergeCell ref="M87:M105"/>
    <mergeCell ref="N87:N105"/>
    <mergeCell ref="O87:P87"/>
    <mergeCell ref="G128:H128"/>
    <mergeCell ref="A61:A71"/>
    <mergeCell ref="Q62:Q68"/>
    <mergeCell ref="C73:G73"/>
    <mergeCell ref="A121:B121"/>
    <mergeCell ref="O122:R122"/>
    <mergeCell ref="E124:H124"/>
    <mergeCell ref="G125:H125"/>
    <mergeCell ref="G126:H126"/>
    <mergeCell ref="G127:H127"/>
    <mergeCell ref="A109:A120"/>
    <mergeCell ref="L109:L120"/>
    <mergeCell ref="M109:M120"/>
    <mergeCell ref="N109:N120"/>
    <mergeCell ref="O109:P109"/>
    <mergeCell ref="Q110:Q112"/>
  </mergeCells>
  <pageMargins left="0.75" right="0.75" top="1" bottom="1" header="0.5" footer="0.5"/>
  <pageSetup paperSize="3" scale="33" orientation="landscape" r:id="rId1"/>
  <headerFooter alignWithMargins="0">
    <oddFooter>&amp;C- &amp;P -
&amp;F</oddFooter>
  </headerFooter>
  <rowBreaks count="1" manualBreakCount="1">
    <brk id="86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7"/>
  <sheetViews>
    <sheetView zoomScaleNormal="100" workbookViewId="0">
      <selection activeCell="B10" sqref="B10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1.42578125" style="4" customWidth="1"/>
    <col min="7" max="7" width="21.42578125" style="2" customWidth="1"/>
    <col min="8" max="16384" width="9.140625" style="2"/>
  </cols>
  <sheetData>
    <row r="4" spans="1:7" x14ac:dyDescent="0.2">
      <c r="G4" s="29">
        <v>40406</v>
      </c>
    </row>
    <row r="5" spans="1:7" x14ac:dyDescent="0.2">
      <c r="G5" s="29"/>
    </row>
    <row r="6" spans="1:7" ht="13.5" thickBot="1" x14ac:dyDescent="0.25"/>
    <row r="7" spans="1:7" x14ac:dyDescent="0.2">
      <c r="A7" s="1016" t="s">
        <v>6</v>
      </c>
      <c r="B7" s="1029" t="s">
        <v>19</v>
      </c>
      <c r="C7" s="17" t="s">
        <v>1</v>
      </c>
      <c r="D7" s="7" t="s">
        <v>3</v>
      </c>
      <c r="E7" s="17" t="s">
        <v>4</v>
      </c>
      <c r="F7" s="1018" t="s">
        <v>0</v>
      </c>
      <c r="G7" s="84" t="s">
        <v>16</v>
      </c>
    </row>
    <row r="8" spans="1:7" s="1" customFormat="1" ht="13.5" thickBot="1" x14ac:dyDescent="0.25">
      <c r="A8" s="1017"/>
      <c r="B8" s="1030"/>
      <c r="C8" s="18" t="s">
        <v>2</v>
      </c>
      <c r="D8" s="13" t="s">
        <v>2</v>
      </c>
      <c r="E8" s="18" t="s">
        <v>5</v>
      </c>
      <c r="F8" s="1019"/>
      <c r="G8" s="15" t="s">
        <v>7</v>
      </c>
    </row>
    <row r="9" spans="1:7" x14ac:dyDescent="0.2">
      <c r="A9" s="195" t="s">
        <v>113</v>
      </c>
      <c r="B9" s="8"/>
      <c r="C9" s="19"/>
      <c r="D9" s="9"/>
      <c r="E9" s="20"/>
      <c r="F9" s="10"/>
      <c r="G9" s="83"/>
    </row>
    <row r="10" spans="1:7" x14ac:dyDescent="0.2">
      <c r="A10" s="16" t="s">
        <v>18</v>
      </c>
      <c r="B10" s="8" t="s">
        <v>112</v>
      </c>
      <c r="C10" s="19"/>
      <c r="D10" s="9"/>
      <c r="E10" s="20">
        <v>1500000</v>
      </c>
      <c r="F10" s="192">
        <f>E10</f>
        <v>1500000</v>
      </c>
      <c r="G10" s="83">
        <f>SUM(F10:F12)</f>
        <v>1500000</v>
      </c>
    </row>
    <row r="11" spans="1:7" x14ac:dyDescent="0.2">
      <c r="A11" s="16" t="s">
        <v>20</v>
      </c>
      <c r="B11" s="8" t="s">
        <v>110</v>
      </c>
      <c r="C11" s="19">
        <v>500</v>
      </c>
      <c r="D11" s="9">
        <v>10</v>
      </c>
      <c r="E11" s="20">
        <v>150</v>
      </c>
      <c r="F11" s="249">
        <f>C11*E11*0</f>
        <v>0</v>
      </c>
      <c r="G11" s="83"/>
    </row>
    <row r="12" spans="1:7" x14ac:dyDescent="0.2">
      <c r="A12" s="16" t="s">
        <v>111</v>
      </c>
      <c r="B12" s="8" t="s">
        <v>38</v>
      </c>
      <c r="C12" s="19">
        <v>24176</v>
      </c>
      <c r="D12" s="9">
        <v>8</v>
      </c>
      <c r="E12" s="20">
        <v>140</v>
      </c>
      <c r="F12" s="249">
        <f>C12*E12*0</f>
        <v>0</v>
      </c>
      <c r="G12" s="83"/>
    </row>
    <row r="13" spans="1:7" ht="13.5" thickBot="1" x14ac:dyDescent="0.25">
      <c r="A13" s="16"/>
      <c r="B13" s="8"/>
      <c r="C13" s="19"/>
      <c r="D13" s="9"/>
      <c r="E13" s="20"/>
      <c r="F13" s="10"/>
      <c r="G13" s="83"/>
    </row>
    <row r="14" spans="1:7" ht="19.5" customHeight="1" thickBot="1" x14ac:dyDescent="0.25">
      <c r="A14" s="24" t="s">
        <v>0</v>
      </c>
      <c r="B14" s="1026" t="s">
        <v>114</v>
      </c>
      <c r="C14" s="1027"/>
      <c r="D14" s="1027"/>
      <c r="E14" s="1027"/>
      <c r="F14" s="1027"/>
      <c r="G14" s="85">
        <f>SUM(G10:G12)</f>
        <v>1500000</v>
      </c>
    </row>
    <row r="15" spans="1:7" ht="42.75" customHeight="1" x14ac:dyDescent="0.2">
      <c r="A15" s="30"/>
      <c r="B15" s="1101" t="s">
        <v>245</v>
      </c>
      <c r="C15" s="1101"/>
      <c r="D15" s="1101"/>
      <c r="E15" s="1101"/>
      <c r="F15" s="1101"/>
      <c r="G15" s="1101"/>
    </row>
    <row r="16" spans="1:7" x14ac:dyDescent="0.2">
      <c r="G16" s="3"/>
    </row>
    <row r="17" spans="7:7" x14ac:dyDescent="0.2">
      <c r="G17" s="3"/>
    </row>
  </sheetData>
  <mergeCells count="5">
    <mergeCell ref="B15:G15"/>
    <mergeCell ref="A7:A8"/>
    <mergeCell ref="F7:F8"/>
    <mergeCell ref="B14:F14"/>
    <mergeCell ref="B7:B8"/>
  </mergeCells>
  <phoneticPr fontId="2" type="noConversion"/>
  <pageMargins left="1.5" right="1.5" top="0" bottom="0" header="0.5" footer="0.5"/>
  <pageSetup scale="91" orientation="landscape" r:id="rId1"/>
  <headerFooter alignWithMargins="0">
    <oddFooter>&amp;C&amp;P&amp;R&amp;8&amp;F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8"/>
  <sheetViews>
    <sheetView view="pageBreakPreview" zoomScaleNormal="100" workbookViewId="0">
      <selection activeCell="E27" sqref="E27"/>
    </sheetView>
  </sheetViews>
  <sheetFormatPr defaultColWidth="9.140625" defaultRowHeight="12.75" x14ac:dyDescent="0.2"/>
  <cols>
    <col min="1" max="1" width="9.140625" style="45"/>
    <col min="2" max="2" width="13.5703125" style="46" customWidth="1"/>
    <col min="3" max="3" width="12.7109375" style="46" customWidth="1"/>
    <col min="4" max="4" width="17" style="46" customWidth="1"/>
    <col min="5" max="5" width="16.140625" style="46" customWidth="1"/>
    <col min="6" max="7" width="13.42578125" style="46" customWidth="1"/>
    <col min="8" max="8" width="17.28515625" style="46" customWidth="1"/>
    <col min="9" max="16384" width="9.140625" style="45"/>
  </cols>
  <sheetData>
    <row r="1" spans="1:8" s="2" customFormat="1" x14ac:dyDescent="0.2">
      <c r="A1" s="1"/>
      <c r="B1" s="1"/>
      <c r="C1" s="4"/>
      <c r="D1" s="4"/>
      <c r="E1" s="4"/>
      <c r="F1" s="4"/>
      <c r="G1" s="1"/>
      <c r="H1" s="1"/>
    </row>
    <row r="2" spans="1:8" s="2" customFormat="1" x14ac:dyDescent="0.2">
      <c r="A2" s="1"/>
      <c r="B2" s="1"/>
      <c r="C2" s="4"/>
      <c r="D2" s="4"/>
      <c r="E2" s="4"/>
      <c r="F2" s="4"/>
      <c r="G2" s="1"/>
      <c r="H2" s="1"/>
    </row>
    <row r="3" spans="1:8" s="2" customFormat="1" x14ac:dyDescent="0.2">
      <c r="A3" s="1"/>
      <c r="B3" s="1"/>
      <c r="C3" s="4"/>
      <c r="D3" s="4"/>
      <c r="E3" s="4"/>
      <c r="F3" s="4"/>
      <c r="G3" s="1"/>
      <c r="H3" s="1"/>
    </row>
    <row r="4" spans="1:8" s="2" customFormat="1" x14ac:dyDescent="0.2">
      <c r="A4" s="1"/>
      <c r="B4" s="1"/>
      <c r="C4" s="4"/>
      <c r="D4" s="4"/>
      <c r="E4" s="4"/>
      <c r="G4" s="29">
        <v>40862</v>
      </c>
      <c r="H4" s="1"/>
    </row>
    <row r="5" spans="1:8" s="2" customFormat="1" ht="13.5" thickBot="1" x14ac:dyDescent="0.25">
      <c r="A5" s="1"/>
      <c r="B5" s="1"/>
      <c r="C5" s="4"/>
      <c r="D5" s="4"/>
      <c r="E5" s="4"/>
      <c r="F5" s="4"/>
      <c r="G5" s="1"/>
      <c r="H5" s="1"/>
    </row>
    <row r="6" spans="1:8" ht="18" customHeight="1" thickBot="1" x14ac:dyDescent="0.25">
      <c r="B6" s="55" t="s">
        <v>79</v>
      </c>
      <c r="C6" s="52" t="s">
        <v>64</v>
      </c>
      <c r="D6" s="50" t="s">
        <v>80</v>
      </c>
      <c r="E6" s="50" t="s">
        <v>81</v>
      </c>
      <c r="F6" s="62" t="s">
        <v>82</v>
      </c>
      <c r="G6" s="75" t="s">
        <v>83</v>
      </c>
      <c r="H6" s="55" t="s">
        <v>87</v>
      </c>
    </row>
    <row r="7" spans="1:8" ht="18" customHeight="1" x14ac:dyDescent="0.2">
      <c r="B7" s="56">
        <v>1</v>
      </c>
      <c r="C7" s="53">
        <v>3917</v>
      </c>
      <c r="D7" s="48">
        <v>17</v>
      </c>
      <c r="E7" s="48">
        <f>(30-D7)+4</f>
        <v>17</v>
      </c>
      <c r="F7" s="63">
        <f>(20+2*E7*$C$13)/2*E7</f>
        <v>1037</v>
      </c>
      <c r="G7" s="76">
        <f>F7*C7</f>
        <v>4061929</v>
      </c>
      <c r="H7" s="66">
        <f>(20+2*E7*$C$13)*C7</f>
        <v>477874</v>
      </c>
    </row>
    <row r="8" spans="1:8" ht="18" customHeight="1" x14ac:dyDescent="0.2">
      <c r="B8" s="57">
        <v>2</v>
      </c>
      <c r="C8" s="54">
        <v>1493</v>
      </c>
      <c r="D8" s="47">
        <v>20</v>
      </c>
      <c r="E8" s="47">
        <f>(30-D8)+4</f>
        <v>14</v>
      </c>
      <c r="F8" s="64">
        <f>(20+2*E8*$C$13)/2*E8</f>
        <v>728</v>
      </c>
      <c r="G8" s="77">
        <f>F8*C8</f>
        <v>1086904</v>
      </c>
      <c r="H8" s="67">
        <f>(20+2*E8*$C$13)*C8</f>
        <v>155272</v>
      </c>
    </row>
    <row r="9" spans="1:8" ht="18" customHeight="1" x14ac:dyDescent="0.2">
      <c r="B9" s="57">
        <v>3</v>
      </c>
      <c r="C9" s="54">
        <v>4451</v>
      </c>
      <c r="D9" s="47">
        <v>22</v>
      </c>
      <c r="E9" s="47">
        <f>(30-D9)+4</f>
        <v>12</v>
      </c>
      <c r="F9" s="64">
        <f>(20+2*E9*$C$13)/2*E9</f>
        <v>552</v>
      </c>
      <c r="G9" s="77">
        <f>F9*C9</f>
        <v>2456952</v>
      </c>
      <c r="H9" s="67">
        <f>(20+2*E9*$C$13)*C9</f>
        <v>409492</v>
      </c>
    </row>
    <row r="10" spans="1:8" ht="18" customHeight="1" thickBot="1" x14ac:dyDescent="0.25">
      <c r="B10" s="58">
        <v>4</v>
      </c>
      <c r="C10" s="59">
        <v>6300</v>
      </c>
      <c r="D10" s="60">
        <v>25</v>
      </c>
      <c r="E10" s="60">
        <f>(30-D10)+4</f>
        <v>9</v>
      </c>
      <c r="F10" s="65">
        <f>(20+2*E10*$C$13)/2*E10</f>
        <v>333</v>
      </c>
      <c r="G10" s="78">
        <f>F10*C10</f>
        <v>2097900</v>
      </c>
      <c r="H10" s="68">
        <f>(20+2*E10*$C$13)*C10</f>
        <v>466200</v>
      </c>
    </row>
    <row r="11" spans="1:8" ht="17.25" customHeight="1" thickBot="1" x14ac:dyDescent="0.25">
      <c r="B11" s="69" t="s">
        <v>0</v>
      </c>
      <c r="C11" s="61">
        <f>SUM(C7:C10)</f>
        <v>16161</v>
      </c>
      <c r="D11" s="1105"/>
      <c r="E11" s="1105"/>
      <c r="F11" s="1106"/>
      <c r="G11" s="79">
        <f>SUM(G7:G10)</f>
        <v>9703685</v>
      </c>
      <c r="H11" s="80">
        <f>SUM(H7:H10)</f>
        <v>1508838</v>
      </c>
    </row>
    <row r="12" spans="1:8" ht="13.5" thickBot="1" x14ac:dyDescent="0.25"/>
    <row r="13" spans="1:8" ht="13.5" thickBot="1" x14ac:dyDescent="0.25">
      <c r="B13" s="49" t="s">
        <v>84</v>
      </c>
      <c r="C13" s="51">
        <v>3</v>
      </c>
    </row>
    <row r="14" spans="1:8" ht="9" customHeight="1" thickBot="1" x14ac:dyDescent="0.25"/>
    <row r="15" spans="1:8" ht="23.25" customHeight="1" thickBot="1" x14ac:dyDescent="0.25">
      <c r="B15" s="1102" t="s">
        <v>226</v>
      </c>
      <c r="C15" s="1103"/>
      <c r="D15" s="1103"/>
      <c r="E15" s="1104"/>
    </row>
    <row r="16" spans="1:8" ht="18" customHeight="1" thickBot="1" x14ac:dyDescent="0.25">
      <c r="B16" s="185" t="s">
        <v>203</v>
      </c>
      <c r="C16" s="86" t="s">
        <v>227</v>
      </c>
      <c r="D16" s="146" t="s">
        <v>228</v>
      </c>
      <c r="E16" s="114" t="s">
        <v>0</v>
      </c>
    </row>
    <row r="17" spans="2:5" ht="16.5" customHeight="1" x14ac:dyDescent="0.2">
      <c r="B17" s="56">
        <v>30</v>
      </c>
      <c r="C17" s="183">
        <v>2</v>
      </c>
      <c r="D17" s="921">
        <v>40000</v>
      </c>
      <c r="E17" s="182">
        <f>C17*$D$17</f>
        <v>80000</v>
      </c>
    </row>
    <row r="18" spans="2:5" ht="16.5" customHeight="1" x14ac:dyDescent="0.2">
      <c r="B18" s="57">
        <v>31</v>
      </c>
      <c r="C18" s="184">
        <v>2</v>
      </c>
      <c r="D18" s="967"/>
      <c r="E18" s="181">
        <f t="shared" ref="E18:E27" si="0">C18*$D$17</f>
        <v>80000</v>
      </c>
    </row>
    <row r="19" spans="2:5" ht="16.5" customHeight="1" x14ac:dyDescent="0.2">
      <c r="B19" s="57">
        <v>32</v>
      </c>
      <c r="C19" s="184">
        <v>2</v>
      </c>
      <c r="D19" s="967"/>
      <c r="E19" s="181">
        <f t="shared" si="0"/>
        <v>80000</v>
      </c>
    </row>
    <row r="20" spans="2:5" ht="16.5" customHeight="1" x14ac:dyDescent="0.2">
      <c r="B20" s="260" t="s">
        <v>204</v>
      </c>
      <c r="C20" s="261">
        <v>1</v>
      </c>
      <c r="D20" s="967"/>
      <c r="E20" s="262">
        <f t="shared" si="0"/>
        <v>40000</v>
      </c>
    </row>
    <row r="21" spans="2:5" ht="16.5" customHeight="1" x14ac:dyDescent="0.2">
      <c r="B21" s="57">
        <v>33</v>
      </c>
      <c r="C21" s="184">
        <v>2</v>
      </c>
      <c r="D21" s="967"/>
      <c r="E21" s="181">
        <f t="shared" si="0"/>
        <v>80000</v>
      </c>
    </row>
    <row r="22" spans="2:5" ht="16.5" customHeight="1" x14ac:dyDescent="0.2">
      <c r="B22" s="57">
        <v>34</v>
      </c>
      <c r="C22" s="184">
        <v>2</v>
      </c>
      <c r="D22" s="967"/>
      <c r="E22" s="181">
        <f t="shared" si="0"/>
        <v>80000</v>
      </c>
    </row>
    <row r="23" spans="2:5" ht="16.5" customHeight="1" x14ac:dyDescent="0.2">
      <c r="B23" s="57">
        <v>35</v>
      </c>
      <c r="C23" s="184">
        <v>2</v>
      </c>
      <c r="D23" s="967"/>
      <c r="E23" s="181">
        <f t="shared" si="0"/>
        <v>80000</v>
      </c>
    </row>
    <row r="24" spans="2:5" ht="16.5" customHeight="1" x14ac:dyDescent="0.2">
      <c r="B24" s="57">
        <v>36</v>
      </c>
      <c r="C24" s="184">
        <v>4</v>
      </c>
      <c r="D24" s="967"/>
      <c r="E24" s="181">
        <f t="shared" si="0"/>
        <v>160000</v>
      </c>
    </row>
    <row r="25" spans="2:5" ht="16.5" customHeight="1" x14ac:dyDescent="0.2">
      <c r="B25" s="260">
        <v>37</v>
      </c>
      <c r="C25" s="261">
        <v>1</v>
      </c>
      <c r="D25" s="967"/>
      <c r="E25" s="262">
        <f t="shared" si="0"/>
        <v>40000</v>
      </c>
    </row>
    <row r="26" spans="2:5" ht="16.5" customHeight="1" x14ac:dyDescent="0.2">
      <c r="B26" s="260">
        <v>38</v>
      </c>
      <c r="C26" s="261">
        <v>1</v>
      </c>
      <c r="D26" s="967"/>
      <c r="E26" s="262">
        <f t="shared" si="0"/>
        <v>40000</v>
      </c>
    </row>
    <row r="27" spans="2:5" ht="16.5" customHeight="1" thickBot="1" x14ac:dyDescent="0.25">
      <c r="B27" s="58">
        <v>39</v>
      </c>
      <c r="C27" s="186">
        <v>1</v>
      </c>
      <c r="D27" s="919"/>
      <c r="E27" s="187">
        <f t="shared" si="0"/>
        <v>40000</v>
      </c>
    </row>
    <row r="28" spans="2:5" ht="16.5" customHeight="1" thickBot="1" x14ac:dyDescent="0.25">
      <c r="B28" s="185" t="s">
        <v>0</v>
      </c>
      <c r="C28" s="86">
        <f>SUM(C17:C27)</f>
        <v>20</v>
      </c>
      <c r="D28" s="146"/>
      <c r="E28" s="188">
        <f>SUM(E17:E27)</f>
        <v>800000</v>
      </c>
    </row>
  </sheetData>
  <mergeCells count="3">
    <mergeCell ref="D17:D27"/>
    <mergeCell ref="B15:E15"/>
    <mergeCell ref="D11:F11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Normal="100" workbookViewId="0">
      <selection activeCell="I10" sqref="I10"/>
    </sheetView>
  </sheetViews>
  <sheetFormatPr defaultColWidth="9.140625" defaultRowHeight="12.75" x14ac:dyDescent="0.2"/>
  <cols>
    <col min="1" max="1" width="5.140625" style="45" customWidth="1"/>
    <col min="2" max="2" width="11.5703125" style="46" customWidth="1"/>
    <col min="3" max="3" width="30.7109375" style="45" customWidth="1"/>
    <col min="4" max="4" width="9.140625" style="98"/>
    <col min="5" max="5" width="11.5703125" style="98" customWidth="1"/>
    <col min="6" max="6" width="17.140625" style="46" customWidth="1"/>
    <col min="7" max="16384" width="9.140625" style="45"/>
  </cols>
  <sheetData>
    <row r="1" spans="1:8" s="2" customFormat="1" x14ac:dyDescent="0.2">
      <c r="A1" s="1"/>
      <c r="B1" s="1"/>
      <c r="C1" s="4"/>
      <c r="D1" s="4"/>
      <c r="E1" s="4"/>
      <c r="F1" s="4"/>
      <c r="G1" s="1"/>
      <c r="H1" s="1"/>
    </row>
    <row r="2" spans="1:8" s="2" customFormat="1" x14ac:dyDescent="0.2">
      <c r="A2" s="1"/>
      <c r="B2" s="1"/>
      <c r="C2" s="4"/>
      <c r="D2" s="4"/>
      <c r="E2" s="4"/>
      <c r="F2" s="4"/>
      <c r="G2" s="1"/>
      <c r="H2" s="1"/>
    </row>
    <row r="3" spans="1:8" s="2" customFormat="1" x14ac:dyDescent="0.2">
      <c r="A3" s="1"/>
      <c r="B3" s="1"/>
      <c r="C3" s="4"/>
      <c r="D3" s="4"/>
      <c r="E3" s="4"/>
      <c r="H3" s="1"/>
    </row>
    <row r="4" spans="1:8" s="2" customFormat="1" x14ac:dyDescent="0.2">
      <c r="A4" s="1"/>
      <c r="B4" s="1"/>
      <c r="C4" s="4"/>
      <c r="D4" s="4"/>
      <c r="E4" s="4"/>
      <c r="F4" s="29">
        <v>40407</v>
      </c>
      <c r="G4" s="1"/>
      <c r="H4" s="1"/>
    </row>
    <row r="5" spans="1:8" ht="15.75" x14ac:dyDescent="0.2">
      <c r="B5" s="387"/>
      <c r="F5" s="388"/>
    </row>
    <row r="6" spans="1:8" ht="13.5" thickBot="1" x14ac:dyDescent="0.25"/>
    <row r="7" spans="1:8" ht="20.25" customHeight="1" thickBot="1" x14ac:dyDescent="0.25">
      <c r="B7" s="1116" t="s">
        <v>129</v>
      </c>
      <c r="C7" s="1117"/>
      <c r="D7" s="113" t="s">
        <v>130</v>
      </c>
      <c r="E7" s="113" t="s">
        <v>165</v>
      </c>
      <c r="F7" s="114" t="s">
        <v>166</v>
      </c>
    </row>
    <row r="8" spans="1:8" x14ac:dyDescent="0.2">
      <c r="B8" s="115" t="s">
        <v>133</v>
      </c>
      <c r="C8" s="116" t="s">
        <v>167</v>
      </c>
      <c r="D8" s="117">
        <v>0.3</v>
      </c>
      <c r="E8" s="117">
        <v>2.5</v>
      </c>
      <c r="F8" s="1118" t="s">
        <v>168</v>
      </c>
    </row>
    <row r="9" spans="1:8" x14ac:dyDescent="0.2">
      <c r="B9" s="118" t="s">
        <v>135</v>
      </c>
      <c r="C9" s="119" t="s">
        <v>169</v>
      </c>
      <c r="D9" s="120">
        <v>0.3</v>
      </c>
      <c r="E9" s="120">
        <v>1</v>
      </c>
      <c r="F9" s="1118"/>
    </row>
    <row r="10" spans="1:8" x14ac:dyDescent="0.2">
      <c r="B10" s="118" t="s">
        <v>137</v>
      </c>
      <c r="C10" s="119" t="s">
        <v>170</v>
      </c>
      <c r="D10" s="120">
        <v>0.5</v>
      </c>
      <c r="E10" s="120">
        <v>0.93</v>
      </c>
      <c r="F10" s="1118"/>
    </row>
    <row r="11" spans="1:8" x14ac:dyDescent="0.2">
      <c r="B11" s="118" t="s">
        <v>139</v>
      </c>
      <c r="C11" s="119" t="s">
        <v>171</v>
      </c>
      <c r="D11" s="120">
        <v>0.65</v>
      </c>
      <c r="E11" s="120">
        <v>0.64</v>
      </c>
      <c r="F11" s="1119"/>
    </row>
    <row r="12" spans="1:8" x14ac:dyDescent="0.2">
      <c r="B12" s="121" t="s">
        <v>140</v>
      </c>
      <c r="C12" s="122" t="s">
        <v>172</v>
      </c>
      <c r="D12" s="123">
        <v>0.1</v>
      </c>
      <c r="E12" s="123">
        <v>0</v>
      </c>
      <c r="F12" s="124" t="s">
        <v>172</v>
      </c>
    </row>
    <row r="13" spans="1:8" x14ac:dyDescent="0.2">
      <c r="B13" s="125" t="s">
        <v>134</v>
      </c>
      <c r="C13" s="126" t="s">
        <v>173</v>
      </c>
      <c r="D13" s="127">
        <v>0.1</v>
      </c>
      <c r="E13" s="127">
        <v>0</v>
      </c>
      <c r="F13" s="1120" t="s">
        <v>174</v>
      </c>
    </row>
    <row r="14" spans="1:8" x14ac:dyDescent="0.2">
      <c r="B14" s="125" t="s">
        <v>175</v>
      </c>
      <c r="C14" s="126" t="s">
        <v>176</v>
      </c>
      <c r="D14" s="127">
        <v>0.1</v>
      </c>
      <c r="E14" s="127">
        <v>1</v>
      </c>
      <c r="F14" s="1121"/>
    </row>
    <row r="15" spans="1:8" x14ac:dyDescent="0.2">
      <c r="B15" s="125" t="s">
        <v>177</v>
      </c>
      <c r="C15" s="126" t="s">
        <v>178</v>
      </c>
      <c r="D15" s="127">
        <v>0.1</v>
      </c>
      <c r="E15" s="127">
        <v>1</v>
      </c>
      <c r="F15" s="1122"/>
    </row>
    <row r="16" spans="1:8" x14ac:dyDescent="0.2">
      <c r="B16" s="128" t="s">
        <v>144</v>
      </c>
      <c r="C16" s="129" t="s">
        <v>179</v>
      </c>
      <c r="D16" s="1123">
        <v>0.9</v>
      </c>
      <c r="E16" s="130"/>
      <c r="F16" s="1126" t="s">
        <v>180</v>
      </c>
    </row>
    <row r="17" spans="2:6" x14ac:dyDescent="0.2">
      <c r="B17" s="128" t="s">
        <v>142</v>
      </c>
      <c r="C17" s="129" t="s">
        <v>181</v>
      </c>
      <c r="D17" s="1124"/>
      <c r="E17" s="131"/>
      <c r="F17" s="1127"/>
    </row>
    <row r="18" spans="2:6" x14ac:dyDescent="0.2">
      <c r="B18" s="128" t="s">
        <v>143</v>
      </c>
      <c r="C18" s="129" t="s">
        <v>182</v>
      </c>
      <c r="D18" s="1124"/>
      <c r="E18" s="131">
        <v>17.649999999999999</v>
      </c>
      <c r="F18" s="1127"/>
    </row>
    <row r="19" spans="2:6" x14ac:dyDescent="0.2">
      <c r="B19" s="128" t="s">
        <v>145</v>
      </c>
      <c r="C19" s="129" t="s">
        <v>183</v>
      </c>
      <c r="D19" s="1125"/>
      <c r="E19" s="132"/>
      <c r="F19" s="1128"/>
    </row>
    <row r="20" spans="2:6" x14ac:dyDescent="0.2">
      <c r="B20" s="136" t="s">
        <v>146</v>
      </c>
      <c r="C20" s="137" t="s">
        <v>184</v>
      </c>
      <c r="D20" s="1107">
        <v>0.7</v>
      </c>
      <c r="E20" s="133"/>
      <c r="F20" s="1110" t="s">
        <v>185</v>
      </c>
    </row>
    <row r="21" spans="2:6" x14ac:dyDescent="0.2">
      <c r="B21" s="136" t="s">
        <v>148</v>
      </c>
      <c r="C21" s="137" t="s">
        <v>186</v>
      </c>
      <c r="D21" s="1108"/>
      <c r="E21" s="134">
        <v>13.73</v>
      </c>
      <c r="F21" s="1111"/>
    </row>
    <row r="22" spans="2:6" x14ac:dyDescent="0.2">
      <c r="B22" s="136" t="s">
        <v>149</v>
      </c>
      <c r="C22" s="138" t="s">
        <v>187</v>
      </c>
      <c r="D22" s="1109"/>
      <c r="E22" s="135"/>
      <c r="F22" s="1112"/>
    </row>
    <row r="23" spans="2:6" x14ac:dyDescent="0.2">
      <c r="B23" s="139" t="s">
        <v>147</v>
      </c>
      <c r="C23" s="140" t="s">
        <v>188</v>
      </c>
      <c r="D23" s="141"/>
      <c r="E23" s="141"/>
      <c r="F23" s="1113" t="s">
        <v>189</v>
      </c>
    </row>
    <row r="24" spans="2:6" x14ac:dyDescent="0.2">
      <c r="B24" s="139" t="s">
        <v>152</v>
      </c>
      <c r="C24" s="140" t="s">
        <v>190</v>
      </c>
      <c r="D24" s="141"/>
      <c r="E24" s="141"/>
      <c r="F24" s="1114"/>
    </row>
    <row r="25" spans="2:6" x14ac:dyDescent="0.2">
      <c r="B25" s="139" t="s">
        <v>153</v>
      </c>
      <c r="C25" s="140" t="s">
        <v>191</v>
      </c>
      <c r="D25" s="141"/>
      <c r="E25" s="141"/>
      <c r="F25" s="1114"/>
    </row>
    <row r="26" spans="2:6" x14ac:dyDescent="0.2">
      <c r="B26" s="139" t="s">
        <v>154</v>
      </c>
      <c r="C26" s="140" t="s">
        <v>192</v>
      </c>
      <c r="D26" s="141"/>
      <c r="E26" s="141"/>
      <c r="F26" s="1114"/>
    </row>
    <row r="27" spans="2:6" x14ac:dyDescent="0.2">
      <c r="B27" s="139" t="s">
        <v>155</v>
      </c>
      <c r="C27" s="140" t="s">
        <v>193</v>
      </c>
      <c r="D27" s="141"/>
      <c r="E27" s="141"/>
      <c r="F27" s="1114"/>
    </row>
    <row r="28" spans="2:6" x14ac:dyDescent="0.2">
      <c r="B28" s="139" t="s">
        <v>156</v>
      </c>
      <c r="C28" s="140" t="s">
        <v>194</v>
      </c>
      <c r="D28" s="141"/>
      <c r="E28" s="141"/>
      <c r="F28" s="1114"/>
    </row>
    <row r="29" spans="2:6" x14ac:dyDescent="0.2">
      <c r="B29" s="139" t="s">
        <v>138</v>
      </c>
      <c r="C29" s="140" t="s">
        <v>195</v>
      </c>
      <c r="D29" s="141"/>
      <c r="E29" s="141"/>
      <c r="F29" s="1114"/>
    </row>
    <row r="30" spans="2:6" x14ac:dyDescent="0.2">
      <c r="B30" s="139" t="s">
        <v>157</v>
      </c>
      <c r="C30" s="140" t="s">
        <v>196</v>
      </c>
      <c r="D30" s="141"/>
      <c r="E30" s="141"/>
      <c r="F30" s="1114"/>
    </row>
    <row r="31" spans="2:6" x14ac:dyDescent="0.2">
      <c r="B31" s="139" t="s">
        <v>150</v>
      </c>
      <c r="C31" s="140" t="s">
        <v>197</v>
      </c>
      <c r="D31" s="141"/>
      <c r="E31" s="141"/>
      <c r="F31" s="1114"/>
    </row>
    <row r="32" spans="2:6" x14ac:dyDescent="0.2">
      <c r="B32" s="139" t="s">
        <v>151</v>
      </c>
      <c r="C32" s="140" t="s">
        <v>198</v>
      </c>
      <c r="D32" s="141"/>
      <c r="E32" s="141"/>
      <c r="F32" s="1114"/>
    </row>
    <row r="33" spans="2:6" ht="13.5" thickBot="1" x14ac:dyDescent="0.25">
      <c r="B33" s="142" t="s">
        <v>159</v>
      </c>
      <c r="C33" s="143" t="s">
        <v>199</v>
      </c>
      <c r="D33" s="144"/>
      <c r="E33" s="144"/>
      <c r="F33" s="1115"/>
    </row>
    <row r="35" spans="2:6" x14ac:dyDescent="0.2">
      <c r="B35" s="145" t="s">
        <v>200</v>
      </c>
    </row>
  </sheetData>
  <mergeCells count="8">
    <mergeCell ref="D20:D22"/>
    <mergeCell ref="F20:F22"/>
    <mergeCell ref="F23:F33"/>
    <mergeCell ref="B7:C7"/>
    <mergeCell ref="F8:F11"/>
    <mergeCell ref="F13:F15"/>
    <mergeCell ref="D16:D19"/>
    <mergeCell ref="F16:F19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="95" zoomScaleNormal="95" zoomScaleSheetLayoutView="95" workbookViewId="0">
      <selection activeCell="J1" sqref="J1"/>
    </sheetView>
  </sheetViews>
  <sheetFormatPr defaultColWidth="9.140625" defaultRowHeight="12.75" x14ac:dyDescent="0.2"/>
  <cols>
    <col min="1" max="1" width="12.5703125" style="111" customWidth="1"/>
    <col min="2" max="2" width="12.28515625" style="112" customWidth="1"/>
    <col min="3" max="3" width="8.7109375" style="112" customWidth="1"/>
    <col min="4" max="4" width="13.85546875" style="100" bestFit="1" customWidth="1"/>
    <col min="5" max="5" width="12.140625" style="101" customWidth="1"/>
    <col min="6" max="7" width="7.85546875" style="101" customWidth="1"/>
    <col min="8" max="8" width="8.85546875" style="99" customWidth="1"/>
    <col min="9" max="9" width="13.7109375" style="193" customWidth="1"/>
    <col min="10" max="10" width="13" style="193" customWidth="1"/>
    <col min="11" max="11" width="11.7109375" style="46" customWidth="1"/>
    <col min="12" max="13" width="9.140625" style="46"/>
    <col min="14" max="16384" width="9.140625" style="45"/>
  </cols>
  <sheetData>
    <row r="1" spans="1:11" ht="25.5" customHeight="1" x14ac:dyDescent="0.2">
      <c r="A1" s="210" t="s">
        <v>236</v>
      </c>
      <c r="J1" s="211">
        <v>40611</v>
      </c>
    </row>
    <row r="2" spans="1:11" ht="40.5" customHeight="1" x14ac:dyDescent="0.2">
      <c r="A2" s="174" t="s">
        <v>120</v>
      </c>
      <c r="B2" s="174" t="s">
        <v>121</v>
      </c>
      <c r="C2" s="278" t="s">
        <v>252</v>
      </c>
      <c r="D2" s="177" t="s">
        <v>237</v>
      </c>
      <c r="E2" s="178" t="s">
        <v>124</v>
      </c>
      <c r="F2" s="178" t="s">
        <v>125</v>
      </c>
      <c r="G2" s="178" t="s">
        <v>126</v>
      </c>
      <c r="H2" s="176" t="s">
        <v>127</v>
      </c>
      <c r="I2" s="960" t="s">
        <v>233</v>
      </c>
      <c r="J2" s="960"/>
      <c r="K2" s="157"/>
    </row>
    <row r="3" spans="1:11" x14ac:dyDescent="0.2">
      <c r="A3" s="936" t="s">
        <v>234</v>
      </c>
      <c r="B3" s="281" t="s">
        <v>229</v>
      </c>
      <c r="C3" s="207">
        <f>0.5*0.85*77.602738</f>
        <v>32.981163649999999</v>
      </c>
      <c r="D3" s="91">
        <f>C3/$H$3</f>
        <v>1.1419919506670692E-2</v>
      </c>
      <c r="E3" s="92">
        <f>$I$3*D3</f>
        <v>276323.53103655623</v>
      </c>
      <c r="F3" s="92">
        <f>E3/C3</f>
        <v>8378.2226112133012</v>
      </c>
      <c r="G3" s="95">
        <f>F3/(VLOOKUP(B3,$I$27:$K$52,3,FALSE))</f>
        <v>1675.6445222426603</v>
      </c>
      <c r="H3" s="931">
        <f>SUM(C3:C21)</f>
        <v>2888.0381889499995</v>
      </c>
      <c r="I3" s="933">
        <f>SUM(J4:J8)</f>
        <v>24196626.8567084</v>
      </c>
      <c r="J3" s="933"/>
    </row>
    <row r="4" spans="1:11" x14ac:dyDescent="0.2">
      <c r="A4" s="936"/>
      <c r="B4" s="205" t="s">
        <v>149</v>
      </c>
      <c r="C4" s="206">
        <f>0.85*179.984315</f>
        <v>152.98666775000001</v>
      </c>
      <c r="D4" s="91">
        <f t="shared" ref="D4:D21" si="0">C4/$H$3</f>
        <v>5.2972522432475584E-2</v>
      </c>
      <c r="E4" s="92">
        <f t="shared" ref="E4:E21" si="1">$I$3*D4</f>
        <v>1281756.3589572269</v>
      </c>
      <c r="F4" s="93">
        <f t="shared" ref="F4:F21" si="2">E4/C4</f>
        <v>8378.2226112133012</v>
      </c>
      <c r="G4" s="94"/>
      <c r="H4" s="931"/>
      <c r="I4" s="147" t="s">
        <v>235</v>
      </c>
      <c r="J4" s="147">
        <f>'South &amp; Levee'!$D$61</f>
        <v>12279928.35</v>
      </c>
      <c r="K4" s="216"/>
    </row>
    <row r="5" spans="1:11" x14ac:dyDescent="0.2">
      <c r="A5" s="936"/>
      <c r="B5" s="205" t="s">
        <v>144</v>
      </c>
      <c r="C5" s="206">
        <f>0.85*0.999977</f>
        <v>0.84998045</v>
      </c>
      <c r="D5" s="91">
        <f t="shared" si="0"/>
        <v>2.9431066848497126E-4</v>
      </c>
      <c r="E5" s="92">
        <f t="shared" si="1"/>
        <v>7121.3254252792576</v>
      </c>
      <c r="F5" s="93">
        <f t="shared" si="2"/>
        <v>8378.222611213303</v>
      </c>
      <c r="G5" s="94"/>
      <c r="H5" s="931"/>
      <c r="I5" s="165" t="s">
        <v>220</v>
      </c>
      <c r="J5" s="165">
        <f>0.19*J4</f>
        <v>2333186.3865</v>
      </c>
      <c r="K5" s="216"/>
    </row>
    <row r="6" spans="1:11" x14ac:dyDescent="0.2">
      <c r="A6" s="936"/>
      <c r="B6" s="205" t="s">
        <v>142</v>
      </c>
      <c r="C6" s="206">
        <f>0.85*107.747652</f>
        <v>91.585504200000003</v>
      </c>
      <c r="D6" s="91">
        <f t="shared" si="0"/>
        <v>3.171201286410192E-2</v>
      </c>
      <c r="E6" s="92">
        <f t="shared" si="1"/>
        <v>767323.74214781076</v>
      </c>
      <c r="F6" s="93">
        <f t="shared" si="2"/>
        <v>8378.2226112133012</v>
      </c>
      <c r="G6" s="94"/>
      <c r="H6" s="931"/>
      <c r="I6" s="165" t="s">
        <v>221</v>
      </c>
      <c r="J6" s="165">
        <f>0.02*K4*0</f>
        <v>0</v>
      </c>
      <c r="K6" s="216"/>
    </row>
    <row r="7" spans="1:11" x14ac:dyDescent="0.2">
      <c r="A7" s="936"/>
      <c r="B7" s="205" t="s">
        <v>143</v>
      </c>
      <c r="C7" s="206">
        <f>0.85*260.153309</f>
        <v>221.13031264999998</v>
      </c>
      <c r="D7" s="91">
        <f t="shared" si="0"/>
        <v>7.6567655336440013E-2</v>
      </c>
      <c r="E7" s="92">
        <f t="shared" si="1"/>
        <v>1852678.9854688966</v>
      </c>
      <c r="F7" s="93">
        <f t="shared" si="2"/>
        <v>8378.2226112133012</v>
      </c>
      <c r="G7" s="94"/>
      <c r="H7" s="931"/>
      <c r="I7" s="165" t="s">
        <v>222</v>
      </c>
      <c r="J7" s="165">
        <v>500000</v>
      </c>
      <c r="K7" s="216"/>
    </row>
    <row r="8" spans="1:11" x14ac:dyDescent="0.2">
      <c r="A8" s="936"/>
      <c r="B8" s="205" t="s">
        <v>139</v>
      </c>
      <c r="C8" s="206">
        <f>0.85*41.587981</f>
        <v>35.349783850000001</v>
      </c>
      <c r="D8" s="91">
        <f t="shared" si="0"/>
        <v>1.2240068010614526E-2</v>
      </c>
      <c r="E8" s="92">
        <f t="shared" si="1"/>
        <v>296168.35835357278</v>
      </c>
      <c r="F8" s="92">
        <f t="shared" si="2"/>
        <v>8378.2226112133012</v>
      </c>
      <c r="G8" s="95">
        <f>F8/(VLOOKUP(B8,$I$27:$K$52,3,FALSE))</f>
        <v>492.8366241890177</v>
      </c>
      <c r="H8" s="931"/>
      <c r="I8" s="526" t="s">
        <v>254</v>
      </c>
      <c r="J8" s="526">
        <f>0.518*1.2*(J4+J5)</f>
        <v>9083512.1202083994</v>
      </c>
      <c r="K8" s="189"/>
    </row>
    <row r="9" spans="1:11" x14ac:dyDescent="0.2">
      <c r="A9" s="936"/>
      <c r="B9" s="205" t="s">
        <v>135</v>
      </c>
      <c r="C9" s="206">
        <f>0.85*1329.244176</f>
        <v>1129.8575495999999</v>
      </c>
      <c r="D9" s="91">
        <f t="shared" si="0"/>
        <v>0.39121974007233634</v>
      </c>
      <c r="E9" s="92">
        <f t="shared" si="1"/>
        <v>9466198.0695087723</v>
      </c>
      <c r="F9" s="92">
        <f t="shared" si="2"/>
        <v>8378.2226112133012</v>
      </c>
      <c r="G9" s="95">
        <f>F9/(VLOOKUP(B9,$I$27:$K$52,3,FALSE))</f>
        <v>1675.6445222426603</v>
      </c>
      <c r="H9" s="931"/>
      <c r="I9" s="215"/>
      <c r="J9" s="215"/>
    </row>
    <row r="10" spans="1:11" x14ac:dyDescent="0.2">
      <c r="A10" s="936"/>
      <c r="B10" s="205" t="s">
        <v>148</v>
      </c>
      <c r="C10" s="206">
        <f>0.85*160.392728</f>
        <v>136.33381879999999</v>
      </c>
      <c r="D10" s="91">
        <f t="shared" si="0"/>
        <v>4.7206376744473283E-2</v>
      </c>
      <c r="E10" s="94">
        <f>$I$3*D10</f>
        <v>1142235.0833432171</v>
      </c>
      <c r="F10" s="93">
        <f t="shared" si="2"/>
        <v>8378.222611213303</v>
      </c>
      <c r="G10" s="94"/>
      <c r="H10" s="931"/>
      <c r="I10" s="199"/>
      <c r="J10" s="200"/>
    </row>
    <row r="11" spans="1:11" x14ac:dyDescent="0.2">
      <c r="A11" s="936"/>
      <c r="B11" s="205" t="s">
        <v>137</v>
      </c>
      <c r="C11" s="206">
        <f>0.85*128.54434</f>
        <v>109.26268899999999</v>
      </c>
      <c r="D11" s="91">
        <f t="shared" si="0"/>
        <v>3.7832840790697611E-2</v>
      </c>
      <c r="E11" s="94">
        <f t="shared" si="1"/>
        <v>915427.13154176692</v>
      </c>
      <c r="F11" s="92">
        <f t="shared" si="2"/>
        <v>8378.222611213303</v>
      </c>
      <c r="G11" s="95">
        <f>F11/(VLOOKUP(B11,$I$27:$K$52,3,FALSE))</f>
        <v>837.82226112133026</v>
      </c>
      <c r="H11" s="931"/>
      <c r="I11" s="199"/>
      <c r="J11" s="200"/>
    </row>
    <row r="12" spans="1:11" x14ac:dyDescent="0.2">
      <c r="A12" s="936"/>
      <c r="B12" s="205" t="s">
        <v>145</v>
      </c>
      <c r="C12" s="206">
        <f>0.85*30.249365</f>
        <v>25.711960250000001</v>
      </c>
      <c r="D12" s="91">
        <f t="shared" si="0"/>
        <v>8.9029156014547254E-3</v>
      </c>
      <c r="E12" s="92">
        <f t="shared" si="1"/>
        <v>215420.52674516762</v>
      </c>
      <c r="F12" s="93">
        <f t="shared" si="2"/>
        <v>8378.2226112133012</v>
      </c>
      <c r="G12" s="94"/>
      <c r="H12" s="931"/>
      <c r="I12" s="199"/>
      <c r="J12" s="200"/>
    </row>
    <row r="13" spans="1:11" x14ac:dyDescent="0.2">
      <c r="A13" s="936"/>
      <c r="B13" s="205" t="s">
        <v>140</v>
      </c>
      <c r="C13" s="206">
        <f>0.85*166.504165</f>
        <v>141.52854024999999</v>
      </c>
      <c r="D13" s="91">
        <f t="shared" si="0"/>
        <v>4.900507922350409E-2</v>
      </c>
      <c r="E13" s="92">
        <f t="shared" si="1"/>
        <v>1185757.6160545619</v>
      </c>
      <c r="F13" s="93">
        <f t="shared" si="2"/>
        <v>8378.222611213303</v>
      </c>
      <c r="G13" s="94"/>
      <c r="H13" s="931"/>
      <c r="I13" s="199"/>
      <c r="J13" s="200"/>
    </row>
    <row r="14" spans="1:11" x14ac:dyDescent="0.2">
      <c r="A14" s="936"/>
      <c r="B14" s="205" t="s">
        <v>134</v>
      </c>
      <c r="C14" s="206">
        <f>0.85*49.504504</f>
        <v>42.078828399999999</v>
      </c>
      <c r="D14" s="91">
        <f t="shared" si="0"/>
        <v>1.4570038776148783E-2</v>
      </c>
      <c r="E14" s="92">
        <f t="shared" si="1"/>
        <v>352545.79155424441</v>
      </c>
      <c r="F14" s="93">
        <f t="shared" si="2"/>
        <v>8378.2226112133012</v>
      </c>
      <c r="G14" s="94"/>
      <c r="H14" s="931"/>
      <c r="I14" s="199"/>
      <c r="J14" s="200"/>
    </row>
    <row r="15" spans="1:11" x14ac:dyDescent="0.2">
      <c r="A15" s="936"/>
      <c r="B15" s="205" t="s">
        <v>136</v>
      </c>
      <c r="C15" s="206">
        <f>0.85*77.869726</f>
        <v>66.189267099999995</v>
      </c>
      <c r="D15" s="91">
        <f t="shared" si="0"/>
        <v>2.2918418237421002E-2</v>
      </c>
      <c r="E15" s="92">
        <f t="shared" si="1"/>
        <v>554548.41423685662</v>
      </c>
      <c r="F15" s="93">
        <f t="shared" si="2"/>
        <v>8378.2226112133012</v>
      </c>
      <c r="G15" s="94"/>
      <c r="H15" s="931"/>
      <c r="I15" s="199"/>
      <c r="J15" s="200"/>
    </row>
    <row r="16" spans="1:11" x14ac:dyDescent="0.2">
      <c r="A16" s="936"/>
      <c r="B16" s="281" t="s">
        <v>157</v>
      </c>
      <c r="C16" s="207">
        <f>0.5*0.85*70.002772</f>
        <v>29.751178099999997</v>
      </c>
      <c r="D16" s="91">
        <f t="shared" si="0"/>
        <v>1.0301518246480181E-2</v>
      </c>
      <c r="E16" s="92">
        <f t="shared" si="1"/>
        <v>249261.99306765397</v>
      </c>
      <c r="F16" s="93">
        <f t="shared" si="2"/>
        <v>8378.2226112133012</v>
      </c>
      <c r="G16" s="94"/>
      <c r="H16" s="931"/>
      <c r="I16" s="199"/>
      <c r="J16" s="200"/>
    </row>
    <row r="17" spans="1:11" x14ac:dyDescent="0.2">
      <c r="A17" s="936"/>
      <c r="B17" s="281" t="s">
        <v>150</v>
      </c>
      <c r="C17" s="207">
        <f>0.5*0.85*98.809806</f>
        <v>41.994167549999993</v>
      </c>
      <c r="D17" s="91">
        <f t="shared" si="0"/>
        <v>1.4540724465027854E-2</v>
      </c>
      <c r="E17" s="92">
        <f t="shared" si="1"/>
        <v>351836.48410648986</v>
      </c>
      <c r="F17" s="93">
        <f t="shared" si="2"/>
        <v>8378.222611213303</v>
      </c>
      <c r="G17" s="94"/>
      <c r="H17" s="931"/>
      <c r="I17" s="199"/>
      <c r="J17" s="200"/>
    </row>
    <row r="18" spans="1:11" x14ac:dyDescent="0.2">
      <c r="A18" s="936"/>
      <c r="B18" s="281" t="s">
        <v>153</v>
      </c>
      <c r="C18" s="207">
        <f>0.5*0.85*230.296105</f>
        <v>97.875844624999999</v>
      </c>
      <c r="D18" s="91">
        <f t="shared" si="0"/>
        <v>3.3890079777852453E-2</v>
      </c>
      <c r="E18" s="92">
        <f t="shared" si="1"/>
        <v>820025.61452877487</v>
      </c>
      <c r="F18" s="92">
        <f t="shared" si="2"/>
        <v>8378.2226112133012</v>
      </c>
      <c r="G18" s="95">
        <f>F18/(VLOOKUP(B18,$I$27:$K$52,3,FALSE))</f>
        <v>1675.6445222426603</v>
      </c>
      <c r="H18" s="931"/>
      <c r="I18" s="199"/>
      <c r="J18" s="200"/>
    </row>
    <row r="19" spans="1:11" x14ac:dyDescent="0.2">
      <c r="A19" s="936"/>
      <c r="B19" s="281" t="s">
        <v>155</v>
      </c>
      <c r="C19" s="207">
        <f>0.5*0.85*22.942144</f>
        <v>9.7504111999999985</v>
      </c>
      <c r="D19" s="91">
        <f t="shared" si="0"/>
        <v>3.3761365196991883E-3</v>
      </c>
      <c r="E19" s="92">
        <f t="shared" si="1"/>
        <v>81691.115584467407</v>
      </c>
      <c r="F19" s="93">
        <f t="shared" si="2"/>
        <v>8378.2226112133012</v>
      </c>
      <c r="G19" s="94"/>
      <c r="H19" s="931"/>
      <c r="I19" s="199"/>
      <c r="J19" s="200"/>
    </row>
    <row r="20" spans="1:11" x14ac:dyDescent="0.2">
      <c r="A20" s="936"/>
      <c r="B20" s="281" t="s">
        <v>152</v>
      </c>
      <c r="C20" s="207">
        <f>0.5*0.85*195.968405</f>
        <v>83.286572124999992</v>
      </c>
      <c r="D20" s="91">
        <f t="shared" si="0"/>
        <v>2.8838459423308524E-2</v>
      </c>
      <c r="E20" s="92">
        <f t="shared" si="1"/>
        <v>697793.44178812252</v>
      </c>
      <c r="F20" s="92">
        <f t="shared" si="2"/>
        <v>8378.222611213303</v>
      </c>
      <c r="G20" s="95">
        <f>F20/(VLOOKUP(B20,$I$27:$K$52,3,FALSE))</f>
        <v>4189.1113056066515</v>
      </c>
      <c r="H20" s="931"/>
      <c r="I20" s="199"/>
      <c r="J20" s="200"/>
    </row>
    <row r="21" spans="1:11" x14ac:dyDescent="0.2">
      <c r="A21" s="936"/>
      <c r="B21" s="205" t="s">
        <v>133</v>
      </c>
      <c r="C21" s="206">
        <f>0.85*517.098764</f>
        <v>439.53394939999993</v>
      </c>
      <c r="D21" s="91">
        <f t="shared" si="0"/>
        <v>0.15219118330280831</v>
      </c>
      <c r="E21" s="92">
        <f t="shared" si="1"/>
        <v>3682513.2732589627</v>
      </c>
      <c r="F21" s="92">
        <f t="shared" si="2"/>
        <v>8378.2226112133012</v>
      </c>
      <c r="G21" s="95">
        <f>F21/(VLOOKUP(B21,$I$27:$K$52,3,FALSE))</f>
        <v>4189.1113056066506</v>
      </c>
      <c r="H21" s="931"/>
      <c r="I21" s="201"/>
      <c r="J21" s="202"/>
    </row>
    <row r="22" spans="1:11" x14ac:dyDescent="0.2">
      <c r="A22" s="105"/>
      <c r="B22" s="203" t="s">
        <v>0</v>
      </c>
      <c r="C22" s="204">
        <f>SUM(C3:C21)</f>
        <v>2888.0381889499995</v>
      </c>
      <c r="D22" s="158">
        <f>SUM(D3:D21)</f>
        <v>1</v>
      </c>
      <c r="E22" s="208">
        <f>SUM(E3:E21)</f>
        <v>24196626.8567084</v>
      </c>
      <c r="F22" s="106"/>
      <c r="G22" s="106"/>
    </row>
    <row r="23" spans="1:11" x14ac:dyDescent="0.2">
      <c r="A23" s="273" t="s">
        <v>253</v>
      </c>
      <c r="B23" s="274"/>
      <c r="E23" s="209" t="str">
        <f>IF(E22=I3, "OK", "NG")</f>
        <v>OK</v>
      </c>
      <c r="F23" s="106"/>
      <c r="G23" s="106"/>
    </row>
    <row r="24" spans="1:11" ht="13.5" thickBot="1" x14ac:dyDescent="0.25">
      <c r="A24" s="275" t="s">
        <v>255</v>
      </c>
      <c r="B24" s="276"/>
      <c r="C24" s="1130" t="s">
        <v>325</v>
      </c>
      <c r="D24" s="922"/>
      <c r="E24" s="922"/>
      <c r="F24" s="922"/>
      <c r="G24" s="923"/>
    </row>
    <row r="25" spans="1:11" ht="13.5" thickBot="1" x14ac:dyDescent="0.25">
      <c r="I25" s="926" t="s">
        <v>225</v>
      </c>
      <c r="J25" s="927"/>
      <c r="K25" s="928"/>
    </row>
    <row r="26" spans="1:11" x14ac:dyDescent="0.2">
      <c r="I26" s="166" t="s">
        <v>129</v>
      </c>
      <c r="J26" s="167" t="s">
        <v>130</v>
      </c>
      <c r="K26" s="168" t="s">
        <v>131</v>
      </c>
    </row>
    <row r="27" spans="1:11" x14ac:dyDescent="0.2">
      <c r="D27" s="213"/>
      <c r="E27" s="213"/>
      <c r="F27" s="213"/>
      <c r="I27" s="169" t="s">
        <v>133</v>
      </c>
      <c r="J27" s="170">
        <v>0.3</v>
      </c>
      <c r="K27" s="171">
        <v>2</v>
      </c>
    </row>
    <row r="28" spans="1:11" x14ac:dyDescent="0.2">
      <c r="D28" s="212"/>
      <c r="E28" s="214"/>
      <c r="F28" s="214"/>
      <c r="I28" s="169" t="s">
        <v>135</v>
      </c>
      <c r="J28" s="170">
        <v>0.3</v>
      </c>
      <c r="K28" s="171">
        <v>5</v>
      </c>
    </row>
    <row r="29" spans="1:11" x14ac:dyDescent="0.2">
      <c r="D29" s="212"/>
      <c r="E29" s="214"/>
      <c r="F29" s="214"/>
      <c r="I29" s="169" t="s">
        <v>137</v>
      </c>
      <c r="J29" s="170">
        <v>0.5</v>
      </c>
      <c r="K29" s="171">
        <v>10</v>
      </c>
    </row>
    <row r="30" spans="1:11" x14ac:dyDescent="0.2">
      <c r="D30" s="212"/>
      <c r="E30" s="214"/>
      <c r="F30" s="214"/>
      <c r="I30" s="169" t="s">
        <v>139</v>
      </c>
      <c r="J30" s="170">
        <v>0.65</v>
      </c>
      <c r="K30" s="171">
        <v>17</v>
      </c>
    </row>
    <row r="31" spans="1:11" x14ac:dyDescent="0.2">
      <c r="D31" s="212"/>
      <c r="E31" s="214"/>
      <c r="F31" s="214"/>
      <c r="I31" s="169" t="s">
        <v>140</v>
      </c>
      <c r="J31" s="170">
        <v>0.1</v>
      </c>
      <c r="K31" s="1113"/>
    </row>
    <row r="32" spans="1:11" x14ac:dyDescent="0.2">
      <c r="I32" s="169" t="s">
        <v>134</v>
      </c>
      <c r="J32" s="170">
        <v>0.1</v>
      </c>
      <c r="K32" s="1114"/>
    </row>
    <row r="33" spans="9:11" x14ac:dyDescent="0.2">
      <c r="I33" s="169" t="s">
        <v>136</v>
      </c>
      <c r="J33" s="170">
        <v>0.1</v>
      </c>
      <c r="K33" s="1129"/>
    </row>
    <row r="34" spans="9:11" x14ac:dyDescent="0.2">
      <c r="I34" s="169" t="s">
        <v>229</v>
      </c>
      <c r="J34" s="170">
        <v>0.3</v>
      </c>
      <c r="K34" s="171">
        <v>5</v>
      </c>
    </row>
    <row r="35" spans="9:11" x14ac:dyDescent="0.2">
      <c r="I35" s="169" t="s">
        <v>144</v>
      </c>
      <c r="J35" s="170">
        <v>0.9</v>
      </c>
      <c r="K35" s="1113"/>
    </row>
    <row r="36" spans="9:11" x14ac:dyDescent="0.2">
      <c r="I36" s="169" t="s">
        <v>142</v>
      </c>
      <c r="J36" s="170">
        <v>0.9</v>
      </c>
      <c r="K36" s="1114"/>
    </row>
    <row r="37" spans="9:11" x14ac:dyDescent="0.2">
      <c r="I37" s="169" t="s">
        <v>143</v>
      </c>
      <c r="J37" s="170">
        <v>0.9</v>
      </c>
      <c r="K37" s="1114"/>
    </row>
    <row r="38" spans="9:11" x14ac:dyDescent="0.2">
      <c r="I38" s="169" t="s">
        <v>145</v>
      </c>
      <c r="J38" s="170">
        <v>0.9</v>
      </c>
      <c r="K38" s="1114"/>
    </row>
    <row r="39" spans="9:11" x14ac:dyDescent="0.2">
      <c r="I39" s="169" t="s">
        <v>146</v>
      </c>
      <c r="J39" s="170">
        <v>0.7</v>
      </c>
      <c r="K39" s="1114"/>
    </row>
    <row r="40" spans="9:11" x14ac:dyDescent="0.2">
      <c r="I40" s="169" t="s">
        <v>148</v>
      </c>
      <c r="J40" s="170">
        <v>0.7</v>
      </c>
      <c r="K40" s="1114"/>
    </row>
    <row r="41" spans="9:11" x14ac:dyDescent="0.2">
      <c r="I41" s="169" t="s">
        <v>149</v>
      </c>
      <c r="J41" s="170">
        <v>0.7</v>
      </c>
      <c r="K41" s="1129"/>
    </row>
    <row r="42" spans="9:11" x14ac:dyDescent="0.2">
      <c r="I42" s="169" t="s">
        <v>147</v>
      </c>
      <c r="J42" s="170">
        <v>0.3</v>
      </c>
      <c r="K42" s="171">
        <v>5</v>
      </c>
    </row>
    <row r="43" spans="9:11" x14ac:dyDescent="0.2">
      <c r="I43" s="169" t="s">
        <v>152</v>
      </c>
      <c r="J43" s="170">
        <v>0.3</v>
      </c>
      <c r="K43" s="171">
        <v>2</v>
      </c>
    </row>
    <row r="44" spans="9:11" x14ac:dyDescent="0.2">
      <c r="I44" s="169" t="s">
        <v>153</v>
      </c>
      <c r="J44" s="170">
        <v>0.3</v>
      </c>
      <c r="K44" s="171">
        <v>5</v>
      </c>
    </row>
    <row r="45" spans="9:11" x14ac:dyDescent="0.2">
      <c r="I45" s="169" t="s">
        <v>154</v>
      </c>
      <c r="J45" s="170">
        <v>0.5</v>
      </c>
      <c r="K45" s="171">
        <v>10</v>
      </c>
    </row>
    <row r="46" spans="9:11" x14ac:dyDescent="0.2">
      <c r="I46" s="169" t="s">
        <v>155</v>
      </c>
      <c r="J46" s="170">
        <v>0.1</v>
      </c>
      <c r="K46" s="1113"/>
    </row>
    <row r="47" spans="9:11" x14ac:dyDescent="0.2">
      <c r="I47" s="169" t="s">
        <v>156</v>
      </c>
      <c r="J47" s="170">
        <v>0.1</v>
      </c>
      <c r="K47" s="1129"/>
    </row>
    <row r="48" spans="9:11" x14ac:dyDescent="0.2">
      <c r="I48" s="169" t="s">
        <v>230</v>
      </c>
      <c r="J48" s="170">
        <v>0.3</v>
      </c>
      <c r="K48" s="171">
        <v>5</v>
      </c>
    </row>
    <row r="49" spans="9:11" x14ac:dyDescent="0.2">
      <c r="I49" s="169" t="s">
        <v>157</v>
      </c>
      <c r="J49" s="170">
        <v>0.7</v>
      </c>
      <c r="K49" s="1113"/>
    </row>
    <row r="50" spans="9:11" x14ac:dyDescent="0.2">
      <c r="I50" s="169" t="s">
        <v>150</v>
      </c>
      <c r="J50" s="170">
        <v>0.9</v>
      </c>
      <c r="K50" s="1114"/>
    </row>
    <row r="51" spans="9:11" x14ac:dyDescent="0.2">
      <c r="I51" s="169" t="s">
        <v>151</v>
      </c>
      <c r="J51" s="170">
        <v>0.9</v>
      </c>
      <c r="K51" s="1114"/>
    </row>
    <row r="52" spans="9:11" ht="13.5" thickBot="1" x14ac:dyDescent="0.25">
      <c r="I52" s="172" t="s">
        <v>159</v>
      </c>
      <c r="J52" s="173">
        <v>0.7</v>
      </c>
      <c r="K52" s="1115"/>
    </row>
  </sheetData>
  <mergeCells count="10">
    <mergeCell ref="K49:K52"/>
    <mergeCell ref="K31:K33"/>
    <mergeCell ref="A3:A21"/>
    <mergeCell ref="I25:K25"/>
    <mergeCell ref="I2:J2"/>
    <mergeCell ref="I3:J3"/>
    <mergeCell ref="C24:G24"/>
    <mergeCell ref="K35:K41"/>
    <mergeCell ref="H3:H21"/>
    <mergeCell ref="K46:K47"/>
  </mergeCells>
  <phoneticPr fontId="2" type="noConversion"/>
  <pageMargins left="0.75" right="0.75" top="1" bottom="1" header="0.5" footer="0.5"/>
  <pageSetup scale="93" orientation="landscape" r:id="rId1"/>
  <headerFooter alignWithMargins="0">
    <oddFooter>&amp;C- &amp;P -
&amp;F</oddFooter>
  </headerFooter>
  <rowBreaks count="1" manualBreakCount="1">
    <brk id="2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S147"/>
  <sheetViews>
    <sheetView view="pageBreakPreview" topLeftCell="A2" zoomScale="90" zoomScaleNormal="95" zoomScaleSheetLayoutView="90" workbookViewId="0">
      <pane ySplit="975" activePane="bottomLeft"/>
      <selection activeCell="I68" sqref="I68"/>
      <selection pane="bottomLeft" activeCell="O24" sqref="O24:P31"/>
    </sheetView>
  </sheetViews>
  <sheetFormatPr defaultColWidth="9.140625" defaultRowHeight="12.75" x14ac:dyDescent="0.2"/>
  <cols>
    <col min="1" max="1" width="14.28515625" style="111" customWidth="1"/>
    <col min="2" max="2" width="12.28515625" style="112" customWidth="1"/>
    <col min="3" max="3" width="11.5703125" style="112" customWidth="1"/>
    <col min="4" max="4" width="9.140625" style="98"/>
    <col min="5" max="5" width="13.140625" style="99" bestFit="1" customWidth="1"/>
    <col min="6" max="6" width="13.85546875" style="100" bestFit="1" customWidth="1"/>
    <col min="7" max="7" width="12.140625" style="101" customWidth="1"/>
    <col min="8" max="9" width="7.85546875" style="101" customWidth="1"/>
    <col min="10" max="11" width="8.85546875" style="229" customWidth="1"/>
    <col min="12" max="12" width="8.85546875" style="99" customWidth="1"/>
    <col min="13" max="13" width="6" style="98" customWidth="1"/>
    <col min="14" max="14" width="7.85546875" style="98" customWidth="1"/>
    <col min="15" max="15" width="13.7109375" style="193" customWidth="1"/>
    <col min="16" max="16" width="13" style="193" customWidth="1"/>
    <col min="17" max="17" width="11.7109375" style="46" customWidth="1"/>
    <col min="18" max="18" width="11.42578125" style="46" bestFit="1" customWidth="1"/>
    <col min="19" max="19" width="9.140625" style="46"/>
    <col min="20" max="16384" width="9.140625" style="45"/>
  </cols>
  <sheetData>
    <row r="1" spans="1:19" x14ac:dyDescent="0.2">
      <c r="A1" s="277" t="s">
        <v>332</v>
      </c>
    </row>
    <row r="2" spans="1:19" ht="40.5" customHeight="1" x14ac:dyDescent="0.2">
      <c r="A2" s="174" t="s">
        <v>120</v>
      </c>
      <c r="B2" s="174" t="s">
        <v>121</v>
      </c>
      <c r="C2" s="278" t="s">
        <v>252</v>
      </c>
      <c r="D2" s="175" t="str">
        <f>VLOOKUP(B2,O111:P136,2,FALSE)</f>
        <v>C</v>
      </c>
      <c r="E2" s="176" t="s">
        <v>122</v>
      </c>
      <c r="F2" s="177" t="s">
        <v>123</v>
      </c>
      <c r="G2" s="178" t="s">
        <v>124</v>
      </c>
      <c r="H2" s="178" t="s">
        <v>125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60" t="s">
        <v>233</v>
      </c>
      <c r="P2" s="960"/>
      <c r="Q2" s="157"/>
    </row>
    <row r="3" spans="1:19" x14ac:dyDescent="0.2">
      <c r="A3" s="961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VLOOKUP(B3,$O$122:$P$147,2,FALSE)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490755.43181684759</v>
      </c>
      <c r="H3" s="92">
        <f>G3/C3</f>
        <v>352.7716731333702</v>
      </c>
      <c r="I3" s="95">
        <f>H3/(VLOOKUP(B3,$O$122:$Q$147,3,FALSE))</f>
        <v>70.554334626674034</v>
      </c>
      <c r="J3" s="228">
        <f>C3*VLOOKUP(B3,$O$122:$R$147,3,FALSE)</f>
        <v>6955.7091624999994</v>
      </c>
      <c r="K3" s="228">
        <f>J3*VLOOKUP(B3,$O$122:$R$147,4,FALSE)</f>
        <v>6955.7091624999994</v>
      </c>
      <c r="L3" s="964">
        <f>SUM(C3:C11)</f>
        <v>2521.8076449999999</v>
      </c>
      <c r="M3" s="950">
        <f>SUM(E3:E11)/L3</f>
        <v>0.34745854674415505</v>
      </c>
      <c r="N3" s="950">
        <f>L3*M3</f>
        <v>876.22361950000004</v>
      </c>
      <c r="O3" s="933">
        <f>SUM(P4:P10)</f>
        <v>1030356.2409666418</v>
      </c>
      <c r="P3" s="933"/>
      <c r="R3" s="98">
        <f>N3</f>
        <v>876.22361950000004</v>
      </c>
    </row>
    <row r="4" spans="1:19" x14ac:dyDescent="0.2">
      <c r="A4" s="962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2">E4/($L$3*$M$3)</f>
        <v>6.4867376015763742E-2</v>
      </c>
      <c r="G4" s="92">
        <f t="shared" ref="G4:G11" si="3">$O$3*F4</f>
        <v>66836.505712972023</v>
      </c>
      <c r="H4" s="93">
        <f t="shared" ref="H4:H11" si="4">G4/C4</f>
        <v>823.13390397786372</v>
      </c>
      <c r="I4" s="92"/>
      <c r="J4" s="230"/>
      <c r="K4" s="228">
        <f>C4*VLOOKUP(B4,$O$122:$R$147,4,FALSE)</f>
        <v>1114.8431853</v>
      </c>
      <c r="L4" s="965"/>
      <c r="M4" s="951"/>
      <c r="N4" s="951"/>
      <c r="O4" s="147" t="s">
        <v>202</v>
      </c>
      <c r="P4" s="147">
        <f>SUM(North!J49:M49)</f>
        <v>0</v>
      </c>
      <c r="Q4" s="934">
        <f>SUM(P4:P6)</f>
        <v>274838.13111577829</v>
      </c>
    </row>
    <row r="5" spans="1:19" x14ac:dyDescent="0.2">
      <c r="A5" s="962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2"/>
        <v>0.12898909648714393</v>
      </c>
      <c r="G5" s="92">
        <f t="shared" si="3"/>
        <v>132904.72058217708</v>
      </c>
      <c r="H5" s="92">
        <f t="shared" si="4"/>
        <v>352.77167313337014</v>
      </c>
      <c r="I5" s="95">
        <f>H5/(VLOOKUP(B5,$O$122:$Q$147,3,FALSE))</f>
        <v>70.554334626674034</v>
      </c>
      <c r="J5" s="228">
        <f>C5*VLOOKUP(B5,$O$122:$R$147,3,FALSE)</f>
        <v>1883.72155</v>
      </c>
      <c r="K5" s="228">
        <f>J5*VLOOKUP(B5,$O$122:$R$147,4,FALSE)</f>
        <v>1883.72155</v>
      </c>
      <c r="L5" s="965"/>
      <c r="M5" s="951"/>
      <c r="N5" s="951"/>
      <c r="O5" s="147" t="s">
        <v>206</v>
      </c>
      <c r="P5" s="245">
        <f>N3/($N$3+$N$15+$N$34+$N$50+$N$61+$N$73+$N$85)*'Future Improve'!$D$8</f>
        <v>194838.13111577829</v>
      </c>
      <c r="Q5" s="934"/>
      <c r="S5" s="245"/>
    </row>
    <row r="6" spans="1:19" x14ac:dyDescent="0.2">
      <c r="A6" s="962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2"/>
        <v>0.15296350442650897</v>
      </c>
      <c r="G6" s="92">
        <f t="shared" si="3"/>
        <v>157606.90142598207</v>
      </c>
      <c r="H6" s="93">
        <f t="shared" si="4"/>
        <v>823.13390397786372</v>
      </c>
      <c r="I6" s="92"/>
      <c r="J6" s="230"/>
      <c r="K6" s="228">
        <f>C6*VLOOKUP(B6,$O$122:$R$147,4,FALSE)</f>
        <v>2628.9073334499999</v>
      </c>
      <c r="L6" s="965"/>
      <c r="M6" s="951"/>
      <c r="N6" s="951"/>
      <c r="O6" s="147" t="s">
        <v>219</v>
      </c>
      <c r="P6" s="147">
        <f>'Levee &amp; Monitor'!E17</f>
        <v>80000</v>
      </c>
      <c r="Q6" s="934"/>
    </row>
    <row r="7" spans="1:19" x14ac:dyDescent="0.2">
      <c r="A7" s="962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2"/>
        <v>7.9504190996074837E-4</v>
      </c>
      <c r="G7" s="92">
        <f t="shared" si="3"/>
        <v>819.17639375809597</v>
      </c>
      <c r="H7" s="93">
        <f t="shared" si="4"/>
        <v>117.5905577111234</v>
      </c>
      <c r="I7" s="92"/>
      <c r="J7" s="230"/>
      <c r="K7" s="228">
        <f>C7*VLOOKUP(B7,$O$122:$R$147,4,FALSE)</f>
        <v>0</v>
      </c>
      <c r="L7" s="965"/>
      <c r="M7" s="951"/>
      <c r="N7" s="951"/>
      <c r="O7" s="165" t="s">
        <v>220</v>
      </c>
      <c r="P7" s="165">
        <f>0.19*Q4</f>
        <v>52219.244911997877</v>
      </c>
    </row>
    <row r="8" spans="1:19" x14ac:dyDescent="0.2">
      <c r="A8" s="962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2"/>
        <v>4.2509040125230267E-3</v>
      </c>
      <c r="G8" s="92">
        <f t="shared" si="3"/>
        <v>4379.94547905324</v>
      </c>
      <c r="H8" s="93">
        <f t="shared" si="4"/>
        <v>117.59055771112338</v>
      </c>
      <c r="I8" s="92"/>
      <c r="J8" s="230"/>
      <c r="K8" s="228">
        <f>C8*VLOOKUP(B8,$O$122:$R$147,4,FALSE)</f>
        <v>37.247425</v>
      </c>
      <c r="L8" s="965"/>
      <c r="M8" s="951"/>
      <c r="N8" s="951"/>
      <c r="O8" s="165" t="s">
        <v>221</v>
      </c>
      <c r="P8" s="165">
        <f>0.02*Q4*0</f>
        <v>0</v>
      </c>
    </row>
    <row r="9" spans="1:19" x14ac:dyDescent="0.2">
      <c r="A9" s="962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2"/>
        <v>0.12392367636923761</v>
      </c>
      <c r="G9" s="92">
        <f t="shared" si="3"/>
        <v>127685.53335057432</v>
      </c>
      <c r="H9" s="92">
        <f t="shared" si="4"/>
        <v>352.7716731333702</v>
      </c>
      <c r="I9" s="95">
        <f>H9/(VLOOKUP(B9,$O$122:$Q$147,3,FALSE))</f>
        <v>70.554334626674034</v>
      </c>
      <c r="J9" s="228">
        <f>C9*VLOOKUP(B9,$O$122:$R$147,3,FALSE)</f>
        <v>1809.7475374999999</v>
      </c>
      <c r="K9" s="228">
        <f>J9*VLOOKUP(B9,$O$122:$R$147,4,FALSE)</f>
        <v>1809.7475374999999</v>
      </c>
      <c r="L9" s="965"/>
      <c r="M9" s="951"/>
      <c r="N9" s="951"/>
      <c r="O9" s="165" t="s">
        <v>222</v>
      </c>
      <c r="P9" s="165">
        <v>500000</v>
      </c>
    </row>
    <row r="10" spans="1:19" x14ac:dyDescent="0.2">
      <c r="A10" s="962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2"/>
        <v>3.8858319659802319E-2</v>
      </c>
      <c r="G10" s="92">
        <f t="shared" si="3"/>
        <v>40037.912174954072</v>
      </c>
      <c r="H10" s="93">
        <f t="shared" si="4"/>
        <v>823.13390397786372</v>
      </c>
      <c r="I10" s="92"/>
      <c r="J10" s="230"/>
      <c r="K10" s="228">
        <f>C10*VLOOKUP(B10,$O$122:$R$147,4,FALSE)</f>
        <v>667.83852724999997</v>
      </c>
      <c r="L10" s="965"/>
      <c r="M10" s="951"/>
      <c r="N10" s="951"/>
      <c r="O10" s="526" t="s">
        <v>254</v>
      </c>
      <c r="P10" s="526">
        <f>0.518*1.2*(Q4+P7)</f>
        <v>203298.86493886568</v>
      </c>
    </row>
    <row r="11" spans="1:19" x14ac:dyDescent="0.2">
      <c r="A11" s="963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2"/>
        <v>9.0552312485340392E-3</v>
      </c>
      <c r="G11" s="92">
        <f t="shared" si="3"/>
        <v>9330.1140303232041</v>
      </c>
      <c r="H11" s="92">
        <f t="shared" si="4"/>
        <v>352.7716731333702</v>
      </c>
      <c r="I11" s="95">
        <f>H11/(VLOOKUP(B11,$O$122:$Q$147,3,FALSE))</f>
        <v>176.3858365666851</v>
      </c>
      <c r="J11" s="228">
        <f>C11*VLOOKUP(B11,$O$122:$R$147,3,FALSE)</f>
        <v>52.896050000000002</v>
      </c>
      <c r="K11" s="228">
        <f>C11*VLOOKUP(B11,$O$122:$R$147,4,FALSE)</f>
        <v>66.120062500000003</v>
      </c>
      <c r="L11" s="966"/>
      <c r="M11" s="952"/>
      <c r="N11" s="952"/>
      <c r="O11" s="201"/>
      <c r="P11" s="202"/>
    </row>
    <row r="12" spans="1:19" s="256" customFormat="1" x14ac:dyDescent="0.2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1030356.2409666415</v>
      </c>
      <c r="H12" s="148"/>
      <c r="I12" s="148"/>
      <c r="J12" s="253"/>
      <c r="K12" s="235">
        <f>SUM(K3:K11)</f>
        <v>15164.1347835</v>
      </c>
      <c r="L12" s="213"/>
      <c r="M12" s="254"/>
      <c r="N12" s="254"/>
      <c r="O12" s="242"/>
      <c r="P12" s="242"/>
      <c r="Q12" s="255"/>
      <c r="R12" s="255"/>
      <c r="S12" s="255"/>
    </row>
    <row r="13" spans="1:19" x14ac:dyDescent="0.2">
      <c r="A13" s="275" t="s">
        <v>323</v>
      </c>
      <c r="B13" s="276"/>
      <c r="C13" s="922" t="s">
        <v>325</v>
      </c>
      <c r="D13" s="922"/>
      <c r="E13" s="922"/>
      <c r="F13" s="922"/>
      <c r="G13" s="923"/>
    </row>
    <row r="14" spans="1:19" x14ac:dyDescent="0.2">
      <c r="A14" s="96"/>
      <c r="B14" s="97"/>
      <c r="C14" s="97"/>
    </row>
    <row r="15" spans="1:19" x14ac:dyDescent="0.2">
      <c r="A15" s="959" t="s">
        <v>141</v>
      </c>
      <c r="B15" s="279" t="s">
        <v>229</v>
      </c>
      <c r="C15" s="179">
        <f>0.5*0.85*111.6225</f>
        <v>47.439562500000001</v>
      </c>
      <c r="D15" s="89">
        <f t="shared" ref="D15:D31" si="5">VLOOKUP(B15,$O$122:$P$147,2,FALSE)</f>
        <v>0.3</v>
      </c>
      <c r="E15" s="90">
        <f>C15*D15</f>
        <v>14.23186875</v>
      </c>
      <c r="F15" s="91">
        <f t="shared" ref="F15:F31" si="6">E15/($L$15*$M$15)</f>
        <v>4.347240231514761E-2</v>
      </c>
      <c r="G15" s="92">
        <f>$O$15*F15</f>
        <v>124974.7745422655</v>
      </c>
      <c r="H15" s="92">
        <f>G15/C15</f>
        <v>2634.3998122298344</v>
      </c>
      <c r="I15" s="95">
        <f>H15/(VLOOKUP(B15,$O$122:$Q$147,3,FALSE))</f>
        <v>526.87996244596684</v>
      </c>
      <c r="J15" s="228">
        <f>C15*VLOOKUP(B15,$O$122:$R$147,3,FALSE)</f>
        <v>237.1978125</v>
      </c>
      <c r="K15" s="228">
        <f>J15*VLOOKUP(B15,$O$122:$R$147,4,FALSE)</f>
        <v>237.1978125</v>
      </c>
      <c r="L15" s="931">
        <f>SUM(C15:C31)</f>
        <v>1043.0869425000001</v>
      </c>
      <c r="M15" s="932">
        <f>SUM(E15:E31)/L15</f>
        <v>0.31385408148755545</v>
      </c>
      <c r="N15" s="932">
        <f>L15*M15</f>
        <v>327.37709425000008</v>
      </c>
      <c r="O15" s="933">
        <f>SUM(P16:P23)</f>
        <v>2874807.1854018299</v>
      </c>
      <c r="P15" s="933"/>
    </row>
    <row r="16" spans="1:19" x14ac:dyDescent="0.2">
      <c r="A16" s="959"/>
      <c r="B16" s="87" t="s">
        <v>142</v>
      </c>
      <c r="C16" s="88">
        <f>0.85*18.215</f>
        <v>15.482749999999999</v>
      </c>
      <c r="D16" s="89">
        <f t="shared" si="5"/>
        <v>0.9</v>
      </c>
      <c r="E16" s="90">
        <f t="shared" ref="E16:E76" si="7">C16*D16</f>
        <v>13.934474999999999</v>
      </c>
      <c r="F16" s="91">
        <f t="shared" si="6"/>
        <v>4.2563988882371222E-2</v>
      </c>
      <c r="G16" s="92">
        <f t="shared" ref="G16:G31" si="8">$O$15*F16</f>
        <v>122363.26107840439</v>
      </c>
      <c r="H16" s="93">
        <f t="shared" ref="H16:H86" si="9">G16/C16</f>
        <v>7903.1994366895024</v>
      </c>
      <c r="I16" s="92"/>
      <c r="J16" s="230"/>
      <c r="K16" s="228">
        <f>C16*VLOOKUP(B16,$O$122:$R$147,4,FALSE)</f>
        <v>273.27053749999999</v>
      </c>
      <c r="L16" s="931"/>
      <c r="M16" s="932"/>
      <c r="N16" s="932"/>
      <c r="O16" s="147" t="s">
        <v>202</v>
      </c>
      <c r="P16" s="147">
        <f>SUM(North!G60:I60)-North!F9-North!F12</f>
        <v>1012300</v>
      </c>
      <c r="Q16" s="934">
        <f>SUM(P16:P19)</f>
        <v>1230658.7877735808</v>
      </c>
    </row>
    <row r="17" spans="1:18" x14ac:dyDescent="0.2">
      <c r="A17" s="959"/>
      <c r="B17" s="87" t="s">
        <v>143</v>
      </c>
      <c r="C17" s="88">
        <f>0.85*17.0225</f>
        <v>14.469125</v>
      </c>
      <c r="D17" s="89">
        <f t="shared" si="5"/>
        <v>0.9</v>
      </c>
      <c r="E17" s="90">
        <f t="shared" si="7"/>
        <v>13.0222125</v>
      </c>
      <c r="F17" s="91">
        <f t="shared" si="6"/>
        <v>3.977740877025332E-2</v>
      </c>
      <c r="G17" s="92">
        <f t="shared" si="8"/>
        <v>114352.38054939001</v>
      </c>
      <c r="H17" s="93">
        <f t="shared" si="9"/>
        <v>7903.1994366895033</v>
      </c>
      <c r="I17" s="92"/>
      <c r="J17" s="230"/>
      <c r="K17" s="228">
        <f>C17*VLOOKUP(B17,$O$122:$R$147,4,FALSE)</f>
        <v>255.38005624999997</v>
      </c>
      <c r="L17" s="931"/>
      <c r="M17" s="932"/>
      <c r="N17" s="932"/>
      <c r="O17" s="147" t="s">
        <v>206</v>
      </c>
      <c r="P17" s="147">
        <f>N15/($N$3+$N$15+$N$34+$N$50+$N$61+$N$73+$N$85)*'Future Improve'!$D$8</f>
        <v>72795.961891762287</v>
      </c>
      <c r="Q17" s="934"/>
      <c r="R17" s="145" t="s">
        <v>505</v>
      </c>
    </row>
    <row r="18" spans="1:18" x14ac:dyDescent="0.2">
      <c r="A18" s="959"/>
      <c r="B18" s="87" t="s">
        <v>135</v>
      </c>
      <c r="C18" s="88">
        <f>0.85*108.8655</f>
        <v>92.535674999999998</v>
      </c>
      <c r="D18" s="89">
        <f t="shared" si="5"/>
        <v>0.3</v>
      </c>
      <c r="E18" s="90">
        <f t="shared" si="7"/>
        <v>27.760702499999997</v>
      </c>
      <c r="F18" s="91">
        <f t="shared" si="6"/>
        <v>8.4797326958985897E-2</v>
      </c>
      <c r="G18" s="92">
        <f t="shared" si="8"/>
        <v>243775.96484456095</v>
      </c>
      <c r="H18" s="92">
        <f t="shared" si="9"/>
        <v>2634.399812229834</v>
      </c>
      <c r="I18" s="95">
        <f>H18/(VLOOKUP(B18,$O$122:$Q$147,3,FALSE))</f>
        <v>526.87996244596684</v>
      </c>
      <c r="J18" s="228">
        <f>C18*VLOOKUP(B18,$O$122:$R$147,3,FALSE)</f>
        <v>462.67837499999996</v>
      </c>
      <c r="K18" s="228">
        <f>J18*VLOOKUP(B18,$O$122:$R$147,4,FALSE)</f>
        <v>462.67837499999996</v>
      </c>
      <c r="L18" s="931"/>
      <c r="M18" s="932"/>
      <c r="N18" s="932"/>
      <c r="O18" s="147" t="s">
        <v>207</v>
      </c>
      <c r="P18" s="147">
        <f>N15/($N$15+$N$34+$N$50+$N$61+$N$73+$N$85)*'Future Improve'!$D$9</f>
        <v>65562.825881818426</v>
      </c>
      <c r="Q18" s="934"/>
      <c r="R18" s="710">
        <v>300000</v>
      </c>
    </row>
    <row r="19" spans="1:18" x14ac:dyDescent="0.2">
      <c r="A19" s="959"/>
      <c r="B19" s="87" t="s">
        <v>140</v>
      </c>
      <c r="C19" s="88">
        <f>0.85*14.8088</f>
        <v>12.587479999999999</v>
      </c>
      <c r="D19" s="89">
        <f t="shared" si="5"/>
        <v>0.1</v>
      </c>
      <c r="E19" s="90">
        <f t="shared" si="7"/>
        <v>1.258748</v>
      </c>
      <c r="F19" s="91">
        <f t="shared" si="6"/>
        <v>3.844948293904651E-3</v>
      </c>
      <c r="G19" s="92">
        <f t="shared" si="8"/>
        <v>11053.484982815598</v>
      </c>
      <c r="H19" s="93">
        <f t="shared" si="9"/>
        <v>878.13327074327822</v>
      </c>
      <c r="I19" s="92"/>
      <c r="J19" s="230"/>
      <c r="K19" s="228">
        <f>C19*VLOOKUP(B19,$O$122:$R$147,4,FALSE)</f>
        <v>0</v>
      </c>
      <c r="L19" s="931"/>
      <c r="M19" s="932"/>
      <c r="N19" s="932"/>
      <c r="O19" s="147" t="s">
        <v>219</v>
      </c>
      <c r="P19" s="147">
        <f>'Levee &amp; Monitor'!E18</f>
        <v>80000</v>
      </c>
      <c r="Q19" s="934"/>
    </row>
    <row r="20" spans="1:18" x14ac:dyDescent="0.2">
      <c r="A20" s="959"/>
      <c r="B20" s="87" t="s">
        <v>134</v>
      </c>
      <c r="C20" s="88">
        <f>0.85*5.885</f>
        <v>5.0022500000000001</v>
      </c>
      <c r="D20" s="89">
        <f t="shared" si="5"/>
        <v>0.1</v>
      </c>
      <c r="E20" s="90">
        <f t="shared" si="7"/>
        <v>0.50022500000000003</v>
      </c>
      <c r="F20" s="91">
        <f t="shared" si="6"/>
        <v>1.5279780069707791E-3</v>
      </c>
      <c r="G20" s="92">
        <f t="shared" si="8"/>
        <v>4392.6421535755635</v>
      </c>
      <c r="H20" s="93">
        <f t="shared" si="9"/>
        <v>878.13327074327822</v>
      </c>
      <c r="I20" s="92"/>
      <c r="J20" s="230"/>
      <c r="K20" s="228">
        <f>C20*VLOOKUP(B20,$O$122:$R$147,4,FALSE)</f>
        <v>0</v>
      </c>
      <c r="L20" s="931"/>
      <c r="M20" s="932"/>
      <c r="N20" s="932"/>
      <c r="O20" s="165" t="s">
        <v>220</v>
      </c>
      <c r="P20" s="165">
        <f>0.19*Q16</f>
        <v>233825.16967698035</v>
      </c>
      <c r="Q20" s="189"/>
    </row>
    <row r="21" spans="1:18" x14ac:dyDescent="0.2">
      <c r="A21" s="959"/>
      <c r="B21" s="87" t="s">
        <v>136</v>
      </c>
      <c r="C21" s="88">
        <f>0.85*112.5219</f>
        <v>95.643614999999997</v>
      </c>
      <c r="D21" s="89">
        <f t="shared" si="5"/>
        <v>0.1</v>
      </c>
      <c r="E21" s="90">
        <f t="shared" si="7"/>
        <v>9.5643615000000004</v>
      </c>
      <c r="F21" s="91">
        <f t="shared" si="6"/>
        <v>2.9215121240877707E-2</v>
      </c>
      <c r="G21" s="92">
        <f t="shared" si="8"/>
        <v>83987.840465660862</v>
      </c>
      <c r="H21" s="93">
        <f t="shared" si="9"/>
        <v>878.13327074327822</v>
      </c>
      <c r="I21" s="92"/>
      <c r="J21" s="230"/>
      <c r="K21" s="228">
        <f>C21*VLOOKUP(B21,$O$122:$R$147,4,FALSE)</f>
        <v>95.643614999999997</v>
      </c>
      <c r="L21" s="931"/>
      <c r="M21" s="932"/>
      <c r="N21" s="932"/>
      <c r="O21" s="165" t="s">
        <v>221</v>
      </c>
      <c r="P21" s="165">
        <f>0.02*Q16*0</f>
        <v>0</v>
      </c>
    </row>
    <row r="22" spans="1:18" x14ac:dyDescent="0.2">
      <c r="A22" s="959"/>
      <c r="B22" s="280" t="s">
        <v>147</v>
      </c>
      <c r="C22" s="180">
        <f>0.5*0.85*340.8542</f>
        <v>144.863035</v>
      </c>
      <c r="D22" s="102">
        <f t="shared" si="5"/>
        <v>0.3</v>
      </c>
      <c r="E22" s="103">
        <f>C22*D22</f>
        <v>43.458910499999995</v>
      </c>
      <c r="F22" s="104">
        <f t="shared" si="6"/>
        <v>0.13274878194994544</v>
      </c>
      <c r="G22" s="94">
        <f t="shared" si="8"/>
        <v>381627.15220304386</v>
      </c>
      <c r="H22" s="94">
        <f>G22/C22</f>
        <v>2634.399812229834</v>
      </c>
      <c r="I22" s="95">
        <f>H22/(VLOOKUP(B22,$O$122:$Q$147,3,FALSE))</f>
        <v>526.87996244596684</v>
      </c>
      <c r="J22" s="228">
        <f>C22*VLOOKUP(B22,$O$122:$R$147,3,FALSE)</f>
        <v>724.31517499999995</v>
      </c>
      <c r="K22" s="228">
        <f>J22*VLOOKUP(B22,$O$122:$R$147,4,FALSE)</f>
        <v>724.31517499999995</v>
      </c>
      <c r="L22" s="931"/>
      <c r="M22" s="932"/>
      <c r="N22" s="932"/>
      <c r="O22" s="165" t="s">
        <v>222</v>
      </c>
      <c r="P22" s="165">
        <v>500000</v>
      </c>
    </row>
    <row r="23" spans="1:18" x14ac:dyDescent="0.2">
      <c r="A23" s="959"/>
      <c r="B23" s="280" t="s">
        <v>230</v>
      </c>
      <c r="C23" s="180">
        <f>0.5*0.85*255.3398</f>
        <v>108.519415</v>
      </c>
      <c r="D23" s="102">
        <f t="shared" si="5"/>
        <v>0.3</v>
      </c>
      <c r="E23" s="103">
        <f t="shared" si="7"/>
        <v>32.5558245</v>
      </c>
      <c r="F23" s="104">
        <f t="shared" si="6"/>
        <v>9.9444417681644179E-2</v>
      </c>
      <c r="G23" s="94">
        <f t="shared" si="8"/>
        <v>285883.52649929147</v>
      </c>
      <c r="H23" s="94">
        <f t="shared" si="9"/>
        <v>2634.3998122298344</v>
      </c>
      <c r="I23" s="95">
        <f>H23/(VLOOKUP(B23,$O$122:$Q$147,3,FALSE))</f>
        <v>526.87996244596684</v>
      </c>
      <c r="J23" s="228">
        <f>C23*VLOOKUP(B23,$O$122:$R$147,3,FALSE)</f>
        <v>542.59707500000002</v>
      </c>
      <c r="K23" s="228">
        <f>J23*VLOOKUP(B23,$O$122:$R$147,4,FALSE)</f>
        <v>542.59707500000002</v>
      </c>
      <c r="L23" s="931"/>
      <c r="M23" s="932"/>
      <c r="N23" s="932"/>
      <c r="O23" s="526" t="s">
        <v>232</v>
      </c>
      <c r="P23" s="526">
        <f>0.518*1.2*(Q16+P20)</f>
        <v>910323.2279512689</v>
      </c>
    </row>
    <row r="24" spans="1:18" x14ac:dyDescent="0.2">
      <c r="A24" s="959"/>
      <c r="B24" s="279" t="s">
        <v>150</v>
      </c>
      <c r="C24" s="179">
        <f>0.5*0.85*43.0576</f>
        <v>18.299479999999999</v>
      </c>
      <c r="D24" s="89">
        <f t="shared" si="5"/>
        <v>0.9</v>
      </c>
      <c r="E24" s="90">
        <f t="shared" si="7"/>
        <v>16.469532000000001</v>
      </c>
      <c r="F24" s="91">
        <f t="shared" si="6"/>
        <v>5.030752697506416E-2</v>
      </c>
      <c r="G24" s="92">
        <f t="shared" si="8"/>
        <v>144624.44002771084</v>
      </c>
      <c r="H24" s="93">
        <f t="shared" si="9"/>
        <v>7903.1994366895042</v>
      </c>
      <c r="I24" s="92"/>
      <c r="J24" s="230"/>
      <c r="K24" s="228">
        <f>C24*VLOOKUP(B24,$O$122:$R$147,4,FALSE)</f>
        <v>322.98582199999998</v>
      </c>
      <c r="L24" s="931"/>
      <c r="M24" s="932"/>
      <c r="N24" s="932"/>
      <c r="O24" s="935"/>
      <c r="P24" s="935"/>
    </row>
    <row r="25" spans="1:18" x14ac:dyDescent="0.2">
      <c r="A25" s="959"/>
      <c r="B25" s="279" t="s">
        <v>151</v>
      </c>
      <c r="C25" s="179">
        <f>0.5*0.85*40.4346</f>
        <v>17.184705000000001</v>
      </c>
      <c r="D25" s="89">
        <f t="shared" si="5"/>
        <v>0.9</v>
      </c>
      <c r="E25" s="90">
        <f t="shared" si="7"/>
        <v>15.466234500000001</v>
      </c>
      <c r="F25" s="91">
        <f t="shared" si="6"/>
        <v>4.7242873040437207E-2</v>
      </c>
      <c r="G25" s="92">
        <f t="shared" si="8"/>
        <v>135814.15087567529</v>
      </c>
      <c r="H25" s="93">
        <f t="shared" si="9"/>
        <v>7903.1994366895024</v>
      </c>
      <c r="I25" s="92"/>
      <c r="J25" s="230"/>
      <c r="K25" s="228">
        <f>C25*VLOOKUP(B25,$O$122:$R$147,4,FALSE)</f>
        <v>303.31004324999998</v>
      </c>
      <c r="L25" s="931"/>
      <c r="M25" s="932"/>
      <c r="N25" s="932"/>
      <c r="O25" s="935"/>
      <c r="P25" s="935"/>
    </row>
    <row r="26" spans="1:18" x14ac:dyDescent="0.2">
      <c r="A26" s="959"/>
      <c r="B26" s="279" t="s">
        <v>153</v>
      </c>
      <c r="C26" s="179">
        <f>0.5*0.85*675.6646</f>
        <v>287.15745499999997</v>
      </c>
      <c r="D26" s="89">
        <f t="shared" si="5"/>
        <v>0.3</v>
      </c>
      <c r="E26" s="90">
        <f t="shared" si="7"/>
        <v>86.147236499999991</v>
      </c>
      <c r="F26" s="91">
        <f t="shared" si="6"/>
        <v>0.26314375077877022</v>
      </c>
      <c r="G26" s="92">
        <f t="shared" si="8"/>
        <v>756487.54553239699</v>
      </c>
      <c r="H26" s="92">
        <f t="shared" si="9"/>
        <v>2634.3998122298344</v>
      </c>
      <c r="I26" s="95">
        <f>H26/(VLOOKUP(B26,$O$122:$Q$147,3,FALSE))</f>
        <v>526.87996244596684</v>
      </c>
      <c r="J26" s="228">
        <f>C26*VLOOKUP(B26,$O$122:$R$147,3,FALSE)</f>
        <v>1435.7872749999999</v>
      </c>
      <c r="K26" s="228">
        <f>J26*VLOOKUP(B26,$O$122:$R$147,4,FALSE)</f>
        <v>1435.7872749999999</v>
      </c>
      <c r="L26" s="931"/>
      <c r="M26" s="932"/>
      <c r="N26" s="932"/>
      <c r="O26" s="935"/>
      <c r="P26" s="935"/>
    </row>
    <row r="27" spans="1:18" x14ac:dyDescent="0.2">
      <c r="A27" s="959"/>
      <c r="B27" s="279" t="s">
        <v>154</v>
      </c>
      <c r="C27" s="179">
        <f>0.5*0.85*19.7361</f>
        <v>8.3878424999999996</v>
      </c>
      <c r="D27" s="89">
        <f t="shared" si="5"/>
        <v>0.5</v>
      </c>
      <c r="E27" s="90">
        <f t="shared" si="7"/>
        <v>4.1939212499999998</v>
      </c>
      <c r="F27" s="91">
        <f t="shared" si="6"/>
        <v>1.2810674062606622E-2</v>
      </c>
      <c r="G27" s="92">
        <f t="shared" si="8"/>
        <v>36828.217845022373</v>
      </c>
      <c r="H27" s="92">
        <f t="shared" si="9"/>
        <v>4390.6663537163904</v>
      </c>
      <c r="I27" s="95">
        <f>H27/(VLOOKUP(B27,$O$122:$Q$147,3,FALSE))</f>
        <v>439.06663537163905</v>
      </c>
      <c r="J27" s="228">
        <f>C27*VLOOKUP(B27,$O$122:$R$147,3,FALSE)</f>
        <v>83.878424999999993</v>
      </c>
      <c r="K27" s="228">
        <f>J27*VLOOKUP(B27,$O$122:$R$147,4,FALSE)</f>
        <v>78.006935249999998</v>
      </c>
      <c r="L27" s="931"/>
      <c r="M27" s="932"/>
      <c r="N27" s="932"/>
      <c r="O27" s="935"/>
      <c r="P27" s="935"/>
    </row>
    <row r="28" spans="1:18" x14ac:dyDescent="0.2">
      <c r="A28" s="959"/>
      <c r="B28" s="279" t="s">
        <v>155</v>
      </c>
      <c r="C28" s="179">
        <f>0.5*0.85*33.5416</f>
        <v>14.255180000000001</v>
      </c>
      <c r="D28" s="89">
        <f t="shared" si="5"/>
        <v>0.1</v>
      </c>
      <c r="E28" s="90">
        <f t="shared" si="7"/>
        <v>1.4255180000000003</v>
      </c>
      <c r="F28" s="91">
        <f t="shared" si="6"/>
        <v>4.3543608427027269E-3</v>
      </c>
      <c r="G28" s="92">
        <f>$O$15*F28</f>
        <v>12517.947838434166</v>
      </c>
      <c r="H28" s="93">
        <f t="shared" si="9"/>
        <v>878.13327074327822</v>
      </c>
      <c r="I28" s="92"/>
      <c r="J28" s="230"/>
      <c r="K28" s="228">
        <f>C28*VLOOKUP(B28,$O$122:$R$147,4,FALSE)</f>
        <v>0</v>
      </c>
      <c r="L28" s="931"/>
      <c r="M28" s="932"/>
      <c r="N28" s="932"/>
      <c r="O28" s="935"/>
      <c r="P28" s="935"/>
    </row>
    <row r="29" spans="1:18" x14ac:dyDescent="0.2">
      <c r="A29" s="959"/>
      <c r="B29" s="279" t="s">
        <v>156</v>
      </c>
      <c r="C29" s="179">
        <f>0.5*0.85*11.6528</f>
        <v>4.9524399999999993</v>
      </c>
      <c r="D29" s="89">
        <f t="shared" si="5"/>
        <v>0.1</v>
      </c>
      <c r="E29" s="90">
        <f t="shared" si="7"/>
        <v>0.49524399999999996</v>
      </c>
      <c r="F29" s="91">
        <f t="shared" si="6"/>
        <v>1.5127631367569323E-3</v>
      </c>
      <c r="G29" s="92">
        <f t="shared" si="8"/>
        <v>4348.9023353598395</v>
      </c>
      <c r="H29" s="93">
        <f t="shared" si="9"/>
        <v>878.1332707432781</v>
      </c>
      <c r="I29" s="92"/>
      <c r="J29" s="230"/>
      <c r="K29" s="228">
        <f>C29*VLOOKUP(B29,$O$122:$R$147,4,FALSE)</f>
        <v>4.9524399999999993</v>
      </c>
      <c r="L29" s="931"/>
      <c r="M29" s="932"/>
      <c r="N29" s="932"/>
      <c r="O29" s="935"/>
      <c r="P29" s="935"/>
    </row>
    <row r="30" spans="1:18" x14ac:dyDescent="0.2">
      <c r="A30" s="959"/>
      <c r="B30" s="279" t="s">
        <v>152</v>
      </c>
      <c r="C30" s="179">
        <f>0.5*0.85*352.5919</f>
        <v>149.85155750000001</v>
      </c>
      <c r="D30" s="89">
        <f t="shared" si="5"/>
        <v>0.3</v>
      </c>
      <c r="E30" s="90">
        <f t="shared" si="7"/>
        <v>44.955467250000005</v>
      </c>
      <c r="F30" s="91">
        <f t="shared" si="6"/>
        <v>0.13732013644079191</v>
      </c>
      <c r="G30" s="92">
        <f t="shared" si="8"/>
        <v>394768.91494034824</v>
      </c>
      <c r="H30" s="92">
        <f t="shared" si="9"/>
        <v>2634.3998122298344</v>
      </c>
      <c r="I30" s="95">
        <f>H30/(VLOOKUP(B30,$O$122:$Q$147,3,FALSE))</f>
        <v>1317.1999061149172</v>
      </c>
      <c r="J30" s="228">
        <f>C30*VLOOKUP(B30,$O$122:$R$147,3,FALSE)</f>
        <v>299.70311500000003</v>
      </c>
      <c r="K30" s="228">
        <f>J30*VLOOKUP(B30,$O$122:$R$147,4,FALSE)</f>
        <v>749.25778750000006</v>
      </c>
      <c r="L30" s="931"/>
      <c r="M30" s="932"/>
      <c r="N30" s="932"/>
      <c r="O30" s="935"/>
      <c r="P30" s="935"/>
    </row>
    <row r="31" spans="1:18" x14ac:dyDescent="0.2">
      <c r="A31" s="959"/>
      <c r="B31" s="520" t="s">
        <v>133</v>
      </c>
      <c r="C31" s="521">
        <f>0.25*25.8215</f>
        <v>6.4553750000000001</v>
      </c>
      <c r="D31" s="89">
        <f t="shared" si="5"/>
        <v>0.3</v>
      </c>
      <c r="E31" s="90">
        <f t="shared" si="7"/>
        <v>1.9366124999999998</v>
      </c>
      <c r="F31" s="91">
        <f t="shared" si="6"/>
        <v>5.9155406227691491E-3</v>
      </c>
      <c r="G31" s="92">
        <f t="shared" si="8"/>
        <v>17006.038687873166</v>
      </c>
      <c r="H31" s="92">
        <f t="shared" si="9"/>
        <v>2634.399812229834</v>
      </c>
      <c r="I31" s="95">
        <f>H31/(VLOOKUP(B31,$O$122:$Q$147,3,FALSE))</f>
        <v>1317.199906114917</v>
      </c>
      <c r="J31" s="228">
        <f>C31*VLOOKUP(B31,$O$122:$R$147,3,FALSE)</f>
        <v>12.91075</v>
      </c>
      <c r="K31" s="228">
        <f>J31*VLOOKUP(B31,$O$122:$R$147,4,FALSE)</f>
        <v>32.276875000000004</v>
      </c>
      <c r="L31" s="931"/>
      <c r="M31" s="932"/>
      <c r="N31" s="932"/>
      <c r="O31" s="935"/>
      <c r="P31" s="935"/>
    </row>
    <row r="32" spans="1:18" x14ac:dyDescent="0.2">
      <c r="A32" s="105"/>
      <c r="B32" s="97"/>
      <c r="C32" s="97"/>
      <c r="F32" s="158">
        <f>SUM(F15:F31)</f>
        <v>0.99999999999999956</v>
      </c>
      <c r="G32" s="160">
        <f>SUM(G15:G31)</f>
        <v>2874807.1854018285</v>
      </c>
      <c r="H32" s="106"/>
      <c r="I32" s="106"/>
      <c r="K32" s="235">
        <f>SUM(K15:K31)</f>
        <v>5517.6598242499995</v>
      </c>
    </row>
    <row r="33" spans="1:17" x14ac:dyDescent="0.2">
      <c r="A33" s="105"/>
      <c r="B33" s="97"/>
      <c r="C33" s="97"/>
      <c r="F33" s="158"/>
      <c r="G33" s="160"/>
      <c r="H33" s="106"/>
      <c r="I33" s="106"/>
      <c r="K33" s="259"/>
    </row>
    <row r="34" spans="1:17" x14ac:dyDescent="0.2">
      <c r="A34" s="944" t="s">
        <v>158</v>
      </c>
      <c r="B34" s="107" t="s">
        <v>142</v>
      </c>
      <c r="C34" s="88">
        <f>0.85*53.0504</f>
        <v>45.092840000000002</v>
      </c>
      <c r="D34" s="89">
        <f t="shared" ref="D34:D46" si="10">VLOOKUP(B34,$O$122:$P$147,2,FALSE)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216915.07323691767</v>
      </c>
      <c r="H34" s="93">
        <f t="shared" ref="H34:H42" si="11">G34/C34</f>
        <v>4810.4105493669877</v>
      </c>
      <c r="I34" s="92"/>
      <c r="J34" s="230"/>
      <c r="K34" s="228">
        <f>C34*VLOOKUP(B34,$O$122:$R$147,4,FALSE)</f>
        <v>795.88862599999993</v>
      </c>
      <c r="L34" s="947">
        <f>SUM(C34:C47)</f>
        <v>774.67951749999997</v>
      </c>
      <c r="M34" s="950">
        <f>SUM(E34:E47)/L34</f>
        <v>0.42847904262552028</v>
      </c>
      <c r="N34" s="950">
        <f>L34*M34</f>
        <v>331.93393799999996</v>
      </c>
      <c r="O34" s="933">
        <f>SUM(P35:P43)</f>
        <v>1774153.9078312526</v>
      </c>
      <c r="P34" s="933"/>
    </row>
    <row r="35" spans="1:17" x14ac:dyDescent="0.2">
      <c r="A35" s="945"/>
      <c r="B35" s="107" t="s">
        <v>143</v>
      </c>
      <c r="C35" s="88">
        <f>0.85*23.0594</f>
        <v>19.600490000000001</v>
      </c>
      <c r="D35" s="89">
        <f t="shared" si="10"/>
        <v>0.9</v>
      </c>
      <c r="E35" s="90">
        <f t="shared" ref="E35:E42" si="12">C35*D35</f>
        <v>17.640441000000003</v>
      </c>
      <c r="F35" s="91">
        <f t="shared" ref="F35:F47" si="13">E35/($L$34*$M$34)</f>
        <v>5.3144433215503273E-2</v>
      </c>
      <c r="G35" s="108">
        <f t="shared" ref="G35:G47" si="14">$O$34*F35</f>
        <v>94286.403868762151</v>
      </c>
      <c r="H35" s="93">
        <f t="shared" si="11"/>
        <v>4810.4105493669877</v>
      </c>
      <c r="I35" s="92"/>
      <c r="J35" s="230"/>
      <c r="K35" s="228">
        <f>C35*VLOOKUP(B35,$O$122:$R$147,4,FALSE)</f>
        <v>345.94864849999999</v>
      </c>
      <c r="L35" s="948"/>
      <c r="M35" s="951"/>
      <c r="N35" s="951"/>
      <c r="O35" s="147" t="s">
        <v>202</v>
      </c>
      <c r="P35" s="147">
        <v>0</v>
      </c>
      <c r="Q35" s="919">
        <f>SUM(P35:P39)</f>
        <v>660284.63838560344</v>
      </c>
    </row>
    <row r="36" spans="1:17" x14ac:dyDescent="0.2">
      <c r="A36" s="945"/>
      <c r="B36" s="107" t="s">
        <v>139</v>
      </c>
      <c r="C36" s="88">
        <f>0.85*39.8271</f>
        <v>33.853034999999998</v>
      </c>
      <c r="D36" s="89">
        <f t="shared" si="10"/>
        <v>0.65</v>
      </c>
      <c r="E36" s="90">
        <f t="shared" si="12"/>
        <v>22.004472750000001</v>
      </c>
      <c r="F36" s="91">
        <f t="shared" si="13"/>
        <v>6.6291723234398539E-2</v>
      </c>
      <c r="G36" s="108">
        <f t="shared" si="14"/>
        <v>117611.71983317602</v>
      </c>
      <c r="H36" s="92">
        <f t="shared" si="11"/>
        <v>3474.1853967650468</v>
      </c>
      <c r="I36" s="95">
        <f>H36/(VLOOKUP(B36,$O$122:$Q$147,3,FALSE))</f>
        <v>204.36384686853216</v>
      </c>
      <c r="J36" s="228">
        <f>C36*VLOOKUP(B36,$O$122:$R$147,3,FALSE)</f>
        <v>575.50159499999995</v>
      </c>
      <c r="K36" s="228">
        <f>J36*VLOOKUP(B36,$O$122:$R$147,4,FALSE)</f>
        <v>368.32102079999999</v>
      </c>
      <c r="L36" s="948"/>
      <c r="M36" s="951"/>
      <c r="N36" s="951"/>
      <c r="O36" s="147" t="s">
        <v>206</v>
      </c>
      <c r="P36" s="245">
        <f>N34/($N$3+$N$15+$N$34+$N$50+$N$61+$N$73+$N$85)*'Future Improve'!$D$8</f>
        <v>73809.227113422516</v>
      </c>
      <c r="Q36" s="920"/>
    </row>
    <row r="37" spans="1:17" x14ac:dyDescent="0.2">
      <c r="A37" s="945"/>
      <c r="B37" s="107" t="s">
        <v>135</v>
      </c>
      <c r="C37" s="88">
        <f>0.85*426.0049</f>
        <v>362.10416500000002</v>
      </c>
      <c r="D37" s="89">
        <f t="shared" si="10"/>
        <v>0.3</v>
      </c>
      <c r="E37" s="90">
        <f t="shared" si="12"/>
        <v>108.63124950000001</v>
      </c>
      <c r="F37" s="91">
        <f t="shared" si="13"/>
        <v>0.32726767908860233</v>
      </c>
      <c r="G37" s="108">
        <f t="shared" si="14"/>
        <v>580623.23176190816</v>
      </c>
      <c r="H37" s="92">
        <f t="shared" si="11"/>
        <v>1603.4701831223292</v>
      </c>
      <c r="I37" s="95">
        <f>H37/(VLOOKUP(B37,$O$122:$Q$147,3,FALSE))</f>
        <v>320.69403662446587</v>
      </c>
      <c r="J37" s="228">
        <f>C37*VLOOKUP(B37,$O$122:$R$147,3,FALSE)</f>
        <v>1810.5208250000001</v>
      </c>
      <c r="K37" s="228">
        <f>J37*VLOOKUP(B37,$O$122:$R$147,4,FALSE)</f>
        <v>1810.5208250000001</v>
      </c>
      <c r="L37" s="948"/>
      <c r="M37" s="951"/>
      <c r="N37" s="951"/>
      <c r="O37" s="147" t="s">
        <v>207</v>
      </c>
      <c r="P37" s="147">
        <f>N34/($N$15+$N$34+$N$50+$N$61+$N$73+$N$85)*'Future Improve'!$D$9</f>
        <v>66475.41127218098</v>
      </c>
      <c r="Q37" s="920"/>
    </row>
    <row r="38" spans="1:17" x14ac:dyDescent="0.2">
      <c r="A38" s="945"/>
      <c r="B38" s="107" t="s">
        <v>148</v>
      </c>
      <c r="C38" s="88">
        <f>0.85*137.9281</f>
        <v>117.238885</v>
      </c>
      <c r="D38" s="89">
        <f t="shared" si="10"/>
        <v>0.7</v>
      </c>
      <c r="E38" s="90">
        <f t="shared" si="12"/>
        <v>82.067219499999993</v>
      </c>
      <c r="F38" s="91">
        <f t="shared" si="13"/>
        <v>0.2472396163961999</v>
      </c>
      <c r="G38" s="108">
        <f t="shared" si="14"/>
        <v>438641.13160001789</v>
      </c>
      <c r="H38" s="93">
        <f t="shared" si="11"/>
        <v>3741.4304272854342</v>
      </c>
      <c r="I38" s="92"/>
      <c r="J38" s="230"/>
      <c r="K38" s="228">
        <f>C38*VLOOKUP(B38,$O$122:$R$147,4,FALSE)</f>
        <v>1609.6898910499999</v>
      </c>
      <c r="L38" s="948"/>
      <c r="M38" s="951"/>
      <c r="N38" s="951"/>
      <c r="O38" s="248" t="s">
        <v>211</v>
      </c>
      <c r="P38" s="248">
        <f>'Future Improve'!D13</f>
        <v>400000</v>
      </c>
      <c r="Q38" s="920"/>
    </row>
    <row r="39" spans="1:17" x14ac:dyDescent="0.2">
      <c r="A39" s="945"/>
      <c r="B39" s="107" t="s">
        <v>137</v>
      </c>
      <c r="C39" s="88">
        <f>0.85*8.2923</f>
        <v>7.0484549999999988</v>
      </c>
      <c r="D39" s="89">
        <f t="shared" si="10"/>
        <v>0.5</v>
      </c>
      <c r="E39" s="90">
        <f t="shared" si="12"/>
        <v>3.5242274999999994</v>
      </c>
      <c r="F39" s="91">
        <f t="shared" si="13"/>
        <v>1.0617255714298186E-2</v>
      </c>
      <c r="G39" s="108">
        <f t="shared" si="14"/>
        <v>18836.645715965824</v>
      </c>
      <c r="H39" s="92">
        <f t="shared" si="11"/>
        <v>2672.4503052038817</v>
      </c>
      <c r="I39" s="95">
        <f>H39/(VLOOKUP(B39,$O$122:$Q$147,3,FALSE))</f>
        <v>267.24503052038818</v>
      </c>
      <c r="J39" s="228">
        <f>C39*VLOOKUP(B39,$O$122:$R$147,3,FALSE)</f>
        <v>70.484549999999984</v>
      </c>
      <c r="K39" s="228">
        <f>J39*VLOOKUP(B39,$O$122:$R$147,4,FALSE)</f>
        <v>65.550631499999994</v>
      </c>
      <c r="L39" s="948"/>
      <c r="M39" s="951"/>
      <c r="N39" s="951"/>
      <c r="O39" s="147" t="s">
        <v>219</v>
      </c>
      <c r="P39" s="147">
        <f>'Levee &amp; Monitor'!E19+'Levee &amp; Monitor'!E20</f>
        <v>120000</v>
      </c>
      <c r="Q39" s="921"/>
    </row>
    <row r="40" spans="1:17" x14ac:dyDescent="0.2">
      <c r="A40" s="945"/>
      <c r="B40" s="107" t="s">
        <v>145</v>
      </c>
      <c r="C40" s="88">
        <f>0.85*10.9038</f>
        <v>9.2682300000000009</v>
      </c>
      <c r="D40" s="89">
        <f t="shared" si="10"/>
        <v>0.9</v>
      </c>
      <c r="E40" s="90">
        <f t="shared" si="12"/>
        <v>8.3414070000000002</v>
      </c>
      <c r="F40" s="91">
        <f t="shared" si="13"/>
        <v>2.5129720239694207E-2</v>
      </c>
      <c r="G40" s="108">
        <f t="shared" si="14"/>
        <v>44583.991365959599</v>
      </c>
      <c r="H40" s="93">
        <f t="shared" si="11"/>
        <v>4810.4105493669877</v>
      </c>
      <c r="I40" s="92"/>
      <c r="J40" s="230"/>
      <c r="K40" s="228">
        <f>C40*VLOOKUP(B40,$O$122:$R$147,4,FALSE)</f>
        <v>163.5842595</v>
      </c>
      <c r="L40" s="948"/>
      <c r="M40" s="951"/>
      <c r="N40" s="951"/>
      <c r="O40" s="165" t="s">
        <v>220</v>
      </c>
      <c r="P40" s="165">
        <f>0.19*Q35</f>
        <v>125454.08129326465</v>
      </c>
    </row>
    <row r="41" spans="1:17" x14ac:dyDescent="0.2">
      <c r="A41" s="945"/>
      <c r="B41" s="107" t="s">
        <v>140</v>
      </c>
      <c r="C41" s="88">
        <f>0.85*0.9926</f>
        <v>0.84370999999999996</v>
      </c>
      <c r="D41" s="89">
        <f t="shared" si="10"/>
        <v>0.1</v>
      </c>
      <c r="E41" s="90">
        <f t="shared" si="12"/>
        <v>8.4371000000000002E-2</v>
      </c>
      <c r="F41" s="91">
        <f t="shared" si="13"/>
        <v>2.5418009531764121E-4</v>
      </c>
      <c r="G41" s="108">
        <f t="shared" si="14"/>
        <v>450.95460940071342</v>
      </c>
      <c r="H41" s="93">
        <f t="shared" si="11"/>
        <v>534.49006104077637</v>
      </c>
      <c r="I41" s="92"/>
      <c r="J41" s="230"/>
      <c r="K41" s="228">
        <f>C41*VLOOKUP(B41,$O$122:$R$147,4,FALSE)</f>
        <v>0</v>
      </c>
      <c r="L41" s="948"/>
      <c r="M41" s="951"/>
      <c r="N41" s="951"/>
      <c r="O41" s="165" t="s">
        <v>221</v>
      </c>
      <c r="P41" s="165">
        <f>0.02*Q35*0</f>
        <v>0</v>
      </c>
    </row>
    <row r="42" spans="1:17" x14ac:dyDescent="0.2">
      <c r="A42" s="945"/>
      <c r="B42" s="107" t="s">
        <v>134</v>
      </c>
      <c r="C42" s="88">
        <f>0.85*26.4164</f>
        <v>22.453939999999999</v>
      </c>
      <c r="D42" s="89">
        <f t="shared" si="10"/>
        <v>0.1</v>
      </c>
      <c r="E42" s="90">
        <f t="shared" si="12"/>
        <v>2.2453940000000001</v>
      </c>
      <c r="F42" s="91">
        <f t="shared" si="13"/>
        <v>6.7645809691204289E-3</v>
      </c>
      <c r="G42" s="108">
        <f t="shared" si="14"/>
        <v>12001.40776120593</v>
      </c>
      <c r="H42" s="93">
        <f t="shared" si="11"/>
        <v>534.49006104077637</v>
      </c>
      <c r="I42" s="92"/>
      <c r="J42" s="230"/>
      <c r="K42" s="228">
        <f>C42*VLOOKUP(B42,$O$122:$R$147,4,FALSE)</f>
        <v>0</v>
      </c>
      <c r="L42" s="948"/>
      <c r="M42" s="951"/>
      <c r="N42" s="951"/>
      <c r="O42" s="165" t="s">
        <v>222</v>
      </c>
      <c r="P42" s="165">
        <v>500000</v>
      </c>
    </row>
    <row r="43" spans="1:17" x14ac:dyDescent="0.2">
      <c r="A43" s="945"/>
      <c r="B43" s="257" t="s">
        <v>147</v>
      </c>
      <c r="C43" s="180">
        <f>0.5*0.85*237.681</f>
        <v>101.014425</v>
      </c>
      <c r="D43" s="102">
        <f t="shared" si="10"/>
        <v>0.3</v>
      </c>
      <c r="E43" s="103">
        <f>C43*D43</f>
        <v>30.304327499999999</v>
      </c>
      <c r="F43" s="91">
        <f t="shared" si="13"/>
        <v>9.1296261185561584E-2</v>
      </c>
      <c r="G43" s="108">
        <f t="shared" si="14"/>
        <v>161973.61855274678</v>
      </c>
      <c r="H43" s="94">
        <f>G43/C43</f>
        <v>1603.470183122329</v>
      </c>
      <c r="I43" s="95">
        <f>H43/(VLOOKUP(B43,$O$122:$Q$147,3,FALSE))</f>
        <v>320.69403662446581</v>
      </c>
      <c r="J43" s="228">
        <f>C43*VLOOKUP(B43,$O$122:$R$147,3,FALSE)</f>
        <v>505.07212500000003</v>
      </c>
      <c r="K43" s="228">
        <f>J43*VLOOKUP(B43,$O$122:$R$147,4,FALSE)</f>
        <v>505.07212500000003</v>
      </c>
      <c r="L43" s="948"/>
      <c r="M43" s="951"/>
      <c r="N43" s="951"/>
      <c r="O43" s="526" t="s">
        <v>232</v>
      </c>
      <c r="P43" s="526">
        <f>0.518*1.2*(Q35+P40)</f>
        <v>488415.18815238442</v>
      </c>
    </row>
    <row r="44" spans="1:17" x14ac:dyDescent="0.2">
      <c r="A44" s="945"/>
      <c r="B44" s="257" t="s">
        <v>230</v>
      </c>
      <c r="C44" s="180">
        <f>0.5*0.85*47.5726</f>
        <v>20.218354999999999</v>
      </c>
      <c r="D44" s="102">
        <f t="shared" si="10"/>
        <v>0.3</v>
      </c>
      <c r="E44" s="103">
        <f>C44*D44</f>
        <v>6.0655064999999997</v>
      </c>
      <c r="F44" s="91">
        <f t="shared" si="13"/>
        <v>1.8273233934880142E-2</v>
      </c>
      <c r="G44" s="108">
        <f t="shared" si="14"/>
        <v>32419.529394282261</v>
      </c>
      <c r="H44" s="94">
        <f>G44/C44</f>
        <v>1603.4701831223292</v>
      </c>
      <c r="I44" s="95">
        <f>H44/(VLOOKUP(B44,$O$122:$Q$147,3,FALSE))</f>
        <v>320.69403662446587</v>
      </c>
      <c r="J44" s="228">
        <f>C44*VLOOKUP(B44,$O$122:$R$147,3,FALSE)</f>
        <v>101.091775</v>
      </c>
      <c r="K44" s="228">
        <f>J44*VLOOKUP(B44,$O$122:$R$147,4,FALSE)</f>
        <v>101.091775</v>
      </c>
      <c r="L44" s="948"/>
      <c r="M44" s="951"/>
      <c r="N44" s="951"/>
      <c r="O44" s="953"/>
      <c r="P44" s="954"/>
    </row>
    <row r="45" spans="1:17" x14ac:dyDescent="0.2">
      <c r="A45" s="945"/>
      <c r="B45" s="258" t="s">
        <v>153</v>
      </c>
      <c r="C45" s="179">
        <f>0.5*0.85*78.7132</f>
        <v>33.453110000000002</v>
      </c>
      <c r="D45" s="89">
        <f t="shared" si="10"/>
        <v>0.3</v>
      </c>
      <c r="E45" s="90">
        <f>C45*D45</f>
        <v>10.035933</v>
      </c>
      <c r="F45" s="91">
        <f t="shared" si="13"/>
        <v>3.0234730020284945E-2</v>
      </c>
      <c r="G45" s="108">
        <f t="shared" si="14"/>
        <v>53641.064417711423</v>
      </c>
      <c r="H45" s="92">
        <f>G45/C45</f>
        <v>1603.470183122329</v>
      </c>
      <c r="I45" s="95">
        <f>H45/(VLOOKUP(B45,$O$122:$Q$147,3,FALSE))</f>
        <v>320.69403662446581</v>
      </c>
      <c r="J45" s="228">
        <f>C45*VLOOKUP(B45,$O$122:$R$147,3,FALSE)</f>
        <v>167.26555000000002</v>
      </c>
      <c r="K45" s="228">
        <f>J45*VLOOKUP(B45,$O$122:$R$147,4,FALSE)</f>
        <v>167.26555000000002</v>
      </c>
      <c r="L45" s="948"/>
      <c r="M45" s="951"/>
      <c r="N45" s="951"/>
      <c r="O45" s="955"/>
      <c r="P45" s="956"/>
    </row>
    <row r="46" spans="1:17" x14ac:dyDescent="0.2">
      <c r="A46" s="945"/>
      <c r="B46" s="258" t="s">
        <v>155</v>
      </c>
      <c r="C46" s="179">
        <f>0.5*0.85*4.0133</f>
        <v>1.7056525</v>
      </c>
      <c r="D46" s="89">
        <f t="shared" si="10"/>
        <v>0.1</v>
      </c>
      <c r="E46" s="90">
        <f>C46*D46</f>
        <v>0.17056525</v>
      </c>
      <c r="F46" s="91">
        <f t="shared" si="13"/>
        <v>5.1385300047264231E-4</v>
      </c>
      <c r="G46" s="108">
        <f t="shared" si="14"/>
        <v>911.65430883935278</v>
      </c>
      <c r="H46" s="93">
        <f>G46/C46</f>
        <v>534.49006104077637</v>
      </c>
      <c r="I46" s="92"/>
      <c r="J46" s="230"/>
      <c r="K46" s="228">
        <f>C46*VLOOKUP(B46,$O$122:$R$147,4,FALSE)</f>
        <v>0</v>
      </c>
      <c r="L46" s="948"/>
      <c r="M46" s="951"/>
      <c r="N46" s="951"/>
      <c r="O46" s="955"/>
      <c r="P46" s="956"/>
    </row>
    <row r="47" spans="1:17" x14ac:dyDescent="0.2">
      <c r="A47" s="946"/>
      <c r="B47" s="522" t="s">
        <v>133</v>
      </c>
      <c r="C47" s="521">
        <f>0.25*3.1369</f>
        <v>0.78422499999999995</v>
      </c>
      <c r="D47" s="89">
        <f>VLOOKUP(B47,$O$122:$P$147,2,FALSE)</f>
        <v>0.3</v>
      </c>
      <c r="E47" s="90">
        <f>C47*D47</f>
        <v>0.23526749999999996</v>
      </c>
      <c r="F47" s="91">
        <f t="shared" si="13"/>
        <v>7.0877808222189072E-4</v>
      </c>
      <c r="G47" s="108">
        <f t="shared" si="14"/>
        <v>1257.4814043591082</v>
      </c>
      <c r="H47" s="92">
        <f>G47/C47</f>
        <v>1603.4701831223288</v>
      </c>
      <c r="I47" s="95">
        <f>H47/(VLOOKUP(B47,$O$122:$Q$147,3,FALSE))</f>
        <v>801.73509156116438</v>
      </c>
      <c r="J47" s="228">
        <f>C47*VLOOKUP(B47,$O$122:$R$147,3,FALSE)</f>
        <v>1.5684499999999999</v>
      </c>
      <c r="K47" s="228">
        <f>J47*VLOOKUP(B47,$O$122:$R$147,4,FALSE)</f>
        <v>3.921125</v>
      </c>
      <c r="L47" s="949"/>
      <c r="M47" s="952"/>
      <c r="N47" s="952"/>
      <c r="O47" s="957"/>
      <c r="P47" s="958"/>
    </row>
    <row r="48" spans="1:17" x14ac:dyDescent="0.2">
      <c r="A48" s="105"/>
      <c r="B48" s="97"/>
      <c r="C48" s="97"/>
      <c r="F48" s="158">
        <f>SUM(F34:F47)</f>
        <v>1</v>
      </c>
      <c r="G48" s="160">
        <f>SUM(G34:G47)</f>
        <v>1774153.9078312533</v>
      </c>
      <c r="H48" s="106"/>
      <c r="I48" s="106"/>
      <c r="K48" s="235">
        <f>SUM(K34:K47)</f>
        <v>5936.8544773499998</v>
      </c>
    </row>
    <row r="49" spans="1:17" x14ac:dyDescent="0.2">
      <c r="A49" s="105"/>
      <c r="B49" s="109"/>
      <c r="C49" s="110"/>
    </row>
    <row r="50" spans="1:17" x14ac:dyDescent="0.2">
      <c r="A50" s="968" t="s">
        <v>160</v>
      </c>
      <c r="B50" s="87" t="s">
        <v>142</v>
      </c>
      <c r="C50" s="88">
        <f>0.85*0.8318</f>
        <v>0.70702999999999994</v>
      </c>
      <c r="D50" s="89">
        <f t="shared" ref="D50:D56" si="15">VLOOKUP(B50,$O$122:$P$147,2,FALSE)</f>
        <v>0.9</v>
      </c>
      <c r="E50" s="90">
        <f t="shared" si="7"/>
        <v>0.63632699999999998</v>
      </c>
      <c r="F50" s="91">
        <f>E50/($L$50*$M$50)</f>
        <v>4.5143228533810502E-3</v>
      </c>
      <c r="G50" s="92">
        <f t="shared" ref="G50:G56" si="16">$O$50*F50</f>
        <v>3757.0523457796639</v>
      </c>
      <c r="H50" s="93">
        <f t="shared" si="9"/>
        <v>5313.8513864753468</v>
      </c>
      <c r="I50" s="92"/>
      <c r="J50" s="230"/>
      <c r="K50" s="228">
        <f>C50*VLOOKUP(B50,$O$122:$R$147,4,FALSE)</f>
        <v>12.479079499999997</v>
      </c>
      <c r="L50" s="931">
        <f>SUM(C50:C56)</f>
        <v>215.07363000000001</v>
      </c>
      <c r="M50" s="932">
        <f>SUM(E50:E56)/L50</f>
        <v>0.65539114674355947</v>
      </c>
      <c r="N50" s="932">
        <f>L50*M50</f>
        <v>140.95735300000001</v>
      </c>
      <c r="O50" s="933">
        <f>SUM(P51:P59)</f>
        <v>832251.58408104989</v>
      </c>
      <c r="P50" s="933"/>
    </row>
    <row r="51" spans="1:17" x14ac:dyDescent="0.2">
      <c r="A51" s="968"/>
      <c r="B51" s="87" t="s">
        <v>143</v>
      </c>
      <c r="C51" s="88">
        <f>0.85*0.8944</f>
        <v>0.76023999999999992</v>
      </c>
      <c r="D51" s="89">
        <f t="shared" si="15"/>
        <v>0.9</v>
      </c>
      <c r="E51" s="90">
        <f t="shared" si="7"/>
        <v>0.68421599999999994</v>
      </c>
      <c r="F51" s="91">
        <f t="shared" ref="F51:F56" si="17">E51/($L$50*$M$50)</f>
        <v>4.8540639096706067E-3</v>
      </c>
      <c r="G51" s="92">
        <f t="shared" si="16"/>
        <v>4039.8023780540166</v>
      </c>
      <c r="H51" s="93">
        <f t="shared" si="9"/>
        <v>5313.8513864753459</v>
      </c>
      <c r="I51" s="92"/>
      <c r="J51" s="230"/>
      <c r="K51" s="228">
        <f>C51*VLOOKUP(B51,$O$122:$R$147,4,FALSE)</f>
        <v>13.418235999999997</v>
      </c>
      <c r="L51" s="931"/>
      <c r="M51" s="932"/>
      <c r="N51" s="932"/>
      <c r="O51" s="147" t="s">
        <v>202</v>
      </c>
      <c r="P51" s="147">
        <v>0</v>
      </c>
      <c r="Q51" s="967">
        <f>SUM(P51:P55)</f>
        <v>172177.48633005368</v>
      </c>
    </row>
    <row r="52" spans="1:17" x14ac:dyDescent="0.2">
      <c r="A52" s="968"/>
      <c r="B52" s="87" t="s">
        <v>146</v>
      </c>
      <c r="C52" s="88">
        <f>0.85*72.6832</f>
        <v>61.780719999999995</v>
      </c>
      <c r="D52" s="89">
        <f t="shared" si="15"/>
        <v>0.7</v>
      </c>
      <c r="E52" s="90">
        <f t="shared" si="7"/>
        <v>43.246503999999995</v>
      </c>
      <c r="F52" s="91">
        <f t="shared" si="17"/>
        <v>0.30680559104993971</v>
      </c>
      <c r="G52" s="92">
        <f t="shared" si="16"/>
        <v>255339.43915623511</v>
      </c>
      <c r="H52" s="93">
        <f t="shared" si="9"/>
        <v>4132.995522814158</v>
      </c>
      <c r="I52" s="92"/>
      <c r="J52" s="230"/>
      <c r="K52" s="228">
        <f>C52*VLOOKUP(B52,$O$122:$R$147,4,FALSE)</f>
        <v>848.24928560000001</v>
      </c>
      <c r="L52" s="931"/>
      <c r="M52" s="932"/>
      <c r="N52" s="932"/>
      <c r="O52" s="147" t="s">
        <v>206</v>
      </c>
      <c r="P52" s="147">
        <f>N50/($N$3+$N$15+$N$34+$N$50+$N$61+$N$73+$N$85)*'Future Improve'!$D$8</f>
        <v>31343.4454565591</v>
      </c>
      <c r="Q52" s="967"/>
    </row>
    <row r="53" spans="1:17" x14ac:dyDescent="0.2">
      <c r="A53" s="968"/>
      <c r="B53" s="87" t="s">
        <v>135</v>
      </c>
      <c r="C53" s="88">
        <f>0.85*21.4997</f>
        <v>18.274744999999999</v>
      </c>
      <c r="D53" s="89">
        <f t="shared" si="15"/>
        <v>0.3</v>
      </c>
      <c r="E53" s="90">
        <f t="shared" si="7"/>
        <v>5.4824234999999994</v>
      </c>
      <c r="F53" s="91">
        <f t="shared" si="17"/>
        <v>3.889420014860806E-2</v>
      </c>
      <c r="G53" s="92">
        <f t="shared" si="16"/>
        <v>32369.759685244466</v>
      </c>
      <c r="H53" s="92">
        <f t="shared" si="9"/>
        <v>1771.283795491782</v>
      </c>
      <c r="I53" s="95">
        <f>H53/(VLOOKUP(B53,$O$122:$Q$147,3,FALSE))</f>
        <v>354.25675909835638</v>
      </c>
      <c r="J53" s="228">
        <f>C53*VLOOKUP(B53,$O$122:$R$147,3,FALSE)</f>
        <v>91.373724999999993</v>
      </c>
      <c r="K53" s="228">
        <f>J53*VLOOKUP(B53,$O$122:$R$147,4,FALSE)</f>
        <v>91.373724999999993</v>
      </c>
      <c r="L53" s="931"/>
      <c r="M53" s="932"/>
      <c r="N53" s="932"/>
      <c r="O53" s="147" t="s">
        <v>207</v>
      </c>
      <c r="P53" s="147">
        <f>N50/($N$15+$N$34+$N$50+$N$61+$N$73+$N$85)*'Future Improve'!$D$9</f>
        <v>28229.1050712416</v>
      </c>
      <c r="Q53" s="967"/>
    </row>
    <row r="54" spans="1:17" x14ac:dyDescent="0.2">
      <c r="A54" s="968"/>
      <c r="B54" s="87" t="s">
        <v>148</v>
      </c>
      <c r="C54" s="88">
        <f>0.85*139.3999</f>
        <v>118.489915</v>
      </c>
      <c r="D54" s="89">
        <f t="shared" si="15"/>
        <v>0.7</v>
      </c>
      <c r="E54" s="90">
        <f t="shared" si="7"/>
        <v>82.942940499999992</v>
      </c>
      <c r="F54" s="91">
        <f t="shared" si="17"/>
        <v>0.58842578081045538</v>
      </c>
      <c r="G54" s="92">
        <f t="shared" si="16"/>
        <v>489718.28819363011</v>
      </c>
      <c r="H54" s="93">
        <f t="shared" si="9"/>
        <v>4132.995522814158</v>
      </c>
      <c r="I54" s="92"/>
      <c r="J54" s="230"/>
      <c r="K54" s="228">
        <f>C54*VLOOKUP(B54,$O$122:$R$147,4,FALSE)</f>
        <v>1626.86653295</v>
      </c>
      <c r="L54" s="931"/>
      <c r="M54" s="932"/>
      <c r="N54" s="932"/>
      <c r="O54" s="147" t="s">
        <v>209</v>
      </c>
      <c r="P54" s="147">
        <f>N50/($N$50+$N$61+$N$73+$N$85)*'Future Improve'!$D$10</f>
        <v>32604.93580225297</v>
      </c>
      <c r="Q54" s="967"/>
    </row>
    <row r="55" spans="1:17" x14ac:dyDescent="0.2">
      <c r="A55" s="968"/>
      <c r="B55" s="87" t="s">
        <v>137</v>
      </c>
      <c r="C55" s="88">
        <f>0.85*16.441</f>
        <v>13.974849999999998</v>
      </c>
      <c r="D55" s="89">
        <f t="shared" si="15"/>
        <v>0.5</v>
      </c>
      <c r="E55" s="90">
        <f t="shared" si="7"/>
        <v>6.9874249999999991</v>
      </c>
      <c r="F55" s="91">
        <f t="shared" si="17"/>
        <v>4.9571199027836445E-2</v>
      </c>
      <c r="G55" s="92">
        <f t="shared" si="16"/>
        <v>41255.708915713883</v>
      </c>
      <c r="H55" s="92">
        <f t="shared" si="9"/>
        <v>2952.1396591529706</v>
      </c>
      <c r="I55" s="95">
        <f>H55/(VLOOKUP(B55,$O$122:$Q$147,3,FALSE))</f>
        <v>295.21396591529708</v>
      </c>
      <c r="J55" s="228">
        <f>C55*VLOOKUP(B55,$O$122:$R$147,3,FALSE)</f>
        <v>139.74849999999998</v>
      </c>
      <c r="K55" s="228">
        <f>J55*VLOOKUP(B55,$O$122:$R$147,4,FALSE)</f>
        <v>129.966105</v>
      </c>
      <c r="L55" s="931"/>
      <c r="M55" s="932"/>
      <c r="N55" s="932"/>
      <c r="O55" s="147" t="s">
        <v>219</v>
      </c>
      <c r="P55" s="147">
        <f>'Levee &amp; Monitor'!E21</f>
        <v>80000</v>
      </c>
      <c r="Q55" s="967"/>
    </row>
    <row r="56" spans="1:17" x14ac:dyDescent="0.2">
      <c r="A56" s="968"/>
      <c r="B56" s="87" t="s">
        <v>145</v>
      </c>
      <c r="C56" s="88">
        <f>0.85*1.2778</f>
        <v>1.08613</v>
      </c>
      <c r="D56" s="89">
        <f t="shared" si="15"/>
        <v>0.9</v>
      </c>
      <c r="E56" s="90">
        <f t="shared" si="7"/>
        <v>0.97751700000000008</v>
      </c>
      <c r="F56" s="91">
        <f t="shared" si="17"/>
        <v>6.9348422001085678E-3</v>
      </c>
      <c r="G56" s="92">
        <f t="shared" si="16"/>
        <v>5771.5334063924684</v>
      </c>
      <c r="H56" s="93">
        <f t="shared" si="9"/>
        <v>5313.8513864753468</v>
      </c>
      <c r="I56" s="92"/>
      <c r="J56" s="230"/>
      <c r="K56" s="228">
        <f>C56*VLOOKUP(B56,$O$122:$R$147,4,FALSE)</f>
        <v>19.170194500000001</v>
      </c>
      <c r="L56" s="931"/>
      <c r="M56" s="932"/>
      <c r="N56" s="932"/>
      <c r="O56" s="165" t="s">
        <v>220</v>
      </c>
      <c r="P56" s="165">
        <f>0.19*Q51</f>
        <v>32713.722402710198</v>
      </c>
      <c r="Q56" s="547">
        <f>Q51/SUM($Q$51,$Q$62,$Q$74)</f>
        <v>0.12300132338517666</v>
      </c>
    </row>
    <row r="57" spans="1:17" x14ac:dyDescent="0.2">
      <c r="A57" s="96"/>
      <c r="B57" s="97"/>
      <c r="C57" s="97"/>
      <c r="F57" s="158">
        <f>SUM(F50:F56)</f>
        <v>0.99999999999999978</v>
      </c>
      <c r="G57" s="159">
        <f>SUM(G50:G56)</f>
        <v>832251.58408104978</v>
      </c>
      <c r="K57" s="235">
        <f>SUM(K50:K56)</f>
        <v>2741.5231585500001</v>
      </c>
      <c r="O57" s="165" t="s">
        <v>221</v>
      </c>
      <c r="P57" s="165">
        <f>0.02*Q51*0</f>
        <v>0</v>
      </c>
      <c r="Q57" s="548" t="s">
        <v>344</v>
      </c>
    </row>
    <row r="58" spans="1:17" x14ac:dyDescent="0.2">
      <c r="A58" s="96"/>
      <c r="B58" s="97"/>
      <c r="C58" s="97"/>
      <c r="O58" s="165" t="s">
        <v>222</v>
      </c>
      <c r="P58" s="165">
        <v>500000</v>
      </c>
      <c r="Q58" s="549" t="s">
        <v>345</v>
      </c>
    </row>
    <row r="59" spans="1:17" x14ac:dyDescent="0.2">
      <c r="A59" s="96"/>
      <c r="B59" s="97"/>
      <c r="C59" s="97"/>
      <c r="O59" s="526" t="s">
        <v>232</v>
      </c>
      <c r="P59" s="526">
        <f>0.518*1.2*(Q51+P56)</f>
        <v>127360.37534828603</v>
      </c>
    </row>
    <row r="60" spans="1:17" x14ac:dyDescent="0.2">
      <c r="A60" s="96"/>
      <c r="B60" s="97"/>
      <c r="C60" s="97"/>
    </row>
    <row r="61" spans="1:17" x14ac:dyDescent="0.2">
      <c r="A61" s="936" t="s">
        <v>161</v>
      </c>
      <c r="B61" s="87" t="s">
        <v>144</v>
      </c>
      <c r="C61" s="88">
        <f>0.85*1</f>
        <v>0.85</v>
      </c>
      <c r="D61" s="89">
        <f t="shared" ref="D61:D70" si="18">VLOOKUP(B61,$O$122:$P$147,2,FALSE)</f>
        <v>0.9</v>
      </c>
      <c r="E61" s="90">
        <f t="shared" si="7"/>
        <v>0.76500000000000001</v>
      </c>
      <c r="F61" s="91">
        <f t="shared" ref="F61:F70" si="19">E61/($L$61*$M$61)</f>
        <v>5.3891476577955909E-3</v>
      </c>
      <c r="G61" s="92">
        <f t="shared" ref="G61:G70" si="20">$O$61*F61</f>
        <v>11771.512372389552</v>
      </c>
      <c r="H61" s="93">
        <f>G61/C61</f>
        <v>13848.83808516418</v>
      </c>
      <c r="I61" s="92"/>
      <c r="J61" s="230"/>
      <c r="K61" s="228">
        <f>C61*VLOOKUP(B61,$O$122:$R$147,4,FALSE)</f>
        <v>15.002499999999998</v>
      </c>
      <c r="L61" s="931">
        <f>SUM(C61:C70)</f>
        <v>298.53818999999999</v>
      </c>
      <c r="M61" s="932">
        <f>SUM(E61:E70)/L61</f>
        <v>0.47549007549084421</v>
      </c>
      <c r="N61" s="932">
        <f>L61*M61</f>
        <v>141.95194649999999</v>
      </c>
      <c r="O61" s="933">
        <f>SUM(P62:P71)</f>
        <v>2184299.4699470978</v>
      </c>
      <c r="P61" s="933"/>
    </row>
    <row r="62" spans="1:17" x14ac:dyDescent="0.2">
      <c r="A62" s="936"/>
      <c r="B62" s="87" t="s">
        <v>142</v>
      </c>
      <c r="C62" s="88">
        <f>0.85*33.6992</f>
        <v>28.644319999999997</v>
      </c>
      <c r="D62" s="89">
        <f t="shared" si="18"/>
        <v>0.9</v>
      </c>
      <c r="E62" s="90">
        <f t="shared" si="7"/>
        <v>25.779887999999996</v>
      </c>
      <c r="F62" s="91">
        <f t="shared" si="19"/>
        <v>0.18160996474958516</v>
      </c>
      <c r="G62" s="92">
        <f t="shared" si="20"/>
        <v>396690.54973962996</v>
      </c>
      <c r="H62" s="93">
        <f t="shared" si="9"/>
        <v>13848.83808516418</v>
      </c>
      <c r="I62" s="92"/>
      <c r="J62" s="230"/>
      <c r="K62" s="228">
        <f>C62*VLOOKUP(B62,$O$122:$R$147,4,FALSE)</f>
        <v>505.57224799999989</v>
      </c>
      <c r="L62" s="931"/>
      <c r="M62" s="932"/>
      <c r="N62" s="932"/>
      <c r="O62" s="147" t="s">
        <v>202</v>
      </c>
      <c r="P62" s="147">
        <v>0</v>
      </c>
      <c r="Q62" s="967">
        <f>SUM(P62:P67)</f>
        <v>872827.88963856502</v>
      </c>
    </row>
    <row r="63" spans="1:17" x14ac:dyDescent="0.2">
      <c r="A63" s="936"/>
      <c r="B63" s="87" t="s">
        <v>143</v>
      </c>
      <c r="C63" s="88">
        <f>0.85*17.532</f>
        <v>14.902199999999999</v>
      </c>
      <c r="D63" s="89">
        <f t="shared" si="18"/>
        <v>0.9</v>
      </c>
      <c r="E63" s="90">
        <f t="shared" si="7"/>
        <v>13.41198</v>
      </c>
      <c r="F63" s="91">
        <f t="shared" si="19"/>
        <v>9.4482536736472306E-2</v>
      </c>
      <c r="G63" s="92">
        <f t="shared" si="20"/>
        <v>206378.15491273365</v>
      </c>
      <c r="H63" s="93">
        <f t="shared" si="9"/>
        <v>13848.838085164181</v>
      </c>
      <c r="I63" s="92"/>
      <c r="J63" s="230"/>
      <c r="K63" s="228">
        <f>C63*VLOOKUP(B63,$O$122:$R$147,4,FALSE)</f>
        <v>263.02382999999998</v>
      </c>
      <c r="L63" s="931"/>
      <c r="M63" s="932"/>
      <c r="N63" s="932"/>
      <c r="O63" s="147" t="s">
        <v>206</v>
      </c>
      <c r="P63" s="147">
        <f>N61/($N$3+$N$15+$N$34+$N$50+$N$61+$N$73+$N$85)*'Future Improve'!$D$8</f>
        <v>31564.604455754394</v>
      </c>
      <c r="Q63" s="967"/>
    </row>
    <row r="64" spans="1:17" x14ac:dyDescent="0.2">
      <c r="A64" s="936"/>
      <c r="B64" s="87" t="s">
        <v>139</v>
      </c>
      <c r="C64" s="88">
        <f>0.85*20.7362</f>
        <v>17.625769999999999</v>
      </c>
      <c r="D64" s="89">
        <f t="shared" si="18"/>
        <v>0.65</v>
      </c>
      <c r="E64" s="90">
        <f t="shared" si="7"/>
        <v>11.4567505</v>
      </c>
      <c r="F64" s="91">
        <f t="shared" si="19"/>
        <v>8.0708653755586238E-2</v>
      </c>
      <c r="G64" s="92">
        <f t="shared" si="20"/>
        <v>176291.86961847087</v>
      </c>
      <c r="H64" s="92">
        <f t="shared" si="9"/>
        <v>10001.938617063021</v>
      </c>
      <c r="I64" s="95">
        <f>H64/(VLOOKUP(B64,$O$122:$Q$147,3,FALSE))</f>
        <v>588.34933041547174</v>
      </c>
      <c r="J64" s="228">
        <f>C64*VLOOKUP(B64,$O$122:$R$147,3,FALSE)</f>
        <v>299.63808999999998</v>
      </c>
      <c r="K64" s="228">
        <f>J64*VLOOKUP(B64,$O$122:$R$147,4,FALSE)</f>
        <v>191.76837759999998</v>
      </c>
      <c r="L64" s="931"/>
      <c r="M64" s="932"/>
      <c r="N64" s="932"/>
      <c r="O64" s="147" t="s">
        <v>207</v>
      </c>
      <c r="P64" s="147">
        <f>N61/($N$15+$N$34+$N$50+$N$61+$N$73+$N$85)*'Future Improve'!$D$9</f>
        <v>28428.289319648091</v>
      </c>
      <c r="Q64" s="967"/>
    </row>
    <row r="65" spans="1:17" x14ac:dyDescent="0.2">
      <c r="A65" s="936"/>
      <c r="B65" s="87" t="s">
        <v>135</v>
      </c>
      <c r="C65" s="88">
        <f>0.85*184.0932</f>
        <v>156.47922</v>
      </c>
      <c r="D65" s="89">
        <f t="shared" si="18"/>
        <v>0.3</v>
      </c>
      <c r="E65" s="90">
        <f t="shared" si="7"/>
        <v>46.943765999999997</v>
      </c>
      <c r="F65" s="91">
        <f t="shared" si="19"/>
        <v>0.33070181253203174</v>
      </c>
      <c r="G65" s="92">
        <f t="shared" si="20"/>
        <v>722351.7938242614</v>
      </c>
      <c r="H65" s="92">
        <f t="shared" si="9"/>
        <v>4616.2793617213929</v>
      </c>
      <c r="I65" s="95">
        <f>H65/(VLOOKUP(B65,$O$122:$Q$147,3,FALSE))</f>
        <v>923.2558723442786</v>
      </c>
      <c r="J65" s="228">
        <f>C65*VLOOKUP(B65,$O$122:$R$147,3,FALSE)</f>
        <v>782.39609999999993</v>
      </c>
      <c r="K65" s="228">
        <f>J65*VLOOKUP(B65,$O$122:$R$147,4,FALSE)</f>
        <v>782.39609999999993</v>
      </c>
      <c r="L65" s="931"/>
      <c r="M65" s="932"/>
      <c r="N65" s="932"/>
      <c r="O65" s="147" t="s">
        <v>209</v>
      </c>
      <c r="P65" s="147">
        <f>N61/($N$50+$N$61+$N$73+$N$85)*'Future Improve'!$D$10</f>
        <v>32834.995863162578</v>
      </c>
      <c r="Q65" s="967"/>
    </row>
    <row r="66" spans="1:17" x14ac:dyDescent="0.2">
      <c r="A66" s="936"/>
      <c r="B66" s="87" t="s">
        <v>148</v>
      </c>
      <c r="C66" s="88">
        <f>0.85*4.5486</f>
        <v>3.8663100000000004</v>
      </c>
      <c r="D66" s="89">
        <f t="shared" si="18"/>
        <v>0.7</v>
      </c>
      <c r="E66" s="90">
        <f t="shared" si="7"/>
        <v>2.7064170000000001</v>
      </c>
      <c r="F66" s="91">
        <f t="shared" si="19"/>
        <v>1.9065726583749242E-2</v>
      </c>
      <c r="G66" s="92">
        <f t="shared" si="20"/>
        <v>41645.256471039764</v>
      </c>
      <c r="H66" s="93">
        <f t="shared" si="9"/>
        <v>10771.318510683252</v>
      </c>
      <c r="I66" s="92"/>
      <c r="J66" s="230"/>
      <c r="K66" s="228">
        <f>C66*VLOOKUP(B66,$O$122:$R$147,4,FALSE)</f>
        <v>53.084436300000007</v>
      </c>
      <c r="L66" s="931"/>
      <c r="M66" s="932"/>
      <c r="N66" s="932"/>
      <c r="O66" s="248" t="s">
        <v>212</v>
      </c>
      <c r="P66" s="248">
        <f>'Future Improve'!D14</f>
        <v>700000</v>
      </c>
      <c r="Q66" s="967"/>
    </row>
    <row r="67" spans="1:17" x14ac:dyDescent="0.2">
      <c r="A67" s="936"/>
      <c r="B67" s="87" t="s">
        <v>137</v>
      </c>
      <c r="C67" s="88">
        <f>0.85*51.2758</f>
        <v>43.584429999999998</v>
      </c>
      <c r="D67" s="89">
        <f t="shared" si="18"/>
        <v>0.5</v>
      </c>
      <c r="E67" s="90">
        <f t="shared" si="7"/>
        <v>21.792214999999999</v>
      </c>
      <c r="F67" s="91">
        <f t="shared" si="19"/>
        <v>0.15351825415088619</v>
      </c>
      <c r="G67" s="92">
        <f t="shared" si="20"/>
        <v>335329.84116898454</v>
      </c>
      <c r="H67" s="92">
        <f t="shared" si="9"/>
        <v>7693.7989362023218</v>
      </c>
      <c r="I67" s="95">
        <f>H67/(VLOOKUP(B67,$O$122:$Q$147,3,FALSE))</f>
        <v>769.37989362023222</v>
      </c>
      <c r="J67" s="228">
        <f>C67*VLOOKUP(B67,$O$122:$R$147,3,FALSE)</f>
        <v>435.84429999999998</v>
      </c>
      <c r="K67" s="228">
        <f>J67*VLOOKUP(B67,$O$122:$R$147,4,FALSE)</f>
        <v>405.33519899999999</v>
      </c>
      <c r="L67" s="931"/>
      <c r="M67" s="932"/>
      <c r="N67" s="932"/>
      <c r="O67" s="147" t="s">
        <v>219</v>
      </c>
      <c r="P67" s="147">
        <f>'Levee &amp; Monitor'!E22</f>
        <v>80000</v>
      </c>
      <c r="Q67" s="967"/>
    </row>
    <row r="68" spans="1:17" x14ac:dyDescent="0.2">
      <c r="A68" s="936"/>
      <c r="B68" s="87" t="s">
        <v>145</v>
      </c>
      <c r="C68" s="88">
        <f>0.85*23.2902</f>
        <v>19.796669999999999</v>
      </c>
      <c r="D68" s="89">
        <f t="shared" si="18"/>
        <v>0.9</v>
      </c>
      <c r="E68" s="90">
        <f t="shared" si="7"/>
        <v>17.817003</v>
      </c>
      <c r="F68" s="91">
        <f t="shared" si="19"/>
        <v>0.12551432677959087</v>
      </c>
      <c r="G68" s="92">
        <f t="shared" si="20"/>
        <v>274160.87745542719</v>
      </c>
      <c r="H68" s="93">
        <f t="shared" si="9"/>
        <v>13848.838085164181</v>
      </c>
      <c r="I68" s="92"/>
      <c r="J68" s="230"/>
      <c r="K68" s="228">
        <f>C68*VLOOKUP(B68,$O$122:$R$147,4,FALSE)</f>
        <v>349.41122549999994</v>
      </c>
      <c r="L68" s="931"/>
      <c r="M68" s="932"/>
      <c r="N68" s="932"/>
      <c r="O68" s="165" t="s">
        <v>220</v>
      </c>
      <c r="P68" s="165">
        <f>0.19*Q62</f>
        <v>165837.29903132736</v>
      </c>
      <c r="Q68" s="547">
        <f>Q62/SUM($Q$51,$Q$62,$Q$74)</f>
        <v>0.62353672249131242</v>
      </c>
    </row>
    <row r="69" spans="1:17" x14ac:dyDescent="0.2">
      <c r="A69" s="936"/>
      <c r="B69" s="87" t="s">
        <v>134</v>
      </c>
      <c r="C69" s="88">
        <f>0.85*14.2135</f>
        <v>12.081474999999999</v>
      </c>
      <c r="D69" s="89">
        <f t="shared" si="18"/>
        <v>0.1</v>
      </c>
      <c r="E69" s="90">
        <f t="shared" si="7"/>
        <v>1.2081474999999999</v>
      </c>
      <c r="F69" s="91">
        <f t="shared" si="19"/>
        <v>8.5109611371197366E-3</v>
      </c>
      <c r="G69" s="92">
        <f t="shared" si="20"/>
        <v>18590.48790055099</v>
      </c>
      <c r="H69" s="93">
        <f t="shared" si="9"/>
        <v>1538.7597872404644</v>
      </c>
      <c r="I69" s="92"/>
      <c r="J69" s="230"/>
      <c r="K69" s="228">
        <f>C69*VLOOKUP(B69,$O$122:$R$147,4,FALSE)</f>
        <v>0</v>
      </c>
      <c r="L69" s="931"/>
      <c r="M69" s="932"/>
      <c r="N69" s="932"/>
      <c r="O69" s="165" t="s">
        <v>221</v>
      </c>
      <c r="P69" s="165">
        <f>0.02*Q62*0</f>
        <v>0</v>
      </c>
      <c r="Q69" s="548" t="s">
        <v>344</v>
      </c>
    </row>
    <row r="70" spans="1:17" x14ac:dyDescent="0.2">
      <c r="A70" s="936"/>
      <c r="B70" s="87" t="s">
        <v>136</v>
      </c>
      <c r="C70" s="88">
        <f>0.85*0.8327</f>
        <v>0.70779499999999995</v>
      </c>
      <c r="D70" s="89">
        <f t="shared" si="18"/>
        <v>0.1</v>
      </c>
      <c r="E70" s="90">
        <f t="shared" si="7"/>
        <v>7.0779499999999995E-2</v>
      </c>
      <c r="F70" s="91">
        <f t="shared" si="19"/>
        <v>4.9861591718293203E-4</v>
      </c>
      <c r="G70" s="92">
        <f t="shared" si="20"/>
        <v>1089.1264836098644</v>
      </c>
      <c r="H70" s="93">
        <f t="shared" si="9"/>
        <v>1538.7597872404644</v>
      </c>
      <c r="I70" s="92"/>
      <c r="J70" s="230"/>
      <c r="K70" s="228">
        <f>C70*VLOOKUP(B70,$O$122:$R$147,4,FALSE)</f>
        <v>0.70779499999999995</v>
      </c>
      <c r="L70" s="931"/>
      <c r="M70" s="932"/>
      <c r="N70" s="932"/>
      <c r="O70" s="165" t="s">
        <v>222</v>
      </c>
      <c r="P70" s="165">
        <v>500000</v>
      </c>
      <c r="Q70" s="549" t="s">
        <v>345</v>
      </c>
    </row>
    <row r="71" spans="1:17" x14ac:dyDescent="0.2">
      <c r="A71" s="96"/>
      <c r="B71" s="97"/>
      <c r="C71" s="97"/>
      <c r="F71" s="158">
        <f>SUM(F61:F70)</f>
        <v>0.99999999999999989</v>
      </c>
      <c r="G71" s="159">
        <f>SUM(G61:G70)</f>
        <v>2184299.4699470978</v>
      </c>
      <c r="K71" s="235">
        <f>SUM(K61:K70)</f>
        <v>2566.3017113999999</v>
      </c>
      <c r="O71" s="526" t="s">
        <v>232</v>
      </c>
      <c r="P71" s="526">
        <f>0.518*1.2*(Q62+P68)</f>
        <v>645634.2812772051</v>
      </c>
    </row>
    <row r="72" spans="1:17" x14ac:dyDescent="0.2">
      <c r="A72" s="96"/>
      <c r="B72" s="97"/>
      <c r="C72" s="97"/>
    </row>
    <row r="73" spans="1:17" x14ac:dyDescent="0.2">
      <c r="A73" s="930" t="s">
        <v>162</v>
      </c>
      <c r="B73" s="87" t="s">
        <v>142</v>
      </c>
      <c r="C73" s="88">
        <f>0.85*53.3856</f>
        <v>45.377759999999995</v>
      </c>
      <c r="D73" s="89">
        <f t="shared" ref="D73:D79" si="21">VLOOKUP(B73,$O$122:$P$147,2,FALSE)</f>
        <v>0.9</v>
      </c>
      <c r="E73" s="90">
        <f t="shared" si="7"/>
        <v>40.839983999999994</v>
      </c>
      <c r="F73" s="91">
        <f t="shared" ref="F73:F78" si="22">E73/($L$73*$M$73)</f>
        <v>0.16744794104409891</v>
      </c>
      <c r="G73" s="92">
        <f t="shared" ref="G73:G79" si="23">$O$73*F73</f>
        <v>198367.58413606751</v>
      </c>
      <c r="H73" s="93">
        <f t="shared" si="9"/>
        <v>4371.4714903527083</v>
      </c>
      <c r="I73" s="92"/>
      <c r="J73" s="230"/>
      <c r="K73" s="228">
        <f>C73*VLOOKUP(B73,$O$122:$R$147,4,FALSE)</f>
        <v>800.91746399999988</v>
      </c>
      <c r="L73" s="931">
        <f>SUM(C73:C79)</f>
        <v>366.58715000000001</v>
      </c>
      <c r="M73" s="932">
        <f>SUM(E73:E79)/L73</f>
        <v>0.6653168366648966</v>
      </c>
      <c r="N73" s="932">
        <f>L73*M73</f>
        <v>243.89660299999997</v>
      </c>
      <c r="O73" s="933">
        <f>SUM(P74:P83)</f>
        <v>1184652.2740093032</v>
      </c>
      <c r="P73" s="933"/>
    </row>
    <row r="74" spans="1:17" x14ac:dyDescent="0.2">
      <c r="A74" s="930"/>
      <c r="B74" s="87" t="s">
        <v>143</v>
      </c>
      <c r="C74" s="88">
        <f>0.85*38.6431</f>
        <v>32.846634999999999</v>
      </c>
      <c r="D74" s="89">
        <f t="shared" si="21"/>
        <v>0.9</v>
      </c>
      <c r="E74" s="90">
        <f t="shared" si="7"/>
        <v>29.561971499999999</v>
      </c>
      <c r="F74" s="91">
        <f t="shared" si="22"/>
        <v>0.12120698335433562</v>
      </c>
      <c r="G74" s="92">
        <f t="shared" si="23"/>
        <v>143588.12845652146</v>
      </c>
      <c r="H74" s="93">
        <f t="shared" si="9"/>
        <v>4371.4714903527092</v>
      </c>
      <c r="I74" s="92"/>
      <c r="J74" s="230"/>
      <c r="K74" s="228">
        <f>C74*VLOOKUP(B74,$O$122:$R$147,4,FALSE)</f>
        <v>579.74310774999992</v>
      </c>
      <c r="L74" s="931"/>
      <c r="M74" s="932"/>
      <c r="N74" s="932"/>
      <c r="O74" s="147" t="s">
        <v>202</v>
      </c>
      <c r="P74" s="147">
        <v>0</v>
      </c>
      <c r="Q74" s="967">
        <f>SUM(P74:P79)</f>
        <v>354796.52527501795</v>
      </c>
    </row>
    <row r="75" spans="1:17" x14ac:dyDescent="0.2">
      <c r="A75" s="930"/>
      <c r="B75" s="87" t="s">
        <v>146</v>
      </c>
      <c r="C75" s="88">
        <f>0.85*26.0655</f>
        <v>22.155674999999999</v>
      </c>
      <c r="D75" s="89">
        <f t="shared" si="21"/>
        <v>0.7</v>
      </c>
      <c r="E75" s="90">
        <f t="shared" si="7"/>
        <v>15.508972499999999</v>
      </c>
      <c r="F75" s="91">
        <f t="shared" si="22"/>
        <v>6.3588308771975799E-2</v>
      </c>
      <c r="G75" s="92">
        <f t="shared" si="23"/>
        <v>75330.034587126851</v>
      </c>
      <c r="H75" s="93">
        <f t="shared" si="9"/>
        <v>3400.03338138544</v>
      </c>
      <c r="I75" s="92"/>
      <c r="J75" s="230"/>
      <c r="K75" s="228">
        <f>C75*VLOOKUP(B75,$O$122:$R$147,4,FALSE)</f>
        <v>304.19741775</v>
      </c>
      <c r="L75" s="931"/>
      <c r="M75" s="932"/>
      <c r="N75" s="932"/>
      <c r="O75" s="147" t="s">
        <v>206</v>
      </c>
      <c r="P75" s="147">
        <f>N73/($N$3+$N$15+$N$34+$N$50+$N$61+$N$73+$N$85)*'Future Improve'!$D$8</f>
        <v>54233.140098555537</v>
      </c>
      <c r="Q75" s="967"/>
    </row>
    <row r="76" spans="1:17" x14ac:dyDescent="0.2">
      <c r="A76" s="930"/>
      <c r="B76" s="87" t="s">
        <v>135</v>
      </c>
      <c r="C76" s="88">
        <f>0.85*11.4371</f>
        <v>9.7215349999999994</v>
      </c>
      <c r="D76" s="89">
        <f t="shared" si="21"/>
        <v>0.3</v>
      </c>
      <c r="E76" s="90">
        <f t="shared" si="7"/>
        <v>2.9164604999999999</v>
      </c>
      <c r="F76" s="91">
        <f t="shared" si="22"/>
        <v>1.1957774172033057E-2</v>
      </c>
      <c r="G76" s="92">
        <f t="shared" si="23"/>
        <v>14165.804364988673</v>
      </c>
      <c r="H76" s="92">
        <f t="shared" si="9"/>
        <v>1457.157163450903</v>
      </c>
      <c r="I76" s="95">
        <f>H76/(VLOOKUP(B76,$O$122:$Q$147,3,FALSE))</f>
        <v>291.4314326901806</v>
      </c>
      <c r="J76" s="228">
        <f>C76*VLOOKUP(B76,$O$122:$R$147,3,FALSE)</f>
        <v>48.607675</v>
      </c>
      <c r="K76" s="228">
        <f>J76*VLOOKUP(B76,$O$122:$R$147,4,FALSE)</f>
        <v>48.607675</v>
      </c>
      <c r="L76" s="931"/>
      <c r="M76" s="932"/>
      <c r="N76" s="932"/>
      <c r="O76" s="147" t="s">
        <v>207</v>
      </c>
      <c r="P76" s="147">
        <f>N73/($N$15+$N$34+$N$50+$N$61+$N$73+$N$85)*'Future Improve'!$D$9</f>
        <v>48844.43901699756</v>
      </c>
      <c r="Q76" s="967"/>
    </row>
    <row r="77" spans="1:17" x14ac:dyDescent="0.2">
      <c r="A77" s="930"/>
      <c r="B77" s="87" t="s">
        <v>148</v>
      </c>
      <c r="C77" s="88">
        <f>0.85*239.2996</f>
        <v>203.40466000000001</v>
      </c>
      <c r="D77" s="89">
        <f t="shared" si="21"/>
        <v>0.7</v>
      </c>
      <c r="E77" s="90">
        <f t="shared" ref="E77:E118" si="24">C77*D77</f>
        <v>142.383262</v>
      </c>
      <c r="F77" s="91">
        <f t="shared" si="22"/>
        <v>0.58378534284054795</v>
      </c>
      <c r="G77" s="92">
        <f t="shared" si="23"/>
        <v>691582.63392935577</v>
      </c>
      <c r="H77" s="93">
        <f t="shared" si="9"/>
        <v>3400.03338138544</v>
      </c>
      <c r="I77" s="92"/>
      <c r="J77" s="230"/>
      <c r="K77" s="228">
        <f>C77*VLOOKUP(B77,$O$122:$R$147,4,FALSE)</f>
        <v>2792.7459818000002</v>
      </c>
      <c r="L77" s="931"/>
      <c r="M77" s="932"/>
      <c r="N77" s="932"/>
      <c r="O77" s="147" t="s">
        <v>209</v>
      </c>
      <c r="P77" s="147">
        <f>N73/($N$50+$N$61+$N$73+$N$85)*'Future Improve'!$D$10</f>
        <v>56415.879795944937</v>
      </c>
      <c r="Q77" s="967"/>
    </row>
    <row r="78" spans="1:17" x14ac:dyDescent="0.2">
      <c r="A78" s="930"/>
      <c r="B78" s="87" t="s">
        <v>145</v>
      </c>
      <c r="C78" s="88">
        <f>0.85*10.8498</f>
        <v>9.2223299999999995</v>
      </c>
      <c r="D78" s="89">
        <f t="shared" si="21"/>
        <v>0.9</v>
      </c>
      <c r="E78" s="90">
        <f t="shared" si="24"/>
        <v>8.3000969999999992</v>
      </c>
      <c r="F78" s="91">
        <f t="shared" si="22"/>
        <v>3.4031211988631099E-2</v>
      </c>
      <c r="G78" s="92">
        <f t="shared" si="23"/>
        <v>40315.152669624491</v>
      </c>
      <c r="H78" s="93">
        <f t="shared" si="9"/>
        <v>4371.4714903527083</v>
      </c>
      <c r="I78" s="92"/>
      <c r="J78" s="230"/>
      <c r="K78" s="228">
        <f>C78*VLOOKUP(B78,$O$122:$R$147,4,FALSE)</f>
        <v>162.77412449999997</v>
      </c>
      <c r="L78" s="931"/>
      <c r="M78" s="932"/>
      <c r="N78" s="932"/>
      <c r="O78" s="147" t="s">
        <v>210</v>
      </c>
      <c r="P78" s="147">
        <f>N73/($N$73+$N$85)*'Future Improve'!$D$11</f>
        <v>35303.066363519967</v>
      </c>
      <c r="Q78" s="967"/>
    </row>
    <row r="79" spans="1:17" x14ac:dyDescent="0.2">
      <c r="A79" s="930"/>
      <c r="B79" s="87" t="s">
        <v>136</v>
      </c>
      <c r="C79" s="88">
        <f>0.85*51.5983</f>
        <v>43.858555000000003</v>
      </c>
      <c r="D79" s="89">
        <f t="shared" si="21"/>
        <v>0.1</v>
      </c>
      <c r="E79" s="90">
        <f t="shared" si="24"/>
        <v>4.3858555000000008</v>
      </c>
      <c r="F79" s="91">
        <f>E79/($L$73*$M$73)</f>
        <v>1.7982437828377631E-2</v>
      </c>
      <c r="G79" s="92">
        <f t="shared" si="23"/>
        <v>21302.935865618478</v>
      </c>
      <c r="H79" s="93">
        <f t="shared" si="9"/>
        <v>485.71905448363441</v>
      </c>
      <c r="I79" s="92"/>
      <c r="J79" s="230"/>
      <c r="K79" s="228">
        <f>C79*VLOOKUP(B79,$O$122:$R$147,4,FALSE)</f>
        <v>43.858555000000003</v>
      </c>
      <c r="L79" s="931"/>
      <c r="M79" s="932"/>
      <c r="N79" s="932"/>
      <c r="O79" s="147" t="s">
        <v>219</v>
      </c>
      <c r="P79" s="147">
        <f>'Levee &amp; Monitor'!E23+'Levee &amp; Monitor'!E25+'Levee &amp; Monitor'!E26</f>
        <v>160000</v>
      </c>
      <c r="Q79" s="967"/>
    </row>
    <row r="80" spans="1:17" x14ac:dyDescent="0.2">
      <c r="A80" s="96"/>
      <c r="B80" s="97"/>
      <c r="C80" s="97"/>
      <c r="F80" s="163">
        <f>SUM(F73:F79)</f>
        <v>1</v>
      </c>
      <c r="G80" s="164">
        <f>SUM(G73:G79)</f>
        <v>1184652.2740093032</v>
      </c>
      <c r="K80" s="235">
        <f>SUM(K73:K79)</f>
        <v>4732.8443257999998</v>
      </c>
      <c r="O80" s="165" t="s">
        <v>220</v>
      </c>
      <c r="P80" s="165">
        <f>0.19*Q74</f>
        <v>67411.339802253409</v>
      </c>
      <c r="Q80" s="547">
        <f>Q74/SUM($Q$51,$Q$62,$Q$74)</f>
        <v>0.25346195412351091</v>
      </c>
    </row>
    <row r="81" spans="1:18" x14ac:dyDescent="0.2">
      <c r="A81" s="96"/>
      <c r="B81" s="97"/>
      <c r="C81" s="97"/>
      <c r="F81" s="161"/>
      <c r="G81" s="162"/>
      <c r="O81" s="165" t="s">
        <v>221</v>
      </c>
      <c r="P81" s="165">
        <f>0.02*Q74*0</f>
        <v>0</v>
      </c>
      <c r="Q81" s="548" t="s">
        <v>344</v>
      </c>
    </row>
    <row r="82" spans="1:18" x14ac:dyDescent="0.2">
      <c r="A82" s="96"/>
      <c r="B82" s="97"/>
      <c r="C82" s="97"/>
      <c r="F82" s="161"/>
      <c r="G82" s="162"/>
      <c r="O82" s="165" t="s">
        <v>222</v>
      </c>
      <c r="P82" s="165">
        <v>500000</v>
      </c>
      <c r="Q82" s="549" t="s">
        <v>345</v>
      </c>
    </row>
    <row r="83" spans="1:18" x14ac:dyDescent="0.2">
      <c r="A83" s="96"/>
      <c r="B83" s="97"/>
      <c r="C83" s="97"/>
      <c r="F83" s="161"/>
      <c r="G83" s="162"/>
      <c r="O83" s="526" t="s">
        <v>232</v>
      </c>
      <c r="P83" s="526">
        <f>0.518*1.2*(Q74+P80)</f>
        <v>262444.40893203189</v>
      </c>
    </row>
    <row r="84" spans="1:18" x14ac:dyDescent="0.2">
      <c r="A84" s="96"/>
      <c r="B84" s="97"/>
      <c r="C84" s="476" t="s">
        <v>305</v>
      </c>
      <c r="F84" s="161"/>
      <c r="G84" s="162"/>
    </row>
    <row r="85" spans="1:18" x14ac:dyDescent="0.2">
      <c r="A85" s="936" t="s">
        <v>163</v>
      </c>
      <c r="B85" s="279" t="s">
        <v>229</v>
      </c>
      <c r="C85" s="179">
        <f>0.5*0.85*116.4719</f>
        <v>49.500557499999999</v>
      </c>
      <c r="D85" s="89">
        <f t="shared" ref="D85:D103" si="25">VLOOKUP(B85,$O$122:$P$147,2,FALSE)</f>
        <v>0.3</v>
      </c>
      <c r="E85" s="90">
        <f t="shared" si="24"/>
        <v>14.850167249999998</v>
      </c>
      <c r="F85" s="91">
        <f t="shared" ref="F85:F103" si="26">E85/($L$85*$M$85)</f>
        <v>1.1331247138218103E-2</v>
      </c>
      <c r="G85" s="92">
        <f t="shared" ref="G85:G103" si="27">$O$85*F85</f>
        <v>161383.79340851973</v>
      </c>
      <c r="H85" s="92">
        <f t="shared" si="9"/>
        <v>3260.2419358311213</v>
      </c>
      <c r="I85" s="95">
        <f>H85/(VLOOKUP(B85,$O$122:$Q$147,3,FALSE))</f>
        <v>652.0483871662243</v>
      </c>
      <c r="J85" s="228">
        <f>C85*VLOOKUP(B85,$O$122:$R$147,3,FALSE)</f>
        <v>247.50278750000001</v>
      </c>
      <c r="K85" s="228">
        <f>J85*VLOOKUP(B85,$O$122:$R$147,4,FALSE)</f>
        <v>247.50278750000001</v>
      </c>
      <c r="L85" s="937">
        <f>SUM(C85:C103)</f>
        <v>3306.3592137499995</v>
      </c>
      <c r="M85" s="932">
        <f>SUM(E85:E103)/L85</f>
        <v>0.39637257513487262</v>
      </c>
      <c r="N85" s="932">
        <f>L85*M85</f>
        <v>1310.5501158750001</v>
      </c>
      <c r="O85" s="933">
        <f>SUM(P86:P96)</f>
        <v>14242368.155946705</v>
      </c>
      <c r="P85" s="933"/>
    </row>
    <row r="86" spans="1:18" x14ac:dyDescent="0.2">
      <c r="A86" s="936"/>
      <c r="B86" s="87" t="s">
        <v>142</v>
      </c>
      <c r="C86" s="475">
        <f>0.85*(130.7478-'Summary+Austin (Shed D)'!$O$87)</f>
        <v>39.820630000000001</v>
      </c>
      <c r="D86" s="89">
        <f t="shared" si="25"/>
        <v>0.9</v>
      </c>
      <c r="E86" s="90">
        <f t="shared" si="24"/>
        <v>35.838567000000005</v>
      </c>
      <c r="F86" s="91">
        <f t="shared" si="26"/>
        <v>2.7346201084475184E-2</v>
      </c>
      <c r="G86" s="92">
        <f t="shared" si="27"/>
        <v>389474.66351164464</v>
      </c>
      <c r="H86" s="93">
        <f t="shared" si="9"/>
        <v>9780.725807493367</v>
      </c>
      <c r="I86" s="92"/>
      <c r="J86" s="230"/>
      <c r="K86" s="228">
        <f>C86*VLOOKUP(B86,$O$122:$R$147,4,FALSE)</f>
        <v>702.83411949999993</v>
      </c>
      <c r="L86" s="937"/>
      <c r="M86" s="932"/>
      <c r="N86" s="932"/>
      <c r="O86" s="147" t="s">
        <v>202</v>
      </c>
      <c r="P86" s="147">
        <f>'South &amp; Levee'!G53-'South &amp; Levee'!F9-'South &amp; Levee'!F44</f>
        <v>4164773.6746070273</v>
      </c>
      <c r="Q86" s="934">
        <f>SUM(P86:P92)</f>
        <v>7121490.2160884282</v>
      </c>
      <c r="R86" s="145" t="s">
        <v>503</v>
      </c>
    </row>
    <row r="87" spans="1:18" x14ac:dyDescent="0.2">
      <c r="A87" s="936"/>
      <c r="B87" s="87" t="s">
        <v>143</v>
      </c>
      <c r="C87" s="475">
        <f>0.85*(264.0133-'Summary+Austin (Shed D)'!$O$88)</f>
        <v>77.106305000000006</v>
      </c>
      <c r="D87" s="89">
        <f t="shared" si="25"/>
        <v>0.9</v>
      </c>
      <c r="E87" s="90">
        <f t="shared" si="24"/>
        <v>69.395674500000013</v>
      </c>
      <c r="F87" s="91">
        <f t="shared" si="26"/>
        <v>5.295156107301352E-2</v>
      </c>
      <c r="G87" s="92">
        <f t="shared" si="27"/>
        <v>754155.62723395496</v>
      </c>
      <c r="H87" s="93">
        <f t="shared" ref="H87:H103" si="28">G87/C87</f>
        <v>9780.725807493367</v>
      </c>
      <c r="I87" s="92"/>
      <c r="J87" s="230"/>
      <c r="K87" s="228">
        <f>C87*VLOOKUP(B87,$O$122:$R$147,4,FALSE)</f>
        <v>1360.9262832500001</v>
      </c>
      <c r="L87" s="937"/>
      <c r="M87" s="932"/>
      <c r="N87" s="932"/>
      <c r="O87" s="147" t="s">
        <v>206</v>
      </c>
      <c r="P87" s="709">
        <f>N85/($N$3+$N$15+$N$34+$N$50+$N$61+$N$73+$N$85)*'Future Improve'!$D$8</f>
        <v>291415.4898681679</v>
      </c>
      <c r="Q87" s="934"/>
    </row>
    <row r="88" spans="1:18" x14ac:dyDescent="0.2">
      <c r="A88" s="936"/>
      <c r="B88" s="495" t="s">
        <v>139</v>
      </c>
      <c r="C88" s="490">
        <f>0.85*(66.1414-'Summary+Austin (Shed D)'!$O$89+'Summary+Austin (Shed D)'!$I$89)</f>
        <v>38.965190000000007</v>
      </c>
      <c r="D88" s="89">
        <f t="shared" si="25"/>
        <v>0.65</v>
      </c>
      <c r="E88" s="90">
        <f t="shared" si="24"/>
        <v>25.327373500000004</v>
      </c>
      <c r="F88" s="91">
        <f t="shared" si="26"/>
        <v>1.9325757323740318E-2</v>
      </c>
      <c r="G88" s="92">
        <f t="shared" si="27"/>
        <v>275244.55069719296</v>
      </c>
      <c r="H88" s="92">
        <f t="shared" si="28"/>
        <v>7063.8575276340989</v>
      </c>
      <c r="I88" s="95">
        <f>H88/(VLOOKUP(B88,$O$122:$Q$147,3,FALSE))</f>
        <v>415.52103103729996</v>
      </c>
      <c r="J88" s="228">
        <f>C88*VLOOKUP(B88,$O$122:$R$147,3,FALSE)</f>
        <v>662.40823000000012</v>
      </c>
      <c r="K88" s="228">
        <f>J88*VLOOKUP(B88,$O$122:$R$147,4,FALSE)</f>
        <v>423.94126720000008</v>
      </c>
      <c r="L88" s="937"/>
      <c r="M88" s="932"/>
      <c r="N88" s="932"/>
      <c r="O88" s="147" t="s">
        <v>207</v>
      </c>
      <c r="P88" s="709">
        <f>N85/($N$15+$N$34+$N$50+$N$61+$N$73+$N$85)*'Future Improve'!$D$9</f>
        <v>262459.92943811329</v>
      </c>
      <c r="Q88" s="934"/>
    </row>
    <row r="89" spans="1:18" x14ac:dyDescent="0.2">
      <c r="A89" s="936"/>
      <c r="B89" s="87" t="s">
        <v>146</v>
      </c>
      <c r="C89" s="475">
        <f>0.85*(537.7245-'Summary+Austin (Shed D)'!$O$90)</f>
        <v>247.11582500000003</v>
      </c>
      <c r="D89" s="89">
        <f t="shared" si="25"/>
        <v>0.7</v>
      </c>
      <c r="E89" s="90">
        <f t="shared" si="24"/>
        <v>172.9810775</v>
      </c>
      <c r="F89" s="91">
        <f t="shared" si="26"/>
        <v>0.1319911962195415</v>
      </c>
      <c r="G89" s="92">
        <f t="shared" si="27"/>
        <v>1879867.209902511</v>
      </c>
      <c r="H89" s="93">
        <f t="shared" si="28"/>
        <v>7607.2311836059498</v>
      </c>
      <c r="I89" s="92"/>
      <c r="J89" s="230"/>
      <c r="K89" s="228">
        <f>C89*VLOOKUP(B89,$O$122:$R$147,4,FALSE)</f>
        <v>3392.9002772500007</v>
      </c>
      <c r="L89" s="937"/>
      <c r="M89" s="932"/>
      <c r="N89" s="932"/>
      <c r="O89" s="147" t="s">
        <v>209</v>
      </c>
      <c r="P89" s="709">
        <f>N85/($N$50+$N$61+$N$73+$N$85)*'Future Improve'!$D$10</f>
        <v>303144.18853863952</v>
      </c>
      <c r="Q89" s="934"/>
      <c r="R89" s="145" t="s">
        <v>504</v>
      </c>
    </row>
    <row r="90" spans="1:18" x14ac:dyDescent="0.2">
      <c r="A90" s="936"/>
      <c r="B90" s="495" t="s">
        <v>135</v>
      </c>
      <c r="C90" s="490">
        <f>0.85*(1932.381-'Summary+Austin (Shed D)'!$O$91+'Summary+Austin (Shed D)'!$I$91)</f>
        <v>1410.6438500000002</v>
      </c>
      <c r="D90" s="89">
        <f t="shared" si="25"/>
        <v>0.3</v>
      </c>
      <c r="E90" s="90">
        <f t="shared" si="24"/>
        <v>423.19315500000005</v>
      </c>
      <c r="F90" s="91">
        <f t="shared" si="26"/>
        <v>0.32291260736522959</v>
      </c>
      <c r="G90" s="92">
        <f t="shared" si="27"/>
        <v>4599040.2362922672</v>
      </c>
      <c r="H90" s="92">
        <f t="shared" si="28"/>
        <v>3260.2419358311217</v>
      </c>
      <c r="I90" s="95">
        <f>H90/(VLOOKUP(B90,$O$122:$Q$147,3,FALSE))</f>
        <v>652.0483871662243</v>
      </c>
      <c r="J90" s="228">
        <f>C90*VLOOKUP(B90,$O$122:$R$147,3,FALSE)</f>
        <v>7053.219250000001</v>
      </c>
      <c r="K90" s="228">
        <f>J90*VLOOKUP(B90,$O$122:$R$147,4,FALSE)</f>
        <v>7053.219250000001</v>
      </c>
      <c r="L90" s="937"/>
      <c r="M90" s="932"/>
      <c r="N90" s="932"/>
      <c r="O90" s="147" t="s">
        <v>210</v>
      </c>
      <c r="P90" s="709">
        <f>N85/($N$73+$N$85)*'Future Improve'!$D$11</f>
        <v>189696.93363648004</v>
      </c>
      <c r="Q90" s="934"/>
      <c r="R90" s="289">
        <f>Q86+150000</f>
        <v>7271490.2160884282</v>
      </c>
    </row>
    <row r="91" spans="1:18" x14ac:dyDescent="0.2">
      <c r="A91" s="936"/>
      <c r="B91" s="87" t="s">
        <v>148</v>
      </c>
      <c r="C91" s="88">
        <f>0.85*3.9352</f>
        <v>3.3449200000000001</v>
      </c>
      <c r="D91" s="89">
        <f t="shared" si="25"/>
        <v>0.7</v>
      </c>
      <c r="E91" s="90">
        <f t="shared" si="24"/>
        <v>2.3414440000000001</v>
      </c>
      <c r="F91" s="91">
        <f t="shared" si="26"/>
        <v>1.7866115699335273E-3</v>
      </c>
      <c r="G91" s="92">
        <f t="shared" si="27"/>
        <v>25445.579730667218</v>
      </c>
      <c r="H91" s="93">
        <f t="shared" si="28"/>
        <v>7607.2311836059507</v>
      </c>
      <c r="I91" s="92"/>
      <c r="J91" s="230"/>
      <c r="K91" s="228">
        <f>C91*VLOOKUP(B91,$O$122:$R$147,4,FALSE)</f>
        <v>45.925751600000005</v>
      </c>
      <c r="L91" s="937"/>
      <c r="M91" s="932"/>
      <c r="N91" s="932"/>
      <c r="O91" s="147" t="s">
        <v>291</v>
      </c>
      <c r="P91" s="147">
        <f>'South &amp; Levee'!F9+'South &amp; Levee'!F44</f>
        <v>1750000</v>
      </c>
      <c r="Q91" s="934"/>
    </row>
    <row r="92" spans="1:18" x14ac:dyDescent="0.2">
      <c r="A92" s="936"/>
      <c r="B92" s="495" t="s">
        <v>137</v>
      </c>
      <c r="C92" s="490">
        <f>0.85*(96.1849-'Summary+Austin (Shed D)'!$O$93+'Summary+Austin (Shed D)'!$I$93)</f>
        <v>64.842164999999994</v>
      </c>
      <c r="D92" s="89">
        <f t="shared" si="25"/>
        <v>0.5</v>
      </c>
      <c r="E92" s="90">
        <f t="shared" si="24"/>
        <v>32.421082499999997</v>
      </c>
      <c r="F92" s="91">
        <f t="shared" si="26"/>
        <v>2.4738529345254213E-2</v>
      </c>
      <c r="G92" s="92">
        <f t="shared" si="27"/>
        <v>352335.2425718017</v>
      </c>
      <c r="H92" s="92">
        <f t="shared" si="28"/>
        <v>5433.7365597185371</v>
      </c>
      <c r="I92" s="95">
        <f>H92/(VLOOKUP(B92,$O$122:$Q$147,3,FALSE))</f>
        <v>543.37365597185374</v>
      </c>
      <c r="J92" s="228">
        <f>C92*VLOOKUP(B92,$O$122:$R$147,3,FALSE)</f>
        <v>648.42165</v>
      </c>
      <c r="K92" s="228">
        <f>J92*VLOOKUP(B92,$O$122:$R$147,4,FALSE)</f>
        <v>603.03213449999998</v>
      </c>
      <c r="L92" s="937"/>
      <c r="M92" s="932"/>
      <c r="N92" s="932"/>
      <c r="O92" s="147" t="s">
        <v>219</v>
      </c>
      <c r="P92" s="147">
        <f>'Levee &amp; Monitor'!E24</f>
        <v>160000</v>
      </c>
      <c r="Q92" s="934"/>
    </row>
    <row r="93" spans="1:18" x14ac:dyDescent="0.2">
      <c r="A93" s="936"/>
      <c r="B93" s="87" t="s">
        <v>145</v>
      </c>
      <c r="C93" s="88">
        <f>0.85*9.8404</f>
        <v>8.3643400000000003</v>
      </c>
      <c r="D93" s="89">
        <f t="shared" si="25"/>
        <v>0.9</v>
      </c>
      <c r="E93" s="90">
        <f t="shared" si="24"/>
        <v>7.5279060000000007</v>
      </c>
      <c r="F93" s="91">
        <f t="shared" si="26"/>
        <v>5.7440809846282985E-3</v>
      </c>
      <c r="G93" s="92">
        <f t="shared" si="27"/>
        <v>81809.31610064907</v>
      </c>
      <c r="H93" s="93">
        <f t="shared" si="28"/>
        <v>9780.725807493367</v>
      </c>
      <c r="I93" s="92"/>
      <c r="J93" s="230"/>
      <c r="K93" s="228">
        <f>C93*VLOOKUP(B93,$O$122:$R$147,4,FALSE)</f>
        <v>147.63060099999998</v>
      </c>
      <c r="L93" s="937"/>
      <c r="M93" s="932"/>
      <c r="N93" s="932"/>
      <c r="O93" s="165" t="s">
        <v>220</v>
      </c>
      <c r="P93" s="165">
        <f>0.19*Q86</f>
        <v>1353083.1410568014</v>
      </c>
      <c r="Q93" s="435" t="s">
        <v>292</v>
      </c>
    </row>
    <row r="94" spans="1:18" x14ac:dyDescent="0.2">
      <c r="A94" s="936"/>
      <c r="B94" s="87" t="s">
        <v>134</v>
      </c>
      <c r="C94" s="475">
        <f>0.85*(108.3499-'Summary+Austin (Shed D)'!$O$95)</f>
        <v>34.042415000000005</v>
      </c>
      <c r="D94" s="89">
        <f t="shared" si="25"/>
        <v>0.1</v>
      </c>
      <c r="E94" s="90">
        <f t="shared" si="24"/>
        <v>3.4042415000000008</v>
      </c>
      <c r="F94" s="91">
        <f t="shared" si="26"/>
        <v>2.5975668223318037E-3</v>
      </c>
      <c r="G94" s="92">
        <f t="shared" si="27"/>
        <v>36995.502993322152</v>
      </c>
      <c r="H94" s="93">
        <f t="shared" si="28"/>
        <v>1086.7473119437075</v>
      </c>
      <c r="I94" s="92"/>
      <c r="J94" s="230"/>
      <c r="K94" s="228">
        <f>C94*VLOOKUP(B94,$O$122:$R$147,4,FALSE)</f>
        <v>0</v>
      </c>
      <c r="L94" s="937"/>
      <c r="M94" s="932"/>
      <c r="N94" s="932"/>
      <c r="O94" s="165" t="s">
        <v>221</v>
      </c>
      <c r="P94" s="165">
        <f>0.02*Q86*0</f>
        <v>0</v>
      </c>
      <c r="Q94" s="436" t="s">
        <v>293</v>
      </c>
    </row>
    <row r="95" spans="1:18" x14ac:dyDescent="0.2">
      <c r="A95" s="936"/>
      <c r="B95" s="87" t="s">
        <v>136</v>
      </c>
      <c r="C95" s="475">
        <f>0.85*(33.4438-'Summary+Austin (Shed D)'!$O$96)</f>
        <v>6.1572300000000029</v>
      </c>
      <c r="D95" s="89">
        <f t="shared" si="25"/>
        <v>0.1</v>
      </c>
      <c r="E95" s="90">
        <f t="shared" si="24"/>
        <v>0.61572300000000035</v>
      </c>
      <c r="F95" s="91">
        <f t="shared" si="26"/>
        <v>4.6982026291219513E-4</v>
      </c>
      <c r="G95" s="92">
        <f t="shared" si="27"/>
        <v>6691.3531515191571</v>
      </c>
      <c r="H95" s="93">
        <f t="shared" si="28"/>
        <v>1086.7473119437075</v>
      </c>
      <c r="I95" s="92"/>
      <c r="J95" s="230"/>
      <c r="K95" s="228">
        <f>C95*VLOOKUP(B95,$O$122:$R$147,4,FALSE)</f>
        <v>6.1572300000000029</v>
      </c>
      <c r="L95" s="937"/>
      <c r="M95" s="932"/>
      <c r="N95" s="932"/>
      <c r="O95" s="165" t="s">
        <v>222</v>
      </c>
      <c r="P95" s="165">
        <v>500000</v>
      </c>
      <c r="Q95" s="437"/>
    </row>
    <row r="96" spans="1:18" x14ac:dyDescent="0.2">
      <c r="A96" s="936"/>
      <c r="B96" s="279" t="s">
        <v>147</v>
      </c>
      <c r="C96" s="179">
        <f>0.5*0.85*1130.5842</f>
        <v>480.49828500000001</v>
      </c>
      <c r="D96" s="89">
        <f t="shared" si="25"/>
        <v>0.3</v>
      </c>
      <c r="E96" s="90">
        <f t="shared" si="24"/>
        <v>144.1494855</v>
      </c>
      <c r="F96" s="91">
        <f t="shared" si="26"/>
        <v>0.10999158578819961</v>
      </c>
      <c r="G96" s="92">
        <f t="shared" si="27"/>
        <v>1566540.6588519344</v>
      </c>
      <c r="H96" s="92">
        <f t="shared" si="28"/>
        <v>3260.2419358311222</v>
      </c>
      <c r="I96" s="95">
        <f>H96/(VLOOKUP(B96,$O$122:$Q$147,3,FALSE))</f>
        <v>652.04838716622442</v>
      </c>
      <c r="J96" s="228">
        <f>C96*VLOOKUP(B96,$O$122:$R$147,3,FALSE)</f>
        <v>2402.4914250000002</v>
      </c>
      <c r="K96" s="228">
        <f>J96*VLOOKUP(B96,$O$122:$R$147,4,FALSE)</f>
        <v>2402.4914250000002</v>
      </c>
      <c r="L96" s="937"/>
      <c r="M96" s="932"/>
      <c r="N96" s="932"/>
      <c r="O96" s="526" t="s">
        <v>232</v>
      </c>
      <c r="P96" s="526">
        <f>0.518*1.2*(Q86+P93)</f>
        <v>5267794.7988014752</v>
      </c>
    </row>
    <row r="97" spans="1:18" x14ac:dyDescent="0.2">
      <c r="A97" s="936"/>
      <c r="B97" s="279" t="s">
        <v>230</v>
      </c>
      <c r="C97" s="179">
        <f>0.5*0.85*459.1943</f>
        <v>195.1575775</v>
      </c>
      <c r="D97" s="89">
        <f t="shared" si="25"/>
        <v>0.3</v>
      </c>
      <c r="E97" s="90">
        <f t="shared" si="24"/>
        <v>58.547273249999996</v>
      </c>
      <c r="F97" s="91">
        <f t="shared" si="26"/>
        <v>4.4673814866599285E-2</v>
      </c>
      <c r="G97" s="92">
        <f t="shared" si="27"/>
        <v>636260.91826071218</v>
      </c>
      <c r="H97" s="92">
        <f t="shared" si="28"/>
        <v>3260.2419358311217</v>
      </c>
      <c r="I97" s="95">
        <f>H97/(VLOOKUP(B97,$O$122:$Q$147,3,FALSE))</f>
        <v>652.0483871662243</v>
      </c>
      <c r="J97" s="228">
        <f>C97*VLOOKUP(B97,$O$122:$R$147,3,FALSE)</f>
        <v>975.78788750000001</v>
      </c>
      <c r="K97" s="228">
        <f>J97*VLOOKUP(B97,$O$122:$R$147,4,FALSE)</f>
        <v>975.78788750000001</v>
      </c>
      <c r="L97" s="937"/>
      <c r="M97" s="932"/>
      <c r="N97" s="932"/>
      <c r="O97" s="938" t="s">
        <v>163</v>
      </c>
      <c r="P97" s="938"/>
    </row>
    <row r="98" spans="1:18" x14ac:dyDescent="0.2">
      <c r="A98" s="936"/>
      <c r="B98" s="279" t="s">
        <v>157</v>
      </c>
      <c r="C98" s="179">
        <f>0.5*0.85*338.6966</f>
        <v>143.946055</v>
      </c>
      <c r="D98" s="89">
        <f t="shared" si="25"/>
        <v>0.7</v>
      </c>
      <c r="E98" s="90">
        <f t="shared" si="24"/>
        <v>100.7622385</v>
      </c>
      <c r="F98" s="91">
        <f t="shared" si="26"/>
        <v>7.6885452360381676E-2</v>
      </c>
      <c r="G98" s="92">
        <f t="shared" si="27"/>
        <v>1095030.9183530575</v>
      </c>
      <c r="H98" s="93">
        <f t="shared" si="28"/>
        <v>7607.2311836059516</v>
      </c>
      <c r="I98" s="92"/>
      <c r="J98" s="230"/>
      <c r="K98" s="228">
        <f>C98*VLOOKUP(B98,$O$122:$R$147,4,FALSE)</f>
        <v>1976.3793351500001</v>
      </c>
      <c r="L98" s="937"/>
      <c r="M98" s="932"/>
      <c r="N98" s="932"/>
      <c r="O98" s="938"/>
      <c r="P98" s="938"/>
    </row>
    <row r="99" spans="1:18" x14ac:dyDescent="0.2">
      <c r="A99" s="936"/>
      <c r="B99" s="279" t="s">
        <v>150</v>
      </c>
      <c r="C99" s="179">
        <f>0.5*0.85*273.27525</f>
        <v>116.14198125000001</v>
      </c>
      <c r="D99" s="89">
        <f t="shared" si="25"/>
        <v>0.9</v>
      </c>
      <c r="E99" s="90">
        <f t="shared" si="24"/>
        <v>104.52778312500001</v>
      </c>
      <c r="F99" s="91">
        <f t="shared" si="26"/>
        <v>7.9758707323612066E-2</v>
      </c>
      <c r="G99" s="92">
        <f t="shared" si="27"/>
        <v>1135952.8733452859</v>
      </c>
      <c r="H99" s="93">
        <f t="shared" si="28"/>
        <v>9780.725807493367</v>
      </c>
      <c r="I99" s="92"/>
      <c r="J99" s="230"/>
      <c r="K99" s="228">
        <f>C99*VLOOKUP(B99,$O$122:$R$147,4,FALSE)</f>
        <v>2049.9059690624999</v>
      </c>
      <c r="L99" s="937"/>
      <c r="M99" s="932"/>
      <c r="N99" s="932"/>
      <c r="O99" s="938"/>
      <c r="P99" s="938"/>
    </row>
    <row r="100" spans="1:18" x14ac:dyDescent="0.2">
      <c r="A100" s="936"/>
      <c r="B100" s="279" t="s">
        <v>153</v>
      </c>
      <c r="C100" s="179">
        <f>0.5*0.85*481.4582</f>
        <v>204.61973499999999</v>
      </c>
      <c r="D100" s="89">
        <f t="shared" si="25"/>
        <v>0.3</v>
      </c>
      <c r="E100" s="90">
        <f t="shared" si="24"/>
        <v>61.385920499999997</v>
      </c>
      <c r="F100" s="91">
        <f t="shared" si="26"/>
        <v>4.6839811584782592E-2</v>
      </c>
      <c r="G100" s="92">
        <f t="shared" si="27"/>
        <v>667109.84094565117</v>
      </c>
      <c r="H100" s="92">
        <f t="shared" si="28"/>
        <v>3260.2419358311222</v>
      </c>
      <c r="I100" s="95">
        <f>H100/(VLOOKUP(B100,$O$122:$Q$147,3,FALSE))</f>
        <v>652.04838716622442</v>
      </c>
      <c r="J100" s="228">
        <f>C100*VLOOKUP(B100,$O$122:$R$147,3,FALSE)</f>
        <v>1023.098675</v>
      </c>
      <c r="K100" s="228">
        <f>J100*VLOOKUP(B100,$O$122:$R$147,4,FALSE)</f>
        <v>1023.098675</v>
      </c>
      <c r="L100" s="937"/>
      <c r="M100" s="932"/>
      <c r="N100" s="932"/>
      <c r="O100" s="938"/>
      <c r="P100" s="938"/>
    </row>
    <row r="101" spans="1:18" x14ac:dyDescent="0.2">
      <c r="A101" s="936"/>
      <c r="B101" s="279" t="s">
        <v>155</v>
      </c>
      <c r="C101" s="179">
        <f>0.5*0.85*29.9605</f>
        <v>12.733212499999999</v>
      </c>
      <c r="D101" s="89">
        <f t="shared" si="25"/>
        <v>0.1</v>
      </c>
      <c r="E101" s="90">
        <f t="shared" si="24"/>
        <v>1.27332125</v>
      </c>
      <c r="F101" s="91">
        <f t="shared" si="26"/>
        <v>9.7159294755382627E-4</v>
      </c>
      <c r="G101" s="92">
        <f t="shared" si="27"/>
        <v>13837.784456783013</v>
      </c>
      <c r="H101" s="93">
        <f t="shared" si="28"/>
        <v>1086.7473119437075</v>
      </c>
      <c r="I101" s="92"/>
      <c r="J101" s="230"/>
      <c r="K101" s="228">
        <f>C101*VLOOKUP(B101,$O$122:$R$147,4,FALSE)</f>
        <v>0</v>
      </c>
      <c r="L101" s="937"/>
      <c r="M101" s="932"/>
      <c r="N101" s="932"/>
      <c r="O101" s="938"/>
      <c r="P101" s="938"/>
    </row>
    <row r="102" spans="1:18" x14ac:dyDescent="0.2">
      <c r="A102" s="936"/>
      <c r="B102" s="279" t="s">
        <v>152</v>
      </c>
      <c r="C102" s="179">
        <f>0.5*0.85*99.2228</f>
        <v>42.169690000000003</v>
      </c>
      <c r="D102" s="89">
        <f t="shared" si="25"/>
        <v>0.3</v>
      </c>
      <c r="E102" s="90">
        <f t="shared" si="24"/>
        <v>12.650907</v>
      </c>
      <c r="F102" s="91">
        <f t="shared" si="26"/>
        <v>9.6531272224973357E-3</v>
      </c>
      <c r="G102" s="92">
        <f t="shared" si="27"/>
        <v>137483.39175899833</v>
      </c>
      <c r="H102" s="92">
        <f t="shared" si="28"/>
        <v>3260.2419358311222</v>
      </c>
      <c r="I102" s="95">
        <f>H102/(VLOOKUP(B102,$O$122:$Q$147,3,FALSE))</f>
        <v>1630.1209679155611</v>
      </c>
      <c r="J102" s="228">
        <f>C102*VLOOKUP(B102,$O$122:$R$147,3,FALSE)</f>
        <v>84.339380000000006</v>
      </c>
      <c r="K102" s="228">
        <f>J102*VLOOKUP(B102,$O$122:$R$147,4,FALSE)</f>
        <v>210.84845000000001</v>
      </c>
      <c r="L102" s="937"/>
      <c r="M102" s="932"/>
      <c r="N102" s="932"/>
      <c r="O102" s="938"/>
      <c r="P102" s="938"/>
    </row>
    <row r="103" spans="1:18" x14ac:dyDescent="0.2">
      <c r="A103" s="936"/>
      <c r="B103" s="520" t="s">
        <v>133</v>
      </c>
      <c r="C103" s="521">
        <f>0.25*524.757</f>
        <v>131.18924999999999</v>
      </c>
      <c r="D103" s="89">
        <f t="shared" si="25"/>
        <v>0.3</v>
      </c>
      <c r="E103" s="90">
        <f t="shared" si="24"/>
        <v>39.356774999999992</v>
      </c>
      <c r="F103" s="91">
        <f t="shared" si="26"/>
        <v>3.0030728717095341E-2</v>
      </c>
      <c r="G103" s="92">
        <f t="shared" si="27"/>
        <v>427708.69438023295</v>
      </c>
      <c r="H103" s="92">
        <f t="shared" si="28"/>
        <v>3260.2419358311217</v>
      </c>
      <c r="I103" s="95">
        <f>H103/(VLOOKUP(B103,$O$122:$Q$147,3,FALSE))</f>
        <v>1630.1209679155609</v>
      </c>
      <c r="J103" s="228">
        <f>C103*VLOOKUP(B103,$O$122:$R$147,3,FALSE)</f>
        <v>262.37849999999997</v>
      </c>
      <c r="K103" s="228">
        <f>J103*VLOOKUP(B103,$O$122:$R$147,4,FALSE)</f>
        <v>655.94624999999996</v>
      </c>
      <c r="L103" s="937"/>
      <c r="M103" s="932"/>
      <c r="N103" s="932"/>
      <c r="O103" s="938"/>
      <c r="P103" s="938"/>
    </row>
    <row r="104" spans="1:18" x14ac:dyDescent="0.2">
      <c r="A104" s="477" t="s">
        <v>321</v>
      </c>
      <c r="B104" s="97"/>
      <c r="C104" s="97"/>
      <c r="F104" s="158">
        <f>SUM(F85:F103)</f>
        <v>1</v>
      </c>
      <c r="G104" s="159">
        <f>SUM(G85:G103)</f>
        <v>14242368.155946709</v>
      </c>
      <c r="K104" s="235">
        <f>SUM(K85:K103)</f>
        <v>23278.5276935125</v>
      </c>
    </row>
    <row r="105" spans="1:18" x14ac:dyDescent="0.2">
      <c r="A105" s="96"/>
      <c r="B105" s="97"/>
      <c r="C105" s="97"/>
    </row>
    <row r="106" spans="1:18" x14ac:dyDescent="0.2">
      <c r="A106" s="244" t="s">
        <v>113</v>
      </c>
      <c r="B106" s="97"/>
      <c r="C106" s="97"/>
    </row>
    <row r="107" spans="1:18" x14ac:dyDescent="0.2">
      <c r="A107" s="930" t="s">
        <v>164</v>
      </c>
      <c r="B107" s="279" t="s">
        <v>229</v>
      </c>
      <c r="C107" s="179">
        <f>0.5*0.85*191.431</f>
        <v>81.358175000000003</v>
      </c>
      <c r="D107" s="89">
        <f t="shared" ref="D107:D118" si="29">VLOOKUP(B107,$O$122:$P$147,2,FALSE)</f>
        <v>0.3</v>
      </c>
      <c r="E107" s="90">
        <f t="shared" si="24"/>
        <v>24.407452500000002</v>
      </c>
      <c r="F107" s="91">
        <f t="shared" ref="F107:F118" si="30">E107/($L$107*$M$107)</f>
        <v>4.5828934107412317E-2</v>
      </c>
      <c r="G107" s="92">
        <f t="shared" ref="G107:G118" si="31">$O$107*F107</f>
        <v>155568.88324792113</v>
      </c>
      <c r="H107" s="92">
        <f t="shared" ref="H107:H118" si="32">G107/C107</f>
        <v>1912.1481430467329</v>
      </c>
      <c r="I107" s="95">
        <f>H107/(VLOOKUP(B107,$O$122:$Q$147,3,FALSE))</f>
        <v>382.42962860934659</v>
      </c>
      <c r="J107" s="228">
        <f>C107*VLOOKUP(B107,$O$122:$R$147,3,FALSE)</f>
        <v>406.79087500000003</v>
      </c>
      <c r="K107" s="228">
        <f>J107*VLOOKUP(B107,$O$122:$R$147,4,FALSE)</f>
        <v>406.79087500000003</v>
      </c>
      <c r="L107" s="931">
        <f>SUM(C107:C118)</f>
        <v>1416.3240375499997</v>
      </c>
      <c r="M107" s="932">
        <f>SUM(E107:E118)/L107</f>
        <v>0.37602790087236559</v>
      </c>
      <c r="N107" s="932">
        <f>L107*M107</f>
        <v>532.57735479499991</v>
      </c>
      <c r="O107" s="933">
        <f>SUM(P108:P114)</f>
        <v>3394556</v>
      </c>
      <c r="P107" s="933"/>
    </row>
    <row r="108" spans="1:18" x14ac:dyDescent="0.2">
      <c r="A108" s="930"/>
      <c r="B108" s="87" t="s">
        <v>149</v>
      </c>
      <c r="C108" s="88">
        <f>0.85*179.9842</f>
        <v>152.98656999999997</v>
      </c>
      <c r="D108" s="89">
        <f t="shared" si="29"/>
        <v>0.7</v>
      </c>
      <c r="E108" s="90">
        <f t="shared" si="24"/>
        <v>107.09059899999997</v>
      </c>
      <c r="F108" s="91">
        <f t="shared" si="30"/>
        <v>0.20107989578569552</v>
      </c>
      <c r="G108" s="92">
        <f t="shared" si="31"/>
        <v>682576.96671870747</v>
      </c>
      <c r="H108" s="93">
        <f t="shared" si="32"/>
        <v>4461.6790004423756</v>
      </c>
      <c r="I108" s="92"/>
      <c r="J108" s="230"/>
      <c r="K108" s="228">
        <f>C108*VLOOKUP(B108,$O$122:$R$147,4,FALSE)</f>
        <v>2100.5056060999996</v>
      </c>
      <c r="L108" s="931"/>
      <c r="M108" s="932"/>
      <c r="N108" s="932"/>
      <c r="O108" s="147" t="s">
        <v>202</v>
      </c>
      <c r="P108" s="147">
        <f>Trails!G14-Trails!F10</f>
        <v>0</v>
      </c>
      <c r="Q108" s="934">
        <f>SUM(P108:P110)</f>
        <v>1500000</v>
      </c>
    </row>
    <row r="109" spans="1:18" x14ac:dyDescent="0.2">
      <c r="A109" s="930"/>
      <c r="B109" s="87" t="s">
        <v>142</v>
      </c>
      <c r="C109" s="88">
        <f>0.85*23.4056</f>
        <v>19.894759999999998</v>
      </c>
      <c r="D109" s="89">
        <f t="shared" si="29"/>
        <v>0.9</v>
      </c>
      <c r="E109" s="90">
        <f t="shared" si="24"/>
        <v>17.905283999999998</v>
      </c>
      <c r="F109" s="91">
        <f t="shared" si="30"/>
        <v>3.3620062585823077E-2</v>
      </c>
      <c r="G109" s="92">
        <f t="shared" si="31"/>
        <v>114125.18517108123</v>
      </c>
      <c r="H109" s="93">
        <f t="shared" si="32"/>
        <v>5736.4444291401978</v>
      </c>
      <c r="I109" s="92"/>
      <c r="J109" s="230"/>
      <c r="K109" s="228">
        <f>C109*VLOOKUP(B109,$O$122:$R$147,4,FALSE)</f>
        <v>351.14251399999995</v>
      </c>
      <c r="L109" s="931"/>
      <c r="M109" s="932"/>
      <c r="N109" s="932"/>
      <c r="O109" s="147" t="s">
        <v>223</v>
      </c>
      <c r="P109" s="147">
        <f>Trails!F10</f>
        <v>1500000</v>
      </c>
      <c r="Q109" s="934"/>
      <c r="R109" s="145" t="s">
        <v>506</v>
      </c>
    </row>
    <row r="110" spans="1:18" x14ac:dyDescent="0.2">
      <c r="A110" s="930"/>
      <c r="B110" s="87" t="s">
        <v>143</v>
      </c>
      <c r="C110" s="88">
        <f>0.85*103.6925</f>
        <v>88.13862499999999</v>
      </c>
      <c r="D110" s="89">
        <f t="shared" si="29"/>
        <v>0.9</v>
      </c>
      <c r="E110" s="90">
        <f t="shared" si="24"/>
        <v>79.324762499999991</v>
      </c>
      <c r="F110" s="91">
        <f t="shared" si="30"/>
        <v>0.14894505330692054</v>
      </c>
      <c r="G110" s="92">
        <f t="shared" si="31"/>
        <v>505602.32437332696</v>
      </c>
      <c r="H110" s="93">
        <f t="shared" si="32"/>
        <v>5736.4444291401987</v>
      </c>
      <c r="I110" s="92"/>
      <c r="J110" s="230"/>
      <c r="K110" s="228">
        <f>C110*VLOOKUP(B110,$O$122:$R$147,4,FALSE)</f>
        <v>1555.6467312499997</v>
      </c>
      <c r="L110" s="931"/>
      <c r="M110" s="932"/>
      <c r="N110" s="932"/>
      <c r="O110" s="147" t="s">
        <v>219</v>
      </c>
      <c r="P110" s="147">
        <f>'Levee &amp; Monitor'!E27*0</f>
        <v>0</v>
      </c>
      <c r="Q110" s="934"/>
    </row>
    <row r="111" spans="1:18" x14ac:dyDescent="0.2">
      <c r="A111" s="930"/>
      <c r="B111" s="87" t="s">
        <v>139</v>
      </c>
      <c r="C111" s="88">
        <f>0.85*20.8516</f>
        <v>17.723860000000002</v>
      </c>
      <c r="D111" s="89">
        <f t="shared" si="29"/>
        <v>0.65</v>
      </c>
      <c r="E111" s="90">
        <f t="shared" si="24"/>
        <v>11.520509000000002</v>
      </c>
      <c r="F111" s="91">
        <f t="shared" si="30"/>
        <v>2.1631616320664789E-2</v>
      </c>
      <c r="G111" s="92">
        <f t="shared" si="31"/>
        <v>73429.732971010584</v>
      </c>
      <c r="H111" s="92">
        <f t="shared" si="32"/>
        <v>4142.9876432679212</v>
      </c>
      <c r="I111" s="95">
        <f>H111/(VLOOKUP(B111,$O$122:$Q$147,3,FALSE))</f>
        <v>243.7051554863483</v>
      </c>
      <c r="J111" s="228">
        <f>C111*VLOOKUP(B111,$O$122:$R$147,3,FALSE)</f>
        <v>301.30562000000003</v>
      </c>
      <c r="K111" s="228">
        <f>J111*VLOOKUP(B111,$O$122:$R$147,4,FALSE)</f>
        <v>192.83559680000002</v>
      </c>
      <c r="L111" s="931"/>
      <c r="M111" s="932"/>
      <c r="N111" s="932"/>
      <c r="O111" s="165" t="s">
        <v>220</v>
      </c>
      <c r="P111" s="165">
        <f>0.19*Q108</f>
        <v>285000</v>
      </c>
      <c r="Q111" s="189"/>
    </row>
    <row r="112" spans="1:18" x14ac:dyDescent="0.2">
      <c r="A112" s="930"/>
      <c r="B112" s="87" t="s">
        <v>135</v>
      </c>
      <c r="C112" s="88">
        <f>0.85*546.7343</f>
        <v>464.72415499999994</v>
      </c>
      <c r="D112" s="89">
        <f t="shared" si="29"/>
        <v>0.3</v>
      </c>
      <c r="E112" s="90">
        <f t="shared" si="24"/>
        <v>139.41724649999998</v>
      </c>
      <c r="F112" s="91">
        <f t="shared" si="30"/>
        <v>0.2617783975318751</v>
      </c>
      <c r="G112" s="92">
        <f t="shared" si="31"/>
        <v>888621.43001221179</v>
      </c>
      <c r="H112" s="92">
        <f t="shared" si="32"/>
        <v>1912.1481430467325</v>
      </c>
      <c r="I112" s="95">
        <f>H112/(VLOOKUP(B112,$O$122:$Q$147,3,FALSE))</f>
        <v>382.42962860934648</v>
      </c>
      <c r="J112" s="228">
        <f>C112*VLOOKUP(B112,$O$122:$R$147,3,FALSE)</f>
        <v>2323.6207749999999</v>
      </c>
      <c r="K112" s="228">
        <f>J112*VLOOKUP(B112,$O$122:$R$147,4,FALSE)</f>
        <v>2323.6207749999999</v>
      </c>
      <c r="L112" s="931"/>
      <c r="M112" s="932"/>
      <c r="N112" s="932"/>
      <c r="O112" s="165" t="s">
        <v>221</v>
      </c>
      <c r="P112" s="165">
        <f>0.02*Q108*0</f>
        <v>0</v>
      </c>
    </row>
    <row r="113" spans="1:18" x14ac:dyDescent="0.2">
      <c r="A113" s="930"/>
      <c r="B113" s="87" t="s">
        <v>137</v>
      </c>
      <c r="C113" s="88">
        <f>0.85*66.4005</f>
        <v>56.440424999999991</v>
      </c>
      <c r="D113" s="89">
        <f t="shared" si="29"/>
        <v>0.5</v>
      </c>
      <c r="E113" s="90">
        <f t="shared" si="24"/>
        <v>28.220212499999995</v>
      </c>
      <c r="F113" s="91">
        <f t="shared" si="30"/>
        <v>5.29880068048754E-2</v>
      </c>
      <c r="G113" s="92">
        <f t="shared" si="31"/>
        <v>179870.75642753061</v>
      </c>
      <c r="H113" s="92">
        <f t="shared" si="32"/>
        <v>3186.9135717445542</v>
      </c>
      <c r="I113" s="95">
        <f>H113/(VLOOKUP(B113,$O$122:$Q$147,3,FALSE))</f>
        <v>318.69135717445545</v>
      </c>
      <c r="J113" s="228">
        <f>C113*VLOOKUP(B113,$O$122:$R$147,3,FALSE)</f>
        <v>564.40424999999993</v>
      </c>
      <c r="K113" s="228">
        <f>J113*VLOOKUP(B113,$O$122:$R$147,4,FALSE)</f>
        <v>524.89595250000002</v>
      </c>
      <c r="L113" s="931"/>
      <c r="M113" s="932"/>
      <c r="N113" s="932"/>
      <c r="O113" s="165" t="s">
        <v>222</v>
      </c>
      <c r="P113" s="165">
        <v>500000</v>
      </c>
    </row>
    <row r="114" spans="1:18" x14ac:dyDescent="0.2">
      <c r="A114" s="930"/>
      <c r="B114" s="87" t="s">
        <v>140</v>
      </c>
      <c r="C114" s="88">
        <f>0.85*428.9581</f>
        <v>364.61438499999997</v>
      </c>
      <c r="D114" s="89">
        <f t="shared" si="29"/>
        <v>0.1</v>
      </c>
      <c r="E114" s="90">
        <f t="shared" si="24"/>
        <v>36.4614385</v>
      </c>
      <c r="F114" s="91">
        <f t="shared" si="30"/>
        <v>6.8462239657250859E-2</v>
      </c>
      <c r="G114" s="92">
        <f t="shared" si="31"/>
        <v>232398.90640195884</v>
      </c>
      <c r="H114" s="93">
        <f t="shared" si="32"/>
        <v>637.38271434891101</v>
      </c>
      <c r="I114" s="92"/>
      <c r="J114" s="230"/>
      <c r="K114" s="228">
        <f>C114*VLOOKUP(B114,$O$122:$R$147,4,FALSE)</f>
        <v>0</v>
      </c>
      <c r="L114" s="931"/>
      <c r="M114" s="932"/>
      <c r="N114" s="932"/>
      <c r="O114" s="526" t="s">
        <v>232</v>
      </c>
      <c r="P114" s="526">
        <f>0.518*1.2*(Q108+P111)</f>
        <v>1109556</v>
      </c>
    </row>
    <row r="115" spans="1:18" x14ac:dyDescent="0.2">
      <c r="A115" s="930"/>
      <c r="B115" s="279" t="s">
        <v>157</v>
      </c>
      <c r="C115" s="179">
        <f>0.5*0.85*70.0025</f>
        <v>29.7510625</v>
      </c>
      <c r="D115" s="89">
        <f t="shared" si="29"/>
        <v>0.7</v>
      </c>
      <c r="E115" s="90">
        <f t="shared" si="24"/>
        <v>20.825743749999997</v>
      </c>
      <c r="F115" s="91">
        <f t="shared" si="30"/>
        <v>3.910369744882649E-2</v>
      </c>
      <c r="G115" s="92">
        <f t="shared" si="31"/>
        <v>132739.69079709865</v>
      </c>
      <c r="H115" s="93">
        <f t="shared" si="32"/>
        <v>4461.6790004423756</v>
      </c>
      <c r="I115" s="92"/>
      <c r="J115" s="230"/>
      <c r="K115" s="228">
        <f>C115*VLOOKUP(B115,$O$122:$R$147,4,FALSE)</f>
        <v>408.48208812500002</v>
      </c>
      <c r="L115" s="931"/>
      <c r="M115" s="932"/>
      <c r="N115" s="932"/>
      <c r="O115" s="935"/>
      <c r="P115" s="935"/>
    </row>
    <row r="116" spans="1:18" x14ac:dyDescent="0.2">
      <c r="A116" s="930"/>
      <c r="B116" s="279" t="s">
        <v>150</v>
      </c>
      <c r="C116" s="179">
        <f>0.5*0.85*98.809806</f>
        <v>41.994167549999993</v>
      </c>
      <c r="D116" s="89">
        <f t="shared" si="29"/>
        <v>0.9</v>
      </c>
      <c r="E116" s="90">
        <f t="shared" si="24"/>
        <v>37.794750794999992</v>
      </c>
      <c r="F116" s="91">
        <f t="shared" si="30"/>
        <v>7.0965748833890951E-2</v>
      </c>
      <c r="G116" s="92">
        <f t="shared" si="31"/>
        <v>240897.20849857753</v>
      </c>
      <c r="H116" s="93">
        <f t="shared" si="32"/>
        <v>5736.4444291401978</v>
      </c>
      <c r="I116" s="92"/>
      <c r="J116" s="230"/>
      <c r="K116" s="228">
        <f>C116*VLOOKUP(B116,$O$122:$R$147,4,FALSE)</f>
        <v>741.19705725749986</v>
      </c>
      <c r="L116" s="931"/>
      <c r="M116" s="932"/>
      <c r="N116" s="932"/>
      <c r="O116" s="935"/>
      <c r="P116" s="935"/>
    </row>
    <row r="117" spans="1:18" x14ac:dyDescent="0.2">
      <c r="A117" s="930"/>
      <c r="B117" s="279" t="s">
        <v>153</v>
      </c>
      <c r="C117" s="179">
        <f>0.5*0.85*145.5188</f>
        <v>61.845489999999998</v>
      </c>
      <c r="D117" s="89">
        <f t="shared" si="29"/>
        <v>0.3</v>
      </c>
      <c r="E117" s="90">
        <f t="shared" si="24"/>
        <v>18.553646999999998</v>
      </c>
      <c r="F117" s="91">
        <f t="shared" si="30"/>
        <v>3.483746883519237E-2</v>
      </c>
      <c r="G117" s="92">
        <f t="shared" si="31"/>
        <v>118257.73885931527</v>
      </c>
      <c r="H117" s="92">
        <f t="shared" si="32"/>
        <v>1912.1481430467327</v>
      </c>
      <c r="I117" s="95">
        <f>H117/(VLOOKUP(B117,$O$122:$Q$147,3,FALSE))</f>
        <v>382.42962860934654</v>
      </c>
      <c r="J117" s="228">
        <f>C117*VLOOKUP(B117,$O$122:$R$147,3,FALSE)</f>
        <v>309.22744999999998</v>
      </c>
      <c r="K117" s="228">
        <f>J117*VLOOKUP(B117,$O$122:$R$147,4,FALSE)</f>
        <v>309.22744999999998</v>
      </c>
      <c r="L117" s="931"/>
      <c r="M117" s="932"/>
      <c r="N117" s="932"/>
      <c r="O117" s="935"/>
      <c r="P117" s="935"/>
    </row>
    <row r="118" spans="1:18" x14ac:dyDescent="0.2">
      <c r="A118" s="930"/>
      <c r="B118" s="520" t="s">
        <v>152</v>
      </c>
      <c r="C118" s="521">
        <f>0.5*0.25*294.8189</f>
        <v>36.852362499999998</v>
      </c>
      <c r="D118" s="89">
        <f t="shared" si="29"/>
        <v>0.3</v>
      </c>
      <c r="E118" s="90">
        <f t="shared" si="24"/>
        <v>11.055708749999999</v>
      </c>
      <c r="F118" s="91">
        <f t="shared" si="30"/>
        <v>2.0758878781572624E-2</v>
      </c>
      <c r="G118" s="92">
        <f t="shared" si="31"/>
        <v>70467.176521260044</v>
      </c>
      <c r="H118" s="92">
        <f t="shared" si="32"/>
        <v>1912.1481430467327</v>
      </c>
      <c r="I118" s="95">
        <f>H118/(VLOOKUP(B118,$O$122:$Q$147,3,FALSE))</f>
        <v>956.07407152336634</v>
      </c>
      <c r="J118" s="228">
        <f>C118*VLOOKUP(B118,$O$122:$R$147,3,FALSE)</f>
        <v>73.704724999999996</v>
      </c>
      <c r="K118" s="228">
        <f>J118*VLOOKUP(B118,$O$122:$R$147,4,FALSE)</f>
        <v>184.26181249999999</v>
      </c>
      <c r="L118" s="931"/>
      <c r="M118" s="932"/>
      <c r="N118" s="932"/>
      <c r="O118" s="935"/>
      <c r="P118" s="935"/>
    </row>
    <row r="119" spans="1:18" ht="13.5" thickBot="1" x14ac:dyDescent="0.25">
      <c r="A119" s="924" t="s">
        <v>224</v>
      </c>
      <c r="B119" s="925"/>
      <c r="C119" s="194">
        <f>SUM(C3:C118)</f>
        <v>9942.4563262999964</v>
      </c>
      <c r="F119" s="158">
        <f>SUM(F107:F118)</f>
        <v>1</v>
      </c>
      <c r="G119" s="159">
        <f>SUM(G107:G118)</f>
        <v>3394556</v>
      </c>
      <c r="K119" s="235">
        <f>SUM(K107:K118)</f>
        <v>9098.6064585325003</v>
      </c>
      <c r="Q119" s="289">
        <f>SUM(Q108,Q86,Q74,Q62,Q51,Q35,Q16,Q4)-Q108</f>
        <v>10687073.674607027</v>
      </c>
    </row>
    <row r="120" spans="1:18" ht="13.5" thickBot="1" x14ac:dyDescent="0.25">
      <c r="J120" s="236" t="s">
        <v>242</v>
      </c>
      <c r="K120" s="236">
        <f>K12+K32+K48+K57+K71+K80+K104+K119</f>
        <v>69036.452432894992</v>
      </c>
      <c r="O120" s="926" t="s">
        <v>225</v>
      </c>
      <c r="P120" s="927"/>
      <c r="Q120" s="927"/>
      <c r="R120" s="928"/>
    </row>
    <row r="121" spans="1:18" x14ac:dyDescent="0.2">
      <c r="O121" s="221" t="s">
        <v>129</v>
      </c>
      <c r="P121" s="222" t="s">
        <v>130</v>
      </c>
      <c r="Q121" s="223" t="s">
        <v>131</v>
      </c>
      <c r="R121" s="224" t="s">
        <v>165</v>
      </c>
    </row>
    <row r="122" spans="1:18" x14ac:dyDescent="0.2">
      <c r="E122" s="929" t="s">
        <v>231</v>
      </c>
      <c r="F122" s="929"/>
      <c r="G122" s="929"/>
      <c r="H122" s="929"/>
      <c r="O122" s="169" t="s">
        <v>133</v>
      </c>
      <c r="P122" s="170">
        <v>0.3</v>
      </c>
      <c r="Q122" s="220">
        <v>2</v>
      </c>
      <c r="R122" s="225">
        <v>2.5</v>
      </c>
    </row>
    <row r="123" spans="1:18" x14ac:dyDescent="0.2">
      <c r="E123" s="190" t="s">
        <v>206</v>
      </c>
      <c r="F123" s="191">
        <f>P5+P17+P36+P52+P63+P75+P87</f>
        <v>750000</v>
      </c>
      <c r="G123" s="915" t="str">
        <f>IF(F123='Future Improve'!D8,"Good! Matched!", "No Good!")</f>
        <v>Good! Matched!</v>
      </c>
      <c r="H123" s="915"/>
      <c r="O123" s="169" t="s">
        <v>135</v>
      </c>
      <c r="P123" s="170">
        <v>0.3</v>
      </c>
      <c r="Q123" s="220">
        <v>5</v>
      </c>
      <c r="R123" s="225">
        <v>1</v>
      </c>
    </row>
    <row r="124" spans="1:18" x14ac:dyDescent="0.2">
      <c r="E124" s="190" t="s">
        <v>207</v>
      </c>
      <c r="F124" s="191">
        <f>P18+P37+P53+P64+P76+P88</f>
        <v>499999.99999999988</v>
      </c>
      <c r="G124" s="915" t="str">
        <f>IF(F124='Future Improve'!D9,"Good! Matched!", "No Good!")</f>
        <v>Good! Matched!</v>
      </c>
      <c r="H124" s="915"/>
      <c r="O124" s="169" t="s">
        <v>137</v>
      </c>
      <c r="P124" s="170">
        <v>0.5</v>
      </c>
      <c r="Q124" s="220">
        <v>10</v>
      </c>
      <c r="R124" s="225">
        <v>0.93</v>
      </c>
    </row>
    <row r="125" spans="1:18" x14ac:dyDescent="0.2">
      <c r="E125" s="190" t="s">
        <v>209</v>
      </c>
      <c r="F125" s="191">
        <f>P54+P65+P77+P89</f>
        <v>425000</v>
      </c>
      <c r="G125" s="915" t="str">
        <f>IF(F125='Future Improve'!D10,"Good! Matched!", "No Good!")</f>
        <v>Good! Matched!</v>
      </c>
      <c r="H125" s="915"/>
      <c r="K125" s="409"/>
      <c r="O125" s="169" t="s">
        <v>139</v>
      </c>
      <c r="P125" s="170">
        <v>0.65</v>
      </c>
      <c r="Q125" s="220">
        <v>17</v>
      </c>
      <c r="R125" s="225">
        <v>0.64</v>
      </c>
    </row>
    <row r="126" spans="1:18" x14ac:dyDescent="0.2">
      <c r="E126" s="190" t="s">
        <v>210</v>
      </c>
      <c r="F126" s="191">
        <f>P78+P90</f>
        <v>225000</v>
      </c>
      <c r="G126" s="915" t="str">
        <f>IF(F126='Future Improve'!D11,"Good! Matched!", "No Good!")</f>
        <v>Good! Matched!</v>
      </c>
      <c r="H126" s="915"/>
      <c r="O126" s="169" t="s">
        <v>140</v>
      </c>
      <c r="P126" s="170">
        <v>0.1</v>
      </c>
      <c r="Q126" s="231"/>
      <c r="R126" s="225">
        <v>0</v>
      </c>
    </row>
    <row r="127" spans="1:18" x14ac:dyDescent="0.2">
      <c r="O127" s="169" t="s">
        <v>134</v>
      </c>
      <c r="P127" s="170">
        <v>0.1</v>
      </c>
      <c r="Q127" s="232"/>
      <c r="R127" s="225">
        <v>0</v>
      </c>
    </row>
    <row r="128" spans="1:18" x14ac:dyDescent="0.2">
      <c r="O128" s="169" t="s">
        <v>136</v>
      </c>
      <c r="P128" s="170">
        <v>0.1</v>
      </c>
      <c r="Q128" s="233"/>
      <c r="R128" s="225">
        <v>1</v>
      </c>
    </row>
    <row r="129" spans="1:18" ht="25.5" x14ac:dyDescent="0.2">
      <c r="A129" s="111" t="s">
        <v>419</v>
      </c>
      <c r="B129" s="660" t="s">
        <v>420</v>
      </c>
      <c r="C129" s="661" t="s">
        <v>421</v>
      </c>
      <c r="F129" s="666" t="s">
        <v>420</v>
      </c>
      <c r="G129" s="667" t="s">
        <v>421</v>
      </c>
      <c r="O129" s="169" t="s">
        <v>229</v>
      </c>
      <c r="P129" s="170">
        <v>0.3</v>
      </c>
      <c r="Q129" s="220">
        <v>5</v>
      </c>
      <c r="R129" s="225">
        <v>1</v>
      </c>
    </row>
    <row r="130" spans="1:18" x14ac:dyDescent="0.2">
      <c r="A130" s="111" t="s">
        <v>239</v>
      </c>
      <c r="B130" s="658">
        <f>Q4</f>
        <v>274838.13111577829</v>
      </c>
      <c r="C130" s="657">
        <f>'PFF-Zones (Combined)'!B139</f>
        <v>254883.54851369286</v>
      </c>
      <c r="E130" s="576">
        <f>C130-B130</f>
        <v>-19954.582602085429</v>
      </c>
      <c r="F130" s="100">
        <f>N3</f>
        <v>876.22361950000004</v>
      </c>
      <c r="G130" s="665">
        <f>'PFF-Zones (Combined)'!C139</f>
        <v>876.22361950000004</v>
      </c>
      <c r="H130" s="668">
        <f>G130-F130</f>
        <v>0</v>
      </c>
      <c r="O130" s="169" t="s">
        <v>144</v>
      </c>
      <c r="P130" s="170">
        <v>0.9</v>
      </c>
      <c r="Q130" s="231"/>
      <c r="R130" s="225">
        <v>17.649999999999999</v>
      </c>
    </row>
    <row r="131" spans="1:18" x14ac:dyDescent="0.2">
      <c r="A131" s="111" t="s">
        <v>238</v>
      </c>
      <c r="B131" s="658">
        <f>'PFF-Zones'!Q16</f>
        <v>1230658.7877735808</v>
      </c>
      <c r="C131" s="657">
        <f>'PFF-Zones (Combined)'!B140</f>
        <v>1214446.7756295153</v>
      </c>
      <c r="E131" s="576">
        <f t="shared" ref="E131:E137" si="33">C131-B131</f>
        <v>-16212.012144065462</v>
      </c>
      <c r="F131" s="100">
        <f>N15</f>
        <v>327.37709425000008</v>
      </c>
      <c r="G131" s="665">
        <f>'PFF-Zones (Combined)'!C140</f>
        <v>327.37709425000008</v>
      </c>
      <c r="H131" s="668">
        <f t="shared" ref="H131:H132" si="34">G131-F131</f>
        <v>0</v>
      </c>
      <c r="O131" s="169" t="s">
        <v>142</v>
      </c>
      <c r="P131" s="170">
        <v>0.9</v>
      </c>
      <c r="Q131" s="232"/>
      <c r="R131" s="225">
        <v>17.649999999999999</v>
      </c>
    </row>
    <row r="132" spans="1:18" x14ac:dyDescent="0.2">
      <c r="A132" s="111" t="s">
        <v>258</v>
      </c>
      <c r="B132" s="658">
        <f>Q35</f>
        <v>660284.63838560344</v>
      </c>
      <c r="C132" s="657">
        <f>'PFF-Zones (Combined)'!B141</f>
        <v>643846.96718502126</v>
      </c>
      <c r="E132" s="576">
        <f t="shared" si="33"/>
        <v>-16437.671200582176</v>
      </c>
      <c r="F132" s="100">
        <f>N34</f>
        <v>331.93393799999996</v>
      </c>
      <c r="G132" s="665">
        <f>'PFF-Zones (Combined)'!C141</f>
        <v>331.93393799999996</v>
      </c>
      <c r="H132" s="668">
        <f t="shared" si="34"/>
        <v>0</v>
      </c>
      <c r="O132" s="169" t="s">
        <v>143</v>
      </c>
      <c r="P132" s="170">
        <v>0.9</v>
      </c>
      <c r="Q132" s="232"/>
      <c r="R132" s="225">
        <v>17.649999999999999</v>
      </c>
    </row>
    <row r="133" spans="1:18" x14ac:dyDescent="0.2">
      <c r="A133" s="111" t="s">
        <v>259</v>
      </c>
      <c r="B133" s="658">
        <f>'PFF-Zones'!Q51</f>
        <v>172177.48633005368</v>
      </c>
      <c r="C133" s="657">
        <f>'PFF-Zones (Combined)'!B142</f>
        <v>1360751.9007608725</v>
      </c>
      <c r="E133" s="576">
        <f t="shared" si="33"/>
        <v>1188574.4144308188</v>
      </c>
      <c r="F133" s="100">
        <f>N50</f>
        <v>140.95735300000001</v>
      </c>
      <c r="G133" s="665">
        <f>'PFF-Zones (Combined)'!C142</f>
        <v>526.80590249999989</v>
      </c>
      <c r="H133" s="101">
        <f>G133-SUM(F133:F135)</f>
        <v>0</v>
      </c>
      <c r="O133" s="169" t="s">
        <v>145</v>
      </c>
      <c r="P133" s="170">
        <v>0.9</v>
      </c>
      <c r="Q133" s="232"/>
      <c r="R133" s="225">
        <v>17.649999999999999</v>
      </c>
    </row>
    <row r="134" spans="1:18" x14ac:dyDescent="0.2">
      <c r="A134" s="111" t="s">
        <v>260</v>
      </c>
      <c r="B134" s="658">
        <f>Q62</f>
        <v>872827.88963856502</v>
      </c>
      <c r="C134" s="657">
        <f>'PFF-Zones (Combined)'!B143</f>
        <v>0</v>
      </c>
      <c r="E134" s="576">
        <f t="shared" si="33"/>
        <v>-872827.88963856502</v>
      </c>
      <c r="F134" s="100">
        <f>N61</f>
        <v>141.95194649999999</v>
      </c>
      <c r="G134" s="665">
        <f>'PFF-Zones (Combined)'!C143</f>
        <v>0</v>
      </c>
      <c r="O134" s="169" t="s">
        <v>146</v>
      </c>
      <c r="P134" s="170">
        <v>0.7</v>
      </c>
      <c r="Q134" s="232"/>
      <c r="R134" s="225">
        <v>13.73</v>
      </c>
    </row>
    <row r="135" spans="1:18" x14ac:dyDescent="0.2">
      <c r="A135" s="111" t="s">
        <v>261</v>
      </c>
      <c r="B135" s="658">
        <f>Q74</f>
        <v>354796.52527501795</v>
      </c>
      <c r="C135" s="657">
        <f>'PFF-Zones (Combined)'!B144</f>
        <v>0</v>
      </c>
      <c r="E135" s="576">
        <f t="shared" si="33"/>
        <v>-354796.52527501795</v>
      </c>
      <c r="F135" s="100">
        <f>N73</f>
        <v>243.89660299999997</v>
      </c>
      <c r="G135" s="665">
        <f>'PFF-Zones (Combined)'!C144</f>
        <v>0</v>
      </c>
      <c r="O135" s="169" t="s">
        <v>148</v>
      </c>
      <c r="P135" s="170">
        <v>0.7</v>
      </c>
      <c r="Q135" s="232"/>
      <c r="R135" s="225">
        <v>13.73</v>
      </c>
    </row>
    <row r="136" spans="1:18" x14ac:dyDescent="0.2">
      <c r="A136" s="111" t="s">
        <v>262</v>
      </c>
      <c r="B136" s="658">
        <f>Q86</f>
        <v>7121490.2160884282</v>
      </c>
      <c r="C136" s="657">
        <f>'PFF-Zones (Combined)'!B145</f>
        <v>7504090.4822086226</v>
      </c>
      <c r="E136" s="576">
        <f t="shared" si="33"/>
        <v>382600.26612019446</v>
      </c>
      <c r="F136" s="100">
        <f>N85</f>
        <v>1310.5501158750001</v>
      </c>
      <c r="G136" s="665">
        <f>'PFF-Zones (Combined)'!C145</f>
        <v>1310.5501158750001</v>
      </c>
      <c r="H136" s="668">
        <f t="shared" ref="H136:H137" si="35">G136-F136</f>
        <v>0</v>
      </c>
      <c r="O136" s="169" t="s">
        <v>149</v>
      </c>
      <c r="P136" s="170">
        <v>0.7</v>
      </c>
      <c r="Q136" s="233"/>
      <c r="R136" s="225">
        <v>13.73</v>
      </c>
    </row>
    <row r="137" spans="1:18" x14ac:dyDescent="0.2">
      <c r="A137" s="111" t="s">
        <v>263</v>
      </c>
      <c r="B137" s="659">
        <f>Q108</f>
        <v>1500000</v>
      </c>
      <c r="C137" s="659">
        <f>'PFF-Zones (Combined)'!B146</f>
        <v>1500000</v>
      </c>
      <c r="E137" s="576">
        <f t="shared" si="33"/>
        <v>0</v>
      </c>
      <c r="F137" s="664">
        <f>N107</f>
        <v>532.57735479499991</v>
      </c>
      <c r="G137" s="665">
        <f>'PFF-Zones (Combined)'!C146</f>
        <v>532.57735479499991</v>
      </c>
      <c r="H137" s="668">
        <f t="shared" si="35"/>
        <v>0</v>
      </c>
      <c r="O137" s="169" t="s">
        <v>147</v>
      </c>
      <c r="P137" s="170">
        <v>0.3</v>
      </c>
      <c r="Q137" s="220">
        <v>5</v>
      </c>
      <c r="R137" s="225">
        <v>1</v>
      </c>
    </row>
    <row r="138" spans="1:18" x14ac:dyDescent="0.2">
      <c r="B138" s="657">
        <f>SUM(B130:B137)</f>
        <v>12187073.674607027</v>
      </c>
      <c r="C138" s="657">
        <f>SUM(C130:C137)</f>
        <v>12478019.674297724</v>
      </c>
      <c r="F138" s="100">
        <f>SUM(F130:F137)</f>
        <v>3905.4680249199996</v>
      </c>
      <c r="O138" s="169" t="s">
        <v>152</v>
      </c>
      <c r="P138" s="170">
        <v>0.3</v>
      </c>
      <c r="Q138" s="220">
        <v>2</v>
      </c>
      <c r="R138" s="225">
        <v>2.5</v>
      </c>
    </row>
    <row r="139" spans="1:18" x14ac:dyDescent="0.2">
      <c r="B139" s="657">
        <f>300000+150000+40000</f>
        <v>490000</v>
      </c>
      <c r="O139" s="169" t="s">
        <v>153</v>
      </c>
      <c r="P139" s="170">
        <v>0.3</v>
      </c>
      <c r="Q139" s="220">
        <v>5</v>
      </c>
      <c r="R139" s="225">
        <v>1</v>
      </c>
    </row>
    <row r="140" spans="1:18" x14ac:dyDescent="0.2">
      <c r="B140" s="657">
        <f>B138+B139</f>
        <v>12677073.674607027</v>
      </c>
      <c r="O140" s="169" t="s">
        <v>154</v>
      </c>
      <c r="P140" s="170">
        <v>0.5</v>
      </c>
      <c r="Q140" s="220">
        <v>10</v>
      </c>
      <c r="R140" s="225">
        <v>0.93</v>
      </c>
    </row>
    <row r="141" spans="1:18" x14ac:dyDescent="0.2">
      <c r="O141" s="169" t="s">
        <v>155</v>
      </c>
      <c r="P141" s="170">
        <v>0.1</v>
      </c>
      <c r="Q141" s="231"/>
      <c r="R141" s="225">
        <v>0</v>
      </c>
    </row>
    <row r="142" spans="1:18" x14ac:dyDescent="0.2">
      <c r="O142" s="169" t="s">
        <v>156</v>
      </c>
      <c r="P142" s="170">
        <v>0.1</v>
      </c>
      <c r="Q142" s="233"/>
      <c r="R142" s="225">
        <v>1</v>
      </c>
    </row>
    <row r="143" spans="1:18" x14ac:dyDescent="0.2">
      <c r="O143" s="169" t="s">
        <v>230</v>
      </c>
      <c r="P143" s="170">
        <v>0.3</v>
      </c>
      <c r="Q143" s="220">
        <v>5</v>
      </c>
      <c r="R143" s="225">
        <v>1</v>
      </c>
    </row>
    <row r="144" spans="1:18" x14ac:dyDescent="0.2">
      <c r="O144" s="169" t="s">
        <v>157</v>
      </c>
      <c r="P144" s="170">
        <v>0.7</v>
      </c>
      <c r="Q144" s="231"/>
      <c r="R144" s="225">
        <v>13.73</v>
      </c>
    </row>
    <row r="145" spans="15:18" x14ac:dyDescent="0.2">
      <c r="O145" s="169" t="s">
        <v>150</v>
      </c>
      <c r="P145" s="170">
        <v>0.9</v>
      </c>
      <c r="Q145" s="232"/>
      <c r="R145" s="225">
        <v>17.649999999999999</v>
      </c>
    </row>
    <row r="146" spans="15:18" x14ac:dyDescent="0.2">
      <c r="O146" s="169" t="s">
        <v>151</v>
      </c>
      <c r="P146" s="170">
        <v>0.9</v>
      </c>
      <c r="Q146" s="232"/>
      <c r="R146" s="225">
        <v>17.649999999999999</v>
      </c>
    </row>
    <row r="147" spans="15:18" ht="13.5" thickBot="1" x14ac:dyDescent="0.25">
      <c r="O147" s="172" t="s">
        <v>159</v>
      </c>
      <c r="P147" s="173">
        <v>0.7</v>
      </c>
      <c r="Q147" s="234"/>
      <c r="R147" s="226">
        <v>13.73</v>
      </c>
    </row>
  </sheetData>
  <mergeCells count="61">
    <mergeCell ref="O3:P3"/>
    <mergeCell ref="Q4:Q6"/>
    <mergeCell ref="O2:P2"/>
    <mergeCell ref="L3:L11"/>
    <mergeCell ref="M3:M11"/>
    <mergeCell ref="N3:N11"/>
    <mergeCell ref="A3:A11"/>
    <mergeCell ref="L34:L47"/>
    <mergeCell ref="M34:M47"/>
    <mergeCell ref="N34:N47"/>
    <mergeCell ref="A15:A31"/>
    <mergeCell ref="A34:A47"/>
    <mergeCell ref="L15:L31"/>
    <mergeCell ref="M15:M31"/>
    <mergeCell ref="C13:G13"/>
    <mergeCell ref="G125:H125"/>
    <mergeCell ref="G126:H126"/>
    <mergeCell ref="Q16:Q19"/>
    <mergeCell ref="G123:H123"/>
    <mergeCell ref="E122:H122"/>
    <mergeCell ref="Q35:Q39"/>
    <mergeCell ref="O44:P47"/>
    <mergeCell ref="O115:P118"/>
    <mergeCell ref="N107:N118"/>
    <mergeCell ref="M107:M118"/>
    <mergeCell ref="Q108:Q110"/>
    <mergeCell ref="O107:P107"/>
    <mergeCell ref="G124:H124"/>
    <mergeCell ref="O34:P34"/>
    <mergeCell ref="Q51:Q55"/>
    <mergeCell ref="Q62:Q67"/>
    <mergeCell ref="A85:A103"/>
    <mergeCell ref="N85:N103"/>
    <mergeCell ref="O97:P103"/>
    <mergeCell ref="O85:P85"/>
    <mergeCell ref="O120:R120"/>
    <mergeCell ref="L85:L103"/>
    <mergeCell ref="A107:A118"/>
    <mergeCell ref="L107:L118"/>
    <mergeCell ref="M85:M103"/>
    <mergeCell ref="A119:B119"/>
    <mergeCell ref="Q86:Q92"/>
    <mergeCell ref="A50:A56"/>
    <mergeCell ref="A61:A70"/>
    <mergeCell ref="A73:A79"/>
    <mergeCell ref="L73:L79"/>
    <mergeCell ref="M73:M79"/>
    <mergeCell ref="L50:L56"/>
    <mergeCell ref="L61:L70"/>
    <mergeCell ref="O15:P15"/>
    <mergeCell ref="O24:P31"/>
    <mergeCell ref="N15:N31"/>
    <mergeCell ref="N50:N56"/>
    <mergeCell ref="O50:P50"/>
    <mergeCell ref="Q74:Q79"/>
    <mergeCell ref="M50:M56"/>
    <mergeCell ref="M61:M70"/>
    <mergeCell ref="N73:N79"/>
    <mergeCell ref="O73:P73"/>
    <mergeCell ref="N61:N70"/>
    <mergeCell ref="O61:P61"/>
  </mergeCells>
  <phoneticPr fontId="2" type="noConversion"/>
  <pageMargins left="0.75" right="0.75" top="1" bottom="1" header="0.5" footer="0.5"/>
  <pageSetup paperSize="3" orientation="landscape" r:id="rId1"/>
  <headerFooter alignWithMargins="0">
    <oddFooter>&amp;C- &amp;P -
&amp;F</oddFooter>
  </headerFooter>
  <rowBreaks count="2" manualBreakCount="2">
    <brk id="49" max="16" man="1"/>
    <brk id="8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8"/>
  <sheetViews>
    <sheetView tabSelected="1" zoomScaleNormal="100" workbookViewId="0">
      <pane xSplit="1" ySplit="10" topLeftCell="B21" activePane="bottomRight" state="frozen"/>
      <selection pane="topRight" activeCell="B1" sqref="B1"/>
      <selection pane="bottomLeft" activeCell="A13" sqref="A13"/>
      <selection pane="bottomRight" activeCell="B30" sqref="B30"/>
    </sheetView>
  </sheetViews>
  <sheetFormatPr defaultRowHeight="12.75" x14ac:dyDescent="0.2"/>
  <cols>
    <col min="1" max="1" width="35.7109375" customWidth="1"/>
    <col min="2" max="2" width="10.140625" customWidth="1"/>
    <col min="3" max="3" width="11.140625" customWidth="1"/>
    <col min="4" max="4" width="10.42578125" hidden="1" customWidth="1"/>
    <col min="5" max="5" width="15.5703125" customWidth="1"/>
    <col min="6" max="6" width="11.42578125" bestFit="1" customWidth="1"/>
    <col min="7" max="7" width="10.42578125" bestFit="1" customWidth="1"/>
    <col min="8" max="8" width="7.85546875" hidden="1" customWidth="1"/>
    <col min="9" max="9" width="11.42578125" bestFit="1" customWidth="1"/>
    <col min="10" max="10" width="22.7109375" bestFit="1" customWidth="1"/>
  </cols>
  <sheetData>
    <row r="1" spans="1:13" x14ac:dyDescent="0.2">
      <c r="A1" s="581" t="s">
        <v>390</v>
      </c>
      <c r="B1" s="581"/>
      <c r="C1" s="581"/>
      <c r="D1" s="581"/>
      <c r="E1" s="581"/>
      <c r="F1" s="581"/>
      <c r="G1" s="581"/>
      <c r="H1" s="581"/>
      <c r="I1" s="581"/>
      <c r="J1" s="752" t="s">
        <v>405</v>
      </c>
      <c r="K1" s="581"/>
      <c r="L1" s="581"/>
      <c r="M1" s="581"/>
    </row>
    <row r="2" spans="1:13" x14ac:dyDescent="0.2">
      <c r="A2" s="581" t="s">
        <v>406</v>
      </c>
      <c r="B2" s="581"/>
      <c r="C2" s="581"/>
      <c r="D2" s="581"/>
      <c r="E2" s="581"/>
      <c r="F2" s="581"/>
      <c r="G2" s="581"/>
      <c r="H2" s="581"/>
      <c r="I2" s="581"/>
      <c r="J2" s="816" t="s">
        <v>606</v>
      </c>
      <c r="K2" s="581"/>
      <c r="L2" s="581"/>
      <c r="M2" s="581"/>
    </row>
    <row r="3" spans="1:13" x14ac:dyDescent="0.2">
      <c r="A3" s="581" t="s">
        <v>438</v>
      </c>
      <c r="B3" s="581"/>
      <c r="C3" s="581"/>
      <c r="D3" s="581"/>
      <c r="E3" s="581"/>
      <c r="F3" s="581"/>
      <c r="G3" s="581"/>
      <c r="H3" s="581"/>
      <c r="I3" s="581"/>
      <c r="J3" s="874">
        <v>41289</v>
      </c>
      <c r="K3" s="581"/>
      <c r="L3" s="581"/>
      <c r="M3" s="581"/>
    </row>
    <row r="4" spans="1:13" x14ac:dyDescent="0.2">
      <c r="A4" s="581" t="s">
        <v>407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</row>
    <row r="5" spans="1:13" x14ac:dyDescent="0.2">
      <c r="A5" s="581"/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</row>
    <row r="6" spans="1:13" x14ac:dyDescent="0.2">
      <c r="A6" s="581"/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</row>
    <row r="7" spans="1:13" x14ac:dyDescent="0.2">
      <c r="A7" s="581"/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</row>
    <row r="8" spans="1:13" x14ac:dyDescent="0.2">
      <c r="A8" s="581"/>
      <c r="B8" s="753" t="s">
        <v>239</v>
      </c>
      <c r="C8" s="880" t="s">
        <v>595</v>
      </c>
      <c r="D8" s="753" t="s">
        <v>258</v>
      </c>
      <c r="E8" s="753" t="s">
        <v>410</v>
      </c>
      <c r="F8" s="753" t="s">
        <v>262</v>
      </c>
      <c r="G8" s="753" t="s">
        <v>263</v>
      </c>
      <c r="H8" s="753" t="s">
        <v>409</v>
      </c>
      <c r="I8" s="753"/>
      <c r="J8" s="581"/>
      <c r="K8" s="581"/>
      <c r="L8" s="581"/>
      <c r="M8" s="581"/>
    </row>
    <row r="9" spans="1:13" x14ac:dyDescent="0.2">
      <c r="A9" s="581"/>
      <c r="B9" s="753" t="s">
        <v>361</v>
      </c>
      <c r="C9" s="753" t="s">
        <v>361</v>
      </c>
      <c r="D9" s="753" t="s">
        <v>361</v>
      </c>
      <c r="E9" s="753" t="s">
        <v>361</v>
      </c>
      <c r="F9" s="753" t="s">
        <v>361</v>
      </c>
      <c r="G9" s="753" t="s">
        <v>361</v>
      </c>
      <c r="H9" s="753" t="s">
        <v>361</v>
      </c>
      <c r="I9" s="753"/>
      <c r="J9" s="753" t="s">
        <v>391</v>
      </c>
      <c r="K9" s="581"/>
      <c r="L9" s="581"/>
      <c r="M9" s="581"/>
    </row>
    <row r="10" spans="1:13" x14ac:dyDescent="0.2">
      <c r="A10" s="754" t="s">
        <v>392</v>
      </c>
      <c r="B10" s="755" t="s">
        <v>393</v>
      </c>
      <c r="C10" s="755" t="s">
        <v>393</v>
      </c>
      <c r="D10" s="755" t="s">
        <v>393</v>
      </c>
      <c r="E10" s="755" t="s">
        <v>393</v>
      </c>
      <c r="F10" s="755" t="s">
        <v>393</v>
      </c>
      <c r="G10" s="755" t="s">
        <v>393</v>
      </c>
      <c r="H10" s="755" t="s">
        <v>393</v>
      </c>
      <c r="I10" s="755" t="s">
        <v>357</v>
      </c>
      <c r="J10" s="755" t="s">
        <v>394</v>
      </c>
      <c r="K10" s="581"/>
      <c r="L10" s="581"/>
      <c r="M10" s="581"/>
    </row>
    <row r="11" spans="1:13" x14ac:dyDescent="0.2">
      <c r="A11" s="756"/>
      <c r="B11" s="757"/>
      <c r="C11" s="757"/>
      <c r="D11" s="757"/>
      <c r="E11" s="757"/>
      <c r="F11" s="757"/>
      <c r="G11" s="757"/>
      <c r="H11" s="757"/>
      <c r="I11" s="757"/>
      <c r="J11" s="757"/>
      <c r="K11" s="581"/>
      <c r="L11" s="581"/>
      <c r="M11" s="581"/>
    </row>
    <row r="12" spans="1:13" x14ac:dyDescent="0.2">
      <c r="A12" s="627" t="s">
        <v>395</v>
      </c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</row>
    <row r="13" spans="1:13" x14ac:dyDescent="0.2">
      <c r="A13" s="581" t="s">
        <v>396</v>
      </c>
      <c r="B13" s="581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581"/>
    </row>
    <row r="14" spans="1:13" x14ac:dyDescent="0.2">
      <c r="A14" s="759" t="s">
        <v>397</v>
      </c>
      <c r="B14" s="760">
        <v>0</v>
      </c>
      <c r="C14" s="760">
        <v>0</v>
      </c>
      <c r="D14" s="760">
        <v>0</v>
      </c>
      <c r="E14" s="760">
        <v>0</v>
      </c>
      <c r="F14" s="760">
        <v>0</v>
      </c>
      <c r="G14" s="760">
        <v>0</v>
      </c>
      <c r="H14" s="760">
        <v>0</v>
      </c>
      <c r="I14" s="760">
        <f>SUM(B14:H14)</f>
        <v>0</v>
      </c>
      <c r="J14" s="581"/>
      <c r="K14" s="581"/>
      <c r="L14" s="581"/>
      <c r="M14" s="581"/>
    </row>
    <row r="15" spans="1:13" x14ac:dyDescent="0.2">
      <c r="A15" s="759" t="s">
        <v>398</v>
      </c>
      <c r="B15" s="761">
        <f>'4. Proj Allocations To Zones'!G119</f>
        <v>288983.99563019664</v>
      </c>
      <c r="C15" s="770">
        <f>'4. Proj Allocations To Zones'!H119+'4. Proj Allocations To Zones'!I119</f>
        <v>2159860.1288464139</v>
      </c>
      <c r="D15" s="877">
        <v>0</v>
      </c>
      <c r="E15" s="761">
        <f>'4. Proj Allocations To Zones'!J119+'4. Proj Allocations To Zones'!K119+'4. Proj Allocations To Zones'!L119</f>
        <v>1465928.1840773313</v>
      </c>
      <c r="F15" s="761">
        <f>'4. Proj Allocations To Zones'!M119</f>
        <v>7222301.3660530858</v>
      </c>
      <c r="G15" s="761">
        <f>'4. Proj Allocations To Zones'!N119</f>
        <v>1540000</v>
      </c>
      <c r="H15" s="761">
        <v>0</v>
      </c>
      <c r="I15" s="761">
        <f>SUM(B15:H15)</f>
        <v>12677073.674607027</v>
      </c>
      <c r="J15" s="581" t="s">
        <v>424</v>
      </c>
      <c r="K15" s="581"/>
      <c r="L15" s="581"/>
      <c r="M15" s="581"/>
    </row>
    <row r="16" spans="1:13" x14ac:dyDescent="0.2">
      <c r="A16" s="759" t="s">
        <v>399</v>
      </c>
      <c r="B16" s="762">
        <f>SUM(B14:B15)</f>
        <v>288983.99563019664</v>
      </c>
      <c r="C16" s="762">
        <f>SUM(C14:C15)</f>
        <v>2159860.1288464139</v>
      </c>
      <c r="D16" s="762">
        <f>SUM(D14:D15)</f>
        <v>0</v>
      </c>
      <c r="E16" s="762">
        <f>SUM(E14:E15)</f>
        <v>1465928.1840773313</v>
      </c>
      <c r="F16" s="762">
        <f t="shared" ref="F16:G16" si="0">SUM(F14:F15)</f>
        <v>7222301.3660530858</v>
      </c>
      <c r="G16" s="762">
        <f t="shared" si="0"/>
        <v>1540000</v>
      </c>
      <c r="H16" s="762">
        <f>SUM(H14:H15)</f>
        <v>0</v>
      </c>
      <c r="I16" s="760">
        <f>SUM(B16:H16)</f>
        <v>12677073.674607027</v>
      </c>
      <c r="J16" s="763"/>
      <c r="K16" s="581"/>
      <c r="L16" s="581"/>
      <c r="M16" s="581"/>
    </row>
    <row r="17" spans="1:13" x14ac:dyDescent="0.2">
      <c r="A17" s="581"/>
      <c r="B17" s="581"/>
      <c r="C17" s="581"/>
      <c r="D17" s="581"/>
      <c r="E17" s="581"/>
      <c r="F17" s="581"/>
      <c r="G17" s="581"/>
      <c r="H17" s="581"/>
      <c r="I17" s="581"/>
      <c r="J17" s="581"/>
      <c r="K17" s="581"/>
      <c r="L17" s="581"/>
      <c r="M17" s="581"/>
    </row>
    <row r="18" spans="1:13" x14ac:dyDescent="0.2">
      <c r="A18" s="881" t="s">
        <v>569</v>
      </c>
      <c r="B18" s="706">
        <f>B16*0.12</f>
        <v>34678.079475623599</v>
      </c>
      <c r="C18" s="706">
        <f t="shared" ref="C18:G18" si="1">C16*0.12</f>
        <v>259183.21546156966</v>
      </c>
      <c r="D18" s="706">
        <f t="shared" si="1"/>
        <v>0</v>
      </c>
      <c r="E18" s="706">
        <f t="shared" si="1"/>
        <v>175911.38208927977</v>
      </c>
      <c r="F18" s="706">
        <f t="shared" si="1"/>
        <v>866676.16392637021</v>
      </c>
      <c r="G18" s="706">
        <f t="shared" si="1"/>
        <v>184800</v>
      </c>
      <c r="H18" s="706">
        <f t="shared" ref="H18" si="2">H16*0.19</f>
        <v>0</v>
      </c>
      <c r="I18" s="760">
        <f>SUM(B18:H18)</f>
        <v>1521248.8409528432</v>
      </c>
      <c r="J18" s="581" t="s">
        <v>499</v>
      </c>
      <c r="K18" s="581"/>
      <c r="L18" s="581"/>
      <c r="M18" s="581"/>
    </row>
    <row r="19" spans="1:13" x14ac:dyDescent="0.2">
      <c r="A19" s="581"/>
      <c r="B19" s="581"/>
      <c r="C19" s="581"/>
      <c r="D19" s="581"/>
      <c r="E19" s="581"/>
      <c r="F19" s="581"/>
      <c r="G19" s="581"/>
      <c r="H19" s="581"/>
      <c r="I19" s="581"/>
      <c r="J19" s="581"/>
      <c r="K19" s="581"/>
      <c r="L19" s="581"/>
      <c r="M19" s="581"/>
    </row>
    <row r="20" spans="1:13" x14ac:dyDescent="0.2">
      <c r="A20" s="581" t="s">
        <v>435</v>
      </c>
      <c r="B20" s="764">
        <v>0</v>
      </c>
      <c r="C20" s="764">
        <v>0</v>
      </c>
      <c r="D20" s="764">
        <v>0</v>
      </c>
      <c r="E20" s="764">
        <v>0</v>
      </c>
      <c r="F20" s="764">
        <v>0</v>
      </c>
      <c r="G20" s="764">
        <v>0</v>
      </c>
      <c r="H20" s="764">
        <v>0</v>
      </c>
      <c r="I20" s="765">
        <f>SUM(B20:H20)</f>
        <v>0</v>
      </c>
      <c r="J20" s="581"/>
      <c r="K20" s="581"/>
      <c r="L20" s="581"/>
      <c r="M20" s="581"/>
    </row>
    <row r="21" spans="1:13" x14ac:dyDescent="0.2">
      <c r="A21" s="581"/>
      <c r="B21" s="766"/>
      <c r="C21" s="766"/>
      <c r="D21" s="766"/>
      <c r="E21" s="766"/>
      <c r="F21" s="766"/>
      <c r="G21" s="766"/>
      <c r="H21" s="766"/>
      <c r="I21" s="761"/>
      <c r="J21" s="581"/>
      <c r="K21" s="581"/>
      <c r="L21" s="581"/>
      <c r="M21" s="581"/>
    </row>
    <row r="22" spans="1:13" x14ac:dyDescent="0.2">
      <c r="A22" s="581"/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</row>
    <row r="23" spans="1:13" x14ac:dyDescent="0.2">
      <c r="A23" s="581" t="s">
        <v>437</v>
      </c>
      <c r="B23" s="764">
        <f>B16+B20+B18</f>
        <v>323662.07510582026</v>
      </c>
      <c r="C23" s="764">
        <f t="shared" ref="C23:H23" si="3">C16+C20+C18</f>
        <v>2419043.3443079838</v>
      </c>
      <c r="D23" s="764">
        <f t="shared" si="3"/>
        <v>0</v>
      </c>
      <c r="E23" s="764">
        <f t="shared" si="3"/>
        <v>1641839.5661666112</v>
      </c>
      <c r="F23" s="764">
        <f t="shared" si="3"/>
        <v>8088977.5299794562</v>
      </c>
      <c r="G23" s="764">
        <f t="shared" si="3"/>
        <v>1724800</v>
      </c>
      <c r="H23" s="764">
        <f t="shared" si="3"/>
        <v>0</v>
      </c>
      <c r="I23" s="765">
        <f>SUM(B23:H23)</f>
        <v>14198322.515559871</v>
      </c>
      <c r="J23" s="581"/>
      <c r="K23" s="581"/>
      <c r="L23" s="581"/>
      <c r="M23" s="581"/>
    </row>
    <row r="24" spans="1:13" x14ac:dyDescent="0.2">
      <c r="A24" s="759" t="s">
        <v>436</v>
      </c>
      <c r="B24" s="767">
        <f t="shared" ref="B24:I24" si="4">B23/$I$23</f>
        <v>2.2795796809878113E-2</v>
      </c>
      <c r="C24" s="767">
        <f t="shared" si="4"/>
        <v>0.17037529198656856</v>
      </c>
      <c r="D24" s="767">
        <f t="shared" si="4"/>
        <v>0</v>
      </c>
      <c r="E24" s="767">
        <f t="shared" si="4"/>
        <v>0.1156361650728336</v>
      </c>
      <c r="F24" s="767">
        <f t="shared" ref="F24:G24" si="5">F23/$I$23</f>
        <v>0.56971360673873872</v>
      </c>
      <c r="G24" s="767">
        <f t="shared" si="5"/>
        <v>0.121479139391981</v>
      </c>
      <c r="H24" s="767">
        <f t="shared" si="4"/>
        <v>0</v>
      </c>
      <c r="I24" s="767">
        <f t="shared" si="4"/>
        <v>1</v>
      </c>
      <c r="J24" s="581"/>
      <c r="K24" s="581"/>
      <c r="L24" s="581"/>
      <c r="M24" s="581"/>
    </row>
    <row r="25" spans="1:13" x14ac:dyDescent="0.2">
      <c r="A25" s="759"/>
      <c r="B25" s="767"/>
      <c r="C25" s="767"/>
      <c r="D25" s="767"/>
      <c r="E25" s="767"/>
      <c r="F25" s="767"/>
      <c r="G25" s="767"/>
      <c r="H25" s="767"/>
      <c r="I25" s="581"/>
      <c r="J25" s="581"/>
      <c r="K25" s="581"/>
      <c r="L25" s="581"/>
      <c r="M25" s="581"/>
    </row>
    <row r="26" spans="1:13" x14ac:dyDescent="0.2">
      <c r="A26" s="627" t="s">
        <v>433</v>
      </c>
      <c r="B26" s="756"/>
      <c r="C26" s="756"/>
      <c r="D26" s="756"/>
      <c r="E26" s="756"/>
      <c r="F26" s="756"/>
      <c r="G26" s="756"/>
      <c r="H26" s="756"/>
      <c r="I26" s="756"/>
      <c r="J26" s="581"/>
      <c r="K26" s="581"/>
      <c r="L26" s="581"/>
      <c r="M26" s="581"/>
    </row>
    <row r="27" spans="1:13" x14ac:dyDescent="0.2">
      <c r="A27" s="581" t="s">
        <v>437</v>
      </c>
      <c r="B27" s="708">
        <f>(B23/1000)*'6. Finance Assumptions'!$B$16*'6. Finance Assumptions'!$B$12</f>
        <v>109882.51997807251</v>
      </c>
      <c r="C27" s="708">
        <f>(C23/1000)*'6. Finance Assumptions'!$B$16*'6. Finance Assumptions'!$B$12</f>
        <v>821259.57612376893</v>
      </c>
      <c r="D27" s="708">
        <f>(D23/1000)*'6. Finance Assumptions'!$B$16*'6. Finance Assumptions'!$B$12</f>
        <v>0</v>
      </c>
      <c r="E27" s="708">
        <f>(E23/1000)*'6. Finance Assumptions'!$B$16*'6. Finance Assumptions'!$B$12</f>
        <v>557400.70526059717</v>
      </c>
      <c r="F27" s="708">
        <f>(F23/1000)*'6. Finance Assumptions'!$B$16*'6. Finance Assumptions'!$B$12</f>
        <v>2746189.0144205028</v>
      </c>
      <c r="G27" s="708">
        <f>(G23/1000)*'6. Finance Assumptions'!$B$16*'6. Finance Assumptions'!$B$12</f>
        <v>585565.5791498425</v>
      </c>
      <c r="H27" s="708">
        <f>(H23/1000)*'6. Finance Assumptions'!$B$16*'6. Finance Assumptions'!$B$12</f>
        <v>0</v>
      </c>
      <c r="I27" s="761">
        <f>SUM(B27:H27)</f>
        <v>4820297.3949327841</v>
      </c>
      <c r="J27" s="581" t="s">
        <v>497</v>
      </c>
      <c r="K27" s="581"/>
      <c r="L27" s="581"/>
      <c r="M27" s="581"/>
    </row>
    <row r="28" spans="1:13" x14ac:dyDescent="0.2">
      <c r="A28" s="759" t="s">
        <v>498</v>
      </c>
      <c r="B28" s="762">
        <f t="shared" ref="B28:H28" si="6">SUM(B27:B27)</f>
        <v>109882.51997807251</v>
      </c>
      <c r="C28" s="762">
        <f t="shared" si="6"/>
        <v>821259.57612376893</v>
      </c>
      <c r="D28" s="762">
        <f t="shared" si="6"/>
        <v>0</v>
      </c>
      <c r="E28" s="762">
        <f t="shared" si="6"/>
        <v>557400.70526059717</v>
      </c>
      <c r="F28" s="762">
        <f t="shared" si="6"/>
        <v>2746189.0144205028</v>
      </c>
      <c r="G28" s="762">
        <f t="shared" si="6"/>
        <v>585565.5791498425</v>
      </c>
      <c r="H28" s="762">
        <f t="shared" si="6"/>
        <v>0</v>
      </c>
      <c r="I28" s="760">
        <f>SUM(B28:H28)</f>
        <v>4820297.3949327841</v>
      </c>
      <c r="J28" s="763"/>
      <c r="K28" s="581"/>
      <c r="L28" s="581"/>
      <c r="M28" s="581"/>
    </row>
    <row r="29" spans="1:13" x14ac:dyDescent="0.2">
      <c r="A29" s="759" t="s">
        <v>514</v>
      </c>
      <c r="B29" s="767">
        <f>IF(B23&gt;0,B28/B23,0)</f>
        <v>0.33949766880208865</v>
      </c>
      <c r="C29" s="767">
        <f t="shared" ref="C29:I29" si="7">IF(C23&gt;0,C28/C23,0)</f>
        <v>0.3394976688020887</v>
      </c>
      <c r="D29" s="767">
        <f t="shared" si="7"/>
        <v>0</v>
      </c>
      <c r="E29" s="767">
        <f t="shared" si="7"/>
        <v>0.3394976688020887</v>
      </c>
      <c r="F29" s="767">
        <f t="shared" si="7"/>
        <v>0.3394976688020887</v>
      </c>
      <c r="G29" s="767">
        <f t="shared" si="7"/>
        <v>0.33949766880208865</v>
      </c>
      <c r="H29" s="767">
        <f t="shared" si="7"/>
        <v>0</v>
      </c>
      <c r="I29" s="767">
        <f t="shared" si="7"/>
        <v>0.3394976688020887</v>
      </c>
      <c r="J29" s="581"/>
      <c r="K29" s="581"/>
      <c r="L29" s="581"/>
      <c r="M29" s="581"/>
    </row>
    <row r="30" spans="1:13" x14ac:dyDescent="0.2">
      <c r="A30" s="759"/>
      <c r="B30" s="706"/>
      <c r="C30" s="706"/>
      <c r="D30" s="706"/>
      <c r="E30" s="706"/>
      <c r="F30" s="706"/>
      <c r="G30" s="706"/>
      <c r="H30" s="706"/>
      <c r="I30" s="767"/>
      <c r="J30" s="581"/>
      <c r="K30" s="581"/>
      <c r="L30" s="581"/>
      <c r="M30" s="581"/>
    </row>
    <row r="31" spans="1:13" x14ac:dyDescent="0.2">
      <c r="A31" s="627" t="s">
        <v>401</v>
      </c>
      <c r="B31" s="767"/>
      <c r="C31" s="767"/>
      <c r="D31" s="767"/>
      <c r="E31" s="767"/>
      <c r="F31" s="767"/>
      <c r="G31" s="767"/>
      <c r="H31" s="767"/>
      <c r="I31" s="581"/>
      <c r="J31" s="581"/>
      <c r="K31" s="581"/>
      <c r="L31" s="581"/>
      <c r="M31" s="581"/>
    </row>
    <row r="32" spans="1:13" x14ac:dyDescent="0.2">
      <c r="A32" s="581" t="s">
        <v>565</v>
      </c>
      <c r="B32" s="815">
        <f>B$24*I32</f>
        <v>59269.071705683091</v>
      </c>
      <c r="C32" s="815">
        <f>C$24*I32</f>
        <v>442975.75916507829</v>
      </c>
      <c r="D32" s="815">
        <f>D$24*I32</f>
        <v>0</v>
      </c>
      <c r="E32" s="815">
        <f>E$24*I32</f>
        <v>300654.02918936737</v>
      </c>
      <c r="F32" s="815">
        <f>F$24*I32</f>
        <v>1481255.3775207207</v>
      </c>
      <c r="G32" s="815">
        <f>G$24*I32</f>
        <v>315845.76241915062</v>
      </c>
      <c r="H32" s="815">
        <f>H$24*I32</f>
        <v>0</v>
      </c>
      <c r="I32" s="768">
        <f>'[1]Sum 1. City Admin Costs Summary'!$E$22</f>
        <v>2600000</v>
      </c>
      <c r="J32" s="814" t="s">
        <v>566</v>
      </c>
      <c r="K32" s="581"/>
      <c r="L32" s="581"/>
      <c r="M32" s="581"/>
    </row>
    <row r="33" spans="1:13" x14ac:dyDescent="0.2">
      <c r="A33" s="759" t="s">
        <v>564</v>
      </c>
      <c r="B33" s="806">
        <f>B23*0.03</f>
        <v>9709.8622531746078</v>
      </c>
      <c r="C33" s="806">
        <f t="shared" ref="C33:G33" si="8">C23*0.03</f>
        <v>72571.300329239515</v>
      </c>
      <c r="D33" s="806">
        <f t="shared" si="8"/>
        <v>0</v>
      </c>
      <c r="E33" s="806">
        <f t="shared" si="8"/>
        <v>49255.186984998334</v>
      </c>
      <c r="F33" s="806">
        <f t="shared" si="8"/>
        <v>242669.32589938366</v>
      </c>
      <c r="G33" s="806">
        <f t="shared" si="8"/>
        <v>51744</v>
      </c>
      <c r="H33" s="806">
        <f>H23*0.02</f>
        <v>0</v>
      </c>
      <c r="I33" s="761">
        <f>SUM(B33:H33)</f>
        <v>425949.67546679615</v>
      </c>
      <c r="J33" s="581" t="s">
        <v>547</v>
      </c>
      <c r="K33" s="581"/>
      <c r="L33" s="581"/>
      <c r="M33" s="581"/>
    </row>
    <row r="34" spans="1:13" x14ac:dyDescent="0.2">
      <c r="A34" s="814" t="s">
        <v>550</v>
      </c>
      <c r="B34" s="758">
        <f t="shared" ref="B34:I34" si="9">SUM(B31:B33)</f>
        <v>68978.933958857699</v>
      </c>
      <c r="C34" s="758">
        <f t="shared" si="9"/>
        <v>515547.0594943178</v>
      </c>
      <c r="D34" s="758">
        <f t="shared" si="9"/>
        <v>0</v>
      </c>
      <c r="E34" s="758">
        <f t="shared" si="9"/>
        <v>349909.21617436572</v>
      </c>
      <c r="F34" s="758">
        <f t="shared" si="9"/>
        <v>1723924.7034201045</v>
      </c>
      <c r="G34" s="758">
        <f t="shared" si="9"/>
        <v>367589.76241915062</v>
      </c>
      <c r="H34" s="758">
        <f t="shared" si="9"/>
        <v>0</v>
      </c>
      <c r="I34" s="758">
        <f t="shared" si="9"/>
        <v>3025949.6754667964</v>
      </c>
      <c r="J34" s="581"/>
      <c r="K34" s="581"/>
      <c r="L34" s="581"/>
      <c r="M34" s="581"/>
    </row>
    <row r="35" spans="1:13" x14ac:dyDescent="0.2">
      <c r="A35" s="581"/>
      <c r="B35" s="758"/>
      <c r="C35" s="758"/>
      <c r="D35" s="758"/>
      <c r="E35" s="758"/>
      <c r="F35" s="758"/>
      <c r="G35" s="758"/>
      <c r="H35" s="758"/>
      <c r="I35" s="760"/>
      <c r="J35" s="581"/>
      <c r="K35" s="581"/>
      <c r="L35" s="581"/>
      <c r="M35" s="581"/>
    </row>
    <row r="36" spans="1:13" x14ac:dyDescent="0.2">
      <c r="A36" s="627" t="s">
        <v>402</v>
      </c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</row>
    <row r="37" spans="1:13" x14ac:dyDescent="0.2">
      <c r="A37" s="581" t="s">
        <v>403</v>
      </c>
      <c r="B37" s="875">
        <v>0</v>
      </c>
      <c r="C37" s="875">
        <v>-678937</v>
      </c>
      <c r="D37" s="875">
        <v>0</v>
      </c>
      <c r="E37" s="875">
        <v>-486480</v>
      </c>
      <c r="F37" s="875">
        <v>-2236041</v>
      </c>
      <c r="G37" s="875">
        <v>0</v>
      </c>
      <c r="H37" s="875">
        <v>0</v>
      </c>
      <c r="I37" s="876">
        <f>SUM(B37:H37)</f>
        <v>-3401458</v>
      </c>
      <c r="J37" s="814" t="s">
        <v>594</v>
      </c>
      <c r="K37" s="581"/>
      <c r="L37" s="581"/>
      <c r="M37" s="581"/>
    </row>
    <row r="38" spans="1:13" x14ac:dyDescent="0.2">
      <c r="A38" s="581" t="s">
        <v>548</v>
      </c>
      <c r="B38" s="769">
        <v>0</v>
      </c>
      <c r="C38" s="769">
        <v>0</v>
      </c>
      <c r="D38" s="769">
        <v>0</v>
      </c>
      <c r="E38" s="769">
        <v>0</v>
      </c>
      <c r="F38" s="769">
        <v>0</v>
      </c>
      <c r="G38" s="769">
        <v>0</v>
      </c>
      <c r="H38" s="769">
        <v>0</v>
      </c>
      <c r="I38" s="770">
        <f>SUM(B38:H38)</f>
        <v>0</v>
      </c>
      <c r="J38" s="581"/>
      <c r="K38" s="581"/>
      <c r="L38" s="581"/>
      <c r="M38" s="581"/>
    </row>
    <row r="39" spans="1:13" x14ac:dyDescent="0.2">
      <c r="A39" s="581" t="s">
        <v>434</v>
      </c>
      <c r="B39" s="758">
        <f t="shared" ref="B39:I39" si="10">SUM(B36:B38)</f>
        <v>0</v>
      </c>
      <c r="C39" s="758">
        <f t="shared" si="10"/>
        <v>-678937</v>
      </c>
      <c r="D39" s="758">
        <f t="shared" si="10"/>
        <v>0</v>
      </c>
      <c r="E39" s="758">
        <f t="shared" si="10"/>
        <v>-486480</v>
      </c>
      <c r="F39" s="758">
        <f t="shared" si="10"/>
        <v>-2236041</v>
      </c>
      <c r="G39" s="758">
        <f t="shared" si="10"/>
        <v>0</v>
      </c>
      <c r="H39" s="758">
        <f t="shared" si="10"/>
        <v>0</v>
      </c>
      <c r="I39" s="758">
        <f t="shared" si="10"/>
        <v>-3401458</v>
      </c>
      <c r="J39" s="581"/>
      <c r="K39" s="581"/>
      <c r="L39" s="581"/>
      <c r="M39" s="581"/>
    </row>
    <row r="40" spans="1:13" x14ac:dyDescent="0.2">
      <c r="A40" s="581"/>
      <c r="B40" s="754"/>
      <c r="C40" s="754"/>
      <c r="D40" s="754"/>
      <c r="E40" s="754"/>
      <c r="F40" s="754"/>
      <c r="G40" s="754"/>
      <c r="H40" s="754"/>
      <c r="I40" s="754"/>
      <c r="J40" s="581"/>
      <c r="K40" s="581"/>
      <c r="L40" s="581"/>
      <c r="M40" s="581"/>
    </row>
    <row r="41" spans="1:13" x14ac:dyDescent="0.2">
      <c r="A41" s="581" t="s">
        <v>412</v>
      </c>
      <c r="B41" s="771">
        <f t="shared" ref="B41:I41" si="11">B23+B34+B28-B39</f>
        <v>502523.52904275048</v>
      </c>
      <c r="C41" s="771">
        <f t="shared" si="11"/>
        <v>4434786.9799260702</v>
      </c>
      <c r="D41" s="771">
        <f t="shared" si="11"/>
        <v>0</v>
      </c>
      <c r="E41" s="771">
        <f t="shared" si="11"/>
        <v>3035629.487601574</v>
      </c>
      <c r="F41" s="771">
        <f t="shared" si="11"/>
        <v>14795132.247820064</v>
      </c>
      <c r="G41" s="771">
        <f t="shared" si="11"/>
        <v>2677955.3415689934</v>
      </c>
      <c r="H41" s="771">
        <f t="shared" si="11"/>
        <v>0</v>
      </c>
      <c r="I41" s="771">
        <f t="shared" si="11"/>
        <v>25446027.585959449</v>
      </c>
      <c r="J41" s="581"/>
      <c r="K41" s="581"/>
      <c r="L41" s="581"/>
      <c r="M41" s="581"/>
    </row>
    <row r="42" spans="1:13" x14ac:dyDescent="0.2">
      <c r="A42" s="581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1"/>
    </row>
    <row r="43" spans="1:13" hidden="1" x14ac:dyDescent="0.2">
      <c r="A43" s="581" t="s">
        <v>411</v>
      </c>
      <c r="B43" s="706">
        <f>'5. Vacant Land + Dev Summary'!BV43</f>
        <v>13271.507112499999</v>
      </c>
      <c r="C43" s="879">
        <f>'5. Vacant Land + Dev Summary'!BW43+'5. Vacant Land + Dev Summary'!BX43</f>
        <v>8170.3492666666662</v>
      </c>
      <c r="D43" s="878">
        <v>0</v>
      </c>
      <c r="E43" s="706">
        <f>'5. Vacant Land + Dev Summary'!BY43+'5. Vacant Land + Dev Summary'!BZ43+'5. Vacant Land + Dev Summary'!CA43</f>
        <v>8685.6853333333329</v>
      </c>
      <c r="F43" s="706">
        <f>'5. Vacant Land + Dev Summary'!CB43</f>
        <v>17501.131020833334</v>
      </c>
      <c r="G43" s="706">
        <f>'5. Vacant Land + Dev Summary'!CE43</f>
        <v>7698.2073846666663</v>
      </c>
      <c r="H43" s="706">
        <v>0</v>
      </c>
      <c r="I43" s="706">
        <f>SUM(B43:H43)</f>
        <v>55326.880118000008</v>
      </c>
      <c r="J43" s="581" t="s">
        <v>425</v>
      </c>
      <c r="K43" s="581"/>
      <c r="L43" s="581"/>
      <c r="M43" s="581"/>
    </row>
    <row r="44" spans="1:13" hidden="1" x14ac:dyDescent="0.2">
      <c r="A44" s="581"/>
      <c r="B44" s="581"/>
      <c r="C44" s="581"/>
      <c r="D44" s="581"/>
      <c r="E44" s="581"/>
      <c r="F44" s="581"/>
      <c r="G44" s="581"/>
      <c r="H44" s="581"/>
      <c r="I44" s="581"/>
      <c r="J44" s="581"/>
      <c r="K44" s="581"/>
      <c r="L44" s="581"/>
      <c r="M44" s="581"/>
    </row>
    <row r="45" spans="1:13" hidden="1" x14ac:dyDescent="0.2">
      <c r="A45" s="581" t="s">
        <v>413</v>
      </c>
      <c r="B45" s="799">
        <f>IF(OR(B41=0,B43&lt;0),0,(B41/B43))</f>
        <v>37.864842687643211</v>
      </c>
      <c r="C45" s="799">
        <f>IF(OR(C41=0,C43&lt;0),0,(C41/C43))</f>
        <v>542.79037960091659</v>
      </c>
      <c r="D45" s="799">
        <f t="shared" ref="D45:H45" si="12">IF(OR(D41=0,D43&lt;0),0,(D41/D43))</f>
        <v>0</v>
      </c>
      <c r="E45" s="799">
        <f t="shared" si="12"/>
        <v>349.49798100003017</v>
      </c>
      <c r="F45" s="799">
        <f t="shared" si="12"/>
        <v>845.38149164233721</v>
      </c>
      <c r="G45" s="799">
        <f t="shared" si="12"/>
        <v>347.86739402512853</v>
      </c>
      <c r="H45" s="799">
        <f t="shared" si="12"/>
        <v>0</v>
      </c>
      <c r="I45" s="581"/>
      <c r="J45" s="581"/>
      <c r="K45" s="581"/>
      <c r="L45" s="581"/>
      <c r="M45" s="581"/>
    </row>
    <row r="46" spans="1:13" x14ac:dyDescent="0.2">
      <c r="A46" s="581"/>
      <c r="B46" s="581"/>
      <c r="C46" s="581"/>
      <c r="D46" s="581"/>
      <c r="E46" s="581"/>
      <c r="F46" s="581"/>
      <c r="G46" s="581"/>
      <c r="H46" s="581"/>
      <c r="I46" s="581"/>
      <c r="J46" s="581"/>
      <c r="K46" s="581"/>
      <c r="L46" s="581"/>
      <c r="M46" s="581"/>
    </row>
    <row r="47" spans="1:13" x14ac:dyDescent="0.2">
      <c r="A47" s="814" t="s">
        <v>599</v>
      </c>
      <c r="B47" s="758">
        <f>'5. Vacant Land + Dev Summary'!AL43</f>
        <v>796.29042675000005</v>
      </c>
      <c r="C47" s="758">
        <f>'5. Vacant Land + Dev Summary'!AM43+'5. Vacant Land + Dev Summary'!AN43</f>
        <v>490.220956</v>
      </c>
      <c r="D47" s="758"/>
      <c r="E47" s="758">
        <f>'5. Vacant Land + Dev Summary'!AO43+'5. Vacant Land + Dev Summary'!AP43+'5. Vacant Land + Dev Summary'!AQ43</f>
        <v>521.14112</v>
      </c>
      <c r="F47" s="758">
        <f>'5. Vacant Land + Dev Summary'!AR43</f>
        <v>1050.0678612500001</v>
      </c>
      <c r="G47" s="758">
        <f>'5. Vacant Land + Dev Summary'!AU43</f>
        <v>461.89244307999991</v>
      </c>
      <c r="H47" s="758"/>
      <c r="I47" s="706">
        <f>SUM(B47:H47)</f>
        <v>3319.6128070799996</v>
      </c>
      <c r="J47" s="581"/>
      <c r="K47" s="581"/>
      <c r="L47" s="581"/>
      <c r="M47" s="581"/>
    </row>
    <row r="48" spans="1:13" x14ac:dyDescent="0.2">
      <c r="A48" s="814"/>
      <c r="B48" s="884"/>
      <c r="C48" s="884"/>
      <c r="D48" s="581"/>
      <c r="E48" s="884"/>
      <c r="F48" s="884"/>
      <c r="G48" s="884"/>
      <c r="H48" s="581"/>
      <c r="I48" s="581"/>
      <c r="J48" s="581"/>
      <c r="K48" s="581"/>
      <c r="L48" s="581"/>
      <c r="M48" s="581"/>
    </row>
    <row r="49" spans="1:13" x14ac:dyDescent="0.2">
      <c r="A49" s="814" t="s">
        <v>605</v>
      </c>
      <c r="B49" s="799">
        <f>IF(OR(B41=0,B47&lt;0),0,(B41/B47))</f>
        <v>631.08071146072018</v>
      </c>
      <c r="C49" s="799">
        <f t="shared" ref="C49:H49" si="13">IF(OR(C41=0,C47&lt;0),0,(C41/C47))</f>
        <v>9046.5063266819434</v>
      </c>
      <c r="D49" s="799">
        <f t="shared" si="13"/>
        <v>0</v>
      </c>
      <c r="E49" s="799">
        <f t="shared" si="13"/>
        <v>5824.9663500005026</v>
      </c>
      <c r="F49" s="799">
        <f t="shared" si="13"/>
        <v>14089.691527372288</v>
      </c>
      <c r="G49" s="799">
        <f t="shared" si="13"/>
        <v>5797.7899004188093</v>
      </c>
      <c r="H49" s="799">
        <f t="shared" si="13"/>
        <v>0</v>
      </c>
      <c r="I49" s="581"/>
      <c r="J49" s="581"/>
      <c r="K49" s="581"/>
      <c r="L49" s="581"/>
      <c r="M49" s="581"/>
    </row>
    <row r="50" spans="1:13" x14ac:dyDescent="0.2">
      <c r="A50" s="892"/>
      <c r="B50" s="893"/>
      <c r="C50" s="893"/>
      <c r="D50" s="893"/>
      <c r="E50" s="893"/>
      <c r="F50" s="893"/>
      <c r="G50" s="893"/>
      <c r="H50" s="893"/>
      <c r="I50" s="581"/>
      <c r="J50" s="581"/>
      <c r="K50" s="581"/>
      <c r="L50" s="581"/>
      <c r="M50" s="581"/>
    </row>
    <row r="51" spans="1:13" x14ac:dyDescent="0.2">
      <c r="A51" s="581"/>
      <c r="B51" s="581"/>
      <c r="C51" s="581"/>
      <c r="D51" s="581"/>
      <c r="E51" s="581"/>
      <c r="F51" s="581"/>
      <c r="G51" s="581"/>
      <c r="H51" s="581"/>
      <c r="I51" s="581"/>
      <c r="J51" s="581"/>
      <c r="K51" s="581"/>
      <c r="L51" s="581"/>
      <c r="M51" s="581"/>
    </row>
    <row r="52" spans="1:13" x14ac:dyDescent="0.2">
      <c r="A52" s="772" t="s">
        <v>374</v>
      </c>
      <c r="B52" s="896"/>
      <c r="C52" s="896"/>
      <c r="D52" s="896"/>
      <c r="E52" s="896"/>
      <c r="F52" s="896"/>
      <c r="G52" s="896"/>
      <c r="H52" s="581"/>
      <c r="I52" s="581"/>
      <c r="J52" s="581"/>
      <c r="K52" s="581"/>
      <c r="L52" s="581"/>
      <c r="M52" s="581"/>
    </row>
    <row r="53" spans="1:13" x14ac:dyDescent="0.2">
      <c r="A53" s="773" t="s">
        <v>509</v>
      </c>
      <c r="B53" s="581"/>
      <c r="C53" s="581"/>
      <c r="D53" s="581"/>
      <c r="E53" s="581"/>
      <c r="F53" s="581"/>
      <c r="G53" s="581"/>
      <c r="H53" s="581"/>
      <c r="I53" s="581"/>
      <c r="J53" s="581"/>
      <c r="K53" s="581"/>
      <c r="L53" s="581"/>
      <c r="M53" s="581"/>
    </row>
    <row r="54" spans="1:13" x14ac:dyDescent="0.2">
      <c r="A54" s="581" t="s">
        <v>404</v>
      </c>
      <c r="B54" s="581"/>
      <c r="C54" s="581"/>
      <c r="D54" s="581"/>
      <c r="E54" s="581"/>
      <c r="F54" s="581"/>
      <c r="G54" s="581"/>
      <c r="H54" s="581"/>
      <c r="I54" s="581"/>
      <c r="J54" s="581"/>
      <c r="K54" s="581"/>
      <c r="L54" s="581"/>
      <c r="M54" s="581"/>
    </row>
    <row r="55" spans="1:13" x14ac:dyDescent="0.2">
      <c r="A55" s="581" t="s">
        <v>502</v>
      </c>
      <c r="B55" s="581"/>
      <c r="C55" s="581"/>
      <c r="D55" s="581"/>
      <c r="E55" s="581"/>
      <c r="F55" s="581"/>
      <c r="G55" s="581"/>
      <c r="H55" s="581"/>
      <c r="I55" s="581"/>
      <c r="J55" s="581"/>
      <c r="K55" s="581"/>
      <c r="L55" s="581"/>
      <c r="M55" s="581"/>
    </row>
    <row r="56" spans="1:13" x14ac:dyDescent="0.2">
      <c r="A56" s="814" t="s">
        <v>593</v>
      </c>
      <c r="B56" s="581"/>
      <c r="C56" s="581"/>
      <c r="D56" s="581"/>
      <c r="E56" s="581"/>
      <c r="F56" s="581"/>
      <c r="G56" s="581"/>
      <c r="H56" s="581"/>
      <c r="I56" s="581"/>
      <c r="J56" s="581"/>
      <c r="K56" s="581"/>
      <c r="L56" s="581"/>
      <c r="M56" s="581"/>
    </row>
    <row r="57" spans="1:13" x14ac:dyDescent="0.2">
      <c r="A57" s="814" t="s">
        <v>567</v>
      </c>
      <c r="B57" s="581"/>
      <c r="C57" s="581"/>
      <c r="D57" s="581"/>
      <c r="E57" s="581"/>
      <c r="F57" s="581"/>
      <c r="G57" s="581"/>
      <c r="H57" s="581"/>
      <c r="I57" s="581"/>
      <c r="J57" s="581"/>
      <c r="K57" s="581"/>
      <c r="L57" s="581"/>
      <c r="M57" s="581"/>
    </row>
    <row r="58" spans="1:13" x14ac:dyDescent="0.2">
      <c r="A58" s="581"/>
      <c r="B58" s="581"/>
      <c r="C58" s="581"/>
      <c r="D58" s="581"/>
      <c r="E58" s="581"/>
      <c r="F58" s="581"/>
      <c r="G58" s="581"/>
      <c r="H58" s="581"/>
      <c r="I58" s="581"/>
      <c r="J58" s="581"/>
      <c r="K58" s="581"/>
      <c r="L58" s="581"/>
      <c r="M58" s="581"/>
    </row>
  </sheetData>
  <printOptions horizontalCentered="1" verticalCentered="1"/>
  <pageMargins left="0.5" right="0.5" top="1" bottom="1" header="0.5" footer="0.5"/>
  <pageSetup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N48"/>
  <sheetViews>
    <sheetView workbookViewId="0">
      <selection activeCell="AF18" sqref="AF18"/>
    </sheetView>
  </sheetViews>
  <sheetFormatPr defaultRowHeight="12.75" x14ac:dyDescent="0.2"/>
  <cols>
    <col min="1" max="1" width="4" customWidth="1"/>
    <col min="2" max="2" width="12.140625" bestFit="1" customWidth="1"/>
    <col min="3" max="3" width="4" customWidth="1"/>
    <col min="4" max="4" width="13.7109375" hidden="1" customWidth="1"/>
    <col min="5" max="6" width="9.28515625" hidden="1" customWidth="1"/>
    <col min="7" max="12" width="9.28515625" style="615" hidden="1" customWidth="1"/>
    <col min="13" max="13" width="5.7109375" style="615" hidden="1" customWidth="1"/>
    <col min="14" max="16" width="9.140625" style="615" hidden="1" customWidth="1"/>
    <col min="17" max="21" width="9.140625" hidden="1" customWidth="1"/>
    <col min="22" max="23" width="8.85546875" hidden="1" customWidth="1"/>
    <col min="24" max="24" width="11.28515625" bestFit="1" customWidth="1"/>
    <col min="29" max="29" width="9.7109375" customWidth="1"/>
    <col min="33" max="33" width="11.28515625" bestFit="1" customWidth="1"/>
    <col min="38" max="38" width="10.28515625" customWidth="1"/>
    <col min="45" max="46" width="9.42578125" customWidth="1"/>
    <col min="47" max="47" width="10.7109375" customWidth="1"/>
    <col min="48" max="49" width="9.42578125" customWidth="1"/>
    <col min="50" max="52" width="8.85546875" customWidth="1"/>
    <col min="53" max="53" width="10.42578125" customWidth="1"/>
    <col min="54" max="54" width="7.5703125" customWidth="1"/>
    <col min="55" max="55" width="13.85546875" customWidth="1"/>
    <col min="56" max="56" width="11.42578125" customWidth="1"/>
    <col min="57" max="57" width="10.42578125" customWidth="1"/>
    <col min="58" max="58" width="11.42578125" customWidth="1"/>
    <col min="59" max="59" width="8.85546875" customWidth="1"/>
    <col min="60" max="60" width="9.140625" customWidth="1"/>
    <col min="61" max="61" width="9.42578125" customWidth="1"/>
    <col min="62" max="62" width="7.5703125" customWidth="1"/>
    <col min="63" max="63" width="13.85546875" customWidth="1"/>
    <col min="64" max="64" width="9.42578125" customWidth="1"/>
    <col min="65" max="66" width="7.85546875" customWidth="1"/>
  </cols>
  <sheetData>
    <row r="1" spans="1:66" x14ac:dyDescent="0.2">
      <c r="A1" t="s">
        <v>416</v>
      </c>
      <c r="AL1" s="651"/>
      <c r="AM1" s="652" t="str">
        <f>'1. Storm Drainage Fee Calc Sum'!$J$1</f>
        <v>Internal</v>
      </c>
      <c r="AN1" s="750"/>
    </row>
    <row r="2" spans="1:66" x14ac:dyDescent="0.2">
      <c r="A2" t="s">
        <v>406</v>
      </c>
      <c r="AL2" s="653"/>
      <c r="AM2" s="589" t="str">
        <f>'1. Storm Drainage Fee Calc Sum'!$J$2</f>
        <v>Working Draft - v9</v>
      </c>
      <c r="AN2" s="751"/>
    </row>
    <row r="3" spans="1:66" x14ac:dyDescent="0.2">
      <c r="A3" t="s">
        <v>408</v>
      </c>
      <c r="AL3" s="654"/>
      <c r="AM3" s="655">
        <f>'1. Storm Drainage Fee Calc Sum'!$J$3</f>
        <v>41289</v>
      </c>
      <c r="AN3" s="777"/>
    </row>
    <row r="4" spans="1:66" x14ac:dyDescent="0.2">
      <c r="A4" t="s">
        <v>417</v>
      </c>
    </row>
    <row r="6" spans="1:66" x14ac:dyDescent="0.2">
      <c r="AS6" t="s">
        <v>601</v>
      </c>
    </row>
    <row r="8" spans="1:66" x14ac:dyDescent="0.2">
      <c r="D8" s="615"/>
      <c r="E8" s="615"/>
      <c r="F8" s="615"/>
      <c r="G8"/>
      <c r="H8"/>
      <c r="I8"/>
      <c r="J8"/>
      <c r="K8"/>
      <c r="L8"/>
      <c r="X8" s="615"/>
      <c r="Y8" s="615"/>
      <c r="AG8" s="615"/>
      <c r="AH8" s="615"/>
      <c r="AS8" t="s">
        <v>602</v>
      </c>
      <c r="AZ8" t="s">
        <v>603</v>
      </c>
      <c r="BH8" t="s">
        <v>604</v>
      </c>
    </row>
    <row r="9" spans="1:66" x14ac:dyDescent="0.2">
      <c r="B9" s="642"/>
      <c r="D9" s="969" t="s">
        <v>414</v>
      </c>
      <c r="E9" s="970"/>
      <c r="F9" s="970"/>
      <c r="G9" s="970"/>
      <c r="H9" s="970"/>
      <c r="I9" s="970"/>
      <c r="J9" s="970"/>
      <c r="K9" s="970"/>
      <c r="L9" s="971"/>
      <c r="N9" s="969" t="s">
        <v>415</v>
      </c>
      <c r="O9" s="970"/>
      <c r="P9" s="970"/>
      <c r="Q9" s="970"/>
      <c r="R9" s="970"/>
      <c r="S9" s="970"/>
      <c r="T9" s="970"/>
      <c r="U9" s="971"/>
      <c r="X9" s="969" t="s">
        <v>415</v>
      </c>
      <c r="Y9" s="970"/>
      <c r="Z9" s="970"/>
      <c r="AA9" s="970"/>
      <c r="AB9" s="970"/>
      <c r="AC9" s="970"/>
      <c r="AD9" s="970"/>
      <c r="AE9" s="971"/>
      <c r="AG9" s="969" t="s">
        <v>414</v>
      </c>
      <c r="AH9" s="970"/>
      <c r="AI9" s="970"/>
      <c r="AJ9" s="970"/>
      <c r="AK9" s="970"/>
      <c r="AL9" s="970"/>
      <c r="AM9" s="970"/>
      <c r="AN9" s="971"/>
    </row>
    <row r="10" spans="1:66" ht="45" customHeight="1" x14ac:dyDescent="0.2">
      <c r="B10" s="643" t="s">
        <v>129</v>
      </c>
      <c r="D10" s="629" t="s">
        <v>384</v>
      </c>
      <c r="E10" s="630" t="s">
        <v>387</v>
      </c>
      <c r="F10" s="630" t="s">
        <v>538</v>
      </c>
      <c r="G10" s="631" t="s">
        <v>239</v>
      </c>
      <c r="H10" s="631" t="s">
        <v>238</v>
      </c>
      <c r="I10" s="631" t="s">
        <v>258</v>
      </c>
      <c r="J10" s="647" t="s">
        <v>410</v>
      </c>
      <c r="K10" s="631" t="s">
        <v>262</v>
      </c>
      <c r="L10" s="632" t="s">
        <v>263</v>
      </c>
      <c r="N10" s="629" t="s">
        <v>384</v>
      </c>
      <c r="O10" s="630" t="s">
        <v>383</v>
      </c>
      <c r="P10" s="631" t="s">
        <v>239</v>
      </c>
      <c r="Q10" s="631" t="s">
        <v>238</v>
      </c>
      <c r="R10" s="631" t="s">
        <v>258</v>
      </c>
      <c r="S10" s="647" t="s">
        <v>410</v>
      </c>
      <c r="T10" s="631" t="s">
        <v>262</v>
      </c>
      <c r="U10" s="632" t="s">
        <v>263</v>
      </c>
      <c r="X10" s="629" t="s">
        <v>384</v>
      </c>
      <c r="Y10" s="630" t="s">
        <v>568</v>
      </c>
      <c r="Z10" s="631" t="s">
        <v>239</v>
      </c>
      <c r="AA10" s="647" t="s">
        <v>598</v>
      </c>
      <c r="AB10" s="631" t="s">
        <v>258</v>
      </c>
      <c r="AC10" s="647" t="s">
        <v>410</v>
      </c>
      <c r="AD10" s="631" t="s">
        <v>262</v>
      </c>
      <c r="AE10" s="632" t="s">
        <v>263</v>
      </c>
      <c r="AG10" s="629" t="s">
        <v>384</v>
      </c>
      <c r="AH10" s="630" t="s">
        <v>538</v>
      </c>
      <c r="AI10" s="631" t="s">
        <v>239</v>
      </c>
      <c r="AJ10" s="631" t="s">
        <v>238</v>
      </c>
      <c r="AK10" s="631" t="s">
        <v>258</v>
      </c>
      <c r="AL10" s="647" t="s">
        <v>410</v>
      </c>
      <c r="AM10" s="631" t="s">
        <v>262</v>
      </c>
      <c r="AN10" s="632" t="s">
        <v>263</v>
      </c>
      <c r="AS10" s="888" t="s">
        <v>239</v>
      </c>
      <c r="AT10" s="888" t="s">
        <v>238</v>
      </c>
      <c r="AU10" s="895" t="s">
        <v>410</v>
      </c>
      <c r="AV10" s="888" t="s">
        <v>262</v>
      </c>
      <c r="AW10" s="888" t="s">
        <v>263</v>
      </c>
      <c r="AX10" s="888" t="s">
        <v>357</v>
      </c>
      <c r="AZ10" s="887" t="s">
        <v>239</v>
      </c>
      <c r="BA10" s="887" t="s">
        <v>238</v>
      </c>
      <c r="BB10" s="887" t="s">
        <v>258</v>
      </c>
      <c r="BC10" s="887" t="s">
        <v>410</v>
      </c>
      <c r="BD10" s="887" t="s">
        <v>262</v>
      </c>
      <c r="BE10" s="887" t="s">
        <v>263</v>
      </c>
      <c r="BF10" s="887" t="s">
        <v>357</v>
      </c>
      <c r="BH10" s="888" t="s">
        <v>239</v>
      </c>
      <c r="BI10" s="888" t="s">
        <v>238</v>
      </c>
      <c r="BJ10" s="888" t="s">
        <v>258</v>
      </c>
      <c r="BK10" s="888" t="s">
        <v>410</v>
      </c>
      <c r="BL10" s="888" t="s">
        <v>262</v>
      </c>
      <c r="BM10" s="888" t="s">
        <v>263</v>
      </c>
      <c r="BN10" s="888" t="s">
        <v>357</v>
      </c>
    </row>
    <row r="11" spans="1:66" x14ac:dyDescent="0.2">
      <c r="B11" s="644"/>
      <c r="D11" s="633"/>
      <c r="E11" s="582"/>
      <c r="F11" s="628"/>
      <c r="G11" s="582"/>
      <c r="H11" s="582"/>
      <c r="I11" s="582"/>
      <c r="J11" s="582"/>
      <c r="K11" s="582"/>
      <c r="L11" s="634"/>
      <c r="N11" s="633"/>
      <c r="O11" s="582"/>
      <c r="P11" s="582"/>
      <c r="Q11" s="582"/>
      <c r="R11" s="582"/>
      <c r="S11" s="582"/>
      <c r="T11" s="582"/>
      <c r="U11" s="634"/>
      <c r="X11" s="633"/>
      <c r="Y11" s="582"/>
      <c r="Z11" s="582"/>
      <c r="AA11" s="582"/>
      <c r="AB11" s="582"/>
      <c r="AC11" s="582"/>
      <c r="AD11" s="582"/>
      <c r="AE11" s="634"/>
      <c r="AG11" s="633"/>
      <c r="AH11" s="628"/>
      <c r="AI11" s="582"/>
      <c r="AJ11" s="582"/>
      <c r="AK11" s="582"/>
      <c r="AL11" s="582"/>
      <c r="AM11" s="582"/>
      <c r="AN11" s="634"/>
    </row>
    <row r="12" spans="1:66" x14ac:dyDescent="0.2">
      <c r="B12" s="644"/>
      <c r="D12" s="633"/>
      <c r="E12" s="582"/>
      <c r="F12" s="628"/>
      <c r="G12" s="582"/>
      <c r="H12" s="582"/>
      <c r="I12" s="582"/>
      <c r="J12" s="582"/>
      <c r="K12" s="582"/>
      <c r="L12" s="634"/>
      <c r="N12" s="633"/>
      <c r="O12" s="582"/>
      <c r="P12" s="582"/>
      <c r="Q12" s="582"/>
      <c r="R12" s="582"/>
      <c r="S12" s="582"/>
      <c r="T12" s="582"/>
      <c r="U12" s="634"/>
      <c r="X12" s="633"/>
      <c r="Y12" s="582"/>
      <c r="Z12" s="582"/>
      <c r="AA12" s="582"/>
      <c r="AB12" s="582"/>
      <c r="AC12" s="582"/>
      <c r="AD12" s="582"/>
      <c r="AE12" s="634"/>
      <c r="AG12" s="633"/>
      <c r="AH12" s="628"/>
      <c r="AI12" s="582"/>
      <c r="AJ12" s="582"/>
      <c r="AK12" s="582"/>
      <c r="AL12" s="582"/>
      <c r="AM12" s="582"/>
      <c r="AN12" s="634"/>
    </row>
    <row r="13" spans="1:66" x14ac:dyDescent="0.2">
      <c r="B13" s="644"/>
      <c r="D13" s="633" t="s">
        <v>131</v>
      </c>
      <c r="E13" s="582"/>
      <c r="F13" s="582"/>
      <c r="G13" s="635">
        <f>'1. Storm Drainage Fee Calc Sum'!B45</f>
        <v>37.864842687643211</v>
      </c>
      <c r="H13" s="635">
        <f>'1. Storm Drainage Fee Calc Sum'!C45</f>
        <v>542.79037960091659</v>
      </c>
      <c r="I13" s="635">
        <f>'1. Storm Drainage Fee Calc Sum'!D45</f>
        <v>0</v>
      </c>
      <c r="J13" s="635">
        <f>'1. Storm Drainage Fee Calc Sum'!E45</f>
        <v>349.49798100003017</v>
      </c>
      <c r="K13" s="635">
        <f>'1. Storm Drainage Fee Calc Sum'!F45</f>
        <v>845.38149164233721</v>
      </c>
      <c r="L13" s="636">
        <f>'1. Storm Drainage Fee Calc Sum'!G45</f>
        <v>347.86739402512853</v>
      </c>
      <c r="N13" s="633"/>
      <c r="O13" s="582"/>
      <c r="P13" s="635"/>
      <c r="Q13" s="635"/>
      <c r="R13" s="635"/>
      <c r="S13" s="635"/>
      <c r="T13" s="635"/>
      <c r="U13" s="636"/>
      <c r="X13" s="633" t="s">
        <v>600</v>
      </c>
      <c r="Y13" s="582"/>
      <c r="Z13" s="635">
        <f>'1. Storm Drainage Fee Calc Sum'!B49</f>
        <v>631.08071146072018</v>
      </c>
      <c r="AA13" s="635">
        <f>'1. Storm Drainage Fee Calc Sum'!C49</f>
        <v>9046.5063266819434</v>
      </c>
      <c r="AB13" s="635">
        <f>'1. Storm Drainage Fee Calc Sum'!D49</f>
        <v>0</v>
      </c>
      <c r="AC13" s="635">
        <f>'1. Storm Drainage Fee Calc Sum'!E49</f>
        <v>5824.9663500005026</v>
      </c>
      <c r="AD13" s="635">
        <f>'1. Storm Drainage Fee Calc Sum'!F49</f>
        <v>14089.691527372288</v>
      </c>
      <c r="AE13" s="636">
        <f>'1. Storm Drainage Fee Calc Sum'!G49</f>
        <v>5797.7899004188093</v>
      </c>
      <c r="AG13" s="633"/>
      <c r="AH13" s="582"/>
      <c r="AI13" s="635"/>
      <c r="AJ13" s="635"/>
      <c r="AK13" s="635"/>
      <c r="AL13" s="635"/>
      <c r="AM13" s="635"/>
      <c r="AN13" s="636"/>
    </row>
    <row r="14" spans="1:66" x14ac:dyDescent="0.2">
      <c r="B14" s="644"/>
      <c r="D14" s="633"/>
      <c r="E14" s="582"/>
      <c r="F14" s="628"/>
      <c r="G14" s="582"/>
      <c r="H14" s="582"/>
      <c r="I14" s="582"/>
      <c r="J14" s="582"/>
      <c r="K14" s="582"/>
      <c r="L14" s="634"/>
      <c r="N14" s="633"/>
      <c r="O14" s="582"/>
      <c r="P14" s="582"/>
      <c r="Q14" s="582"/>
      <c r="R14" s="582"/>
      <c r="S14" s="582"/>
      <c r="T14" s="582"/>
      <c r="U14" s="634"/>
      <c r="X14" s="633"/>
      <c r="Y14" s="582"/>
      <c r="Z14" s="582"/>
      <c r="AA14" s="582"/>
      <c r="AB14" s="582"/>
      <c r="AC14" s="582"/>
      <c r="AD14" s="582"/>
      <c r="AE14" s="634"/>
      <c r="AG14" s="633"/>
      <c r="AH14" s="628"/>
      <c r="AI14" s="582"/>
      <c r="AJ14" s="582"/>
      <c r="AK14" s="582"/>
      <c r="AL14" s="582"/>
      <c r="AM14" s="582"/>
      <c r="AN14" s="634"/>
    </row>
    <row r="15" spans="1:66" x14ac:dyDescent="0.2">
      <c r="B15" s="644"/>
      <c r="D15" s="633"/>
      <c r="E15" s="582"/>
      <c r="F15" s="628"/>
      <c r="G15" s="582"/>
      <c r="H15" s="582"/>
      <c r="I15" s="582"/>
      <c r="J15" s="582"/>
      <c r="K15" s="582"/>
      <c r="L15" s="634"/>
      <c r="N15" s="633"/>
      <c r="O15" s="582"/>
      <c r="P15" s="582"/>
      <c r="Q15" s="582"/>
      <c r="R15" s="582"/>
      <c r="S15" s="582"/>
      <c r="T15" s="582"/>
      <c r="U15" s="634"/>
      <c r="X15" s="633"/>
      <c r="Y15" s="582"/>
      <c r="Z15" s="582"/>
      <c r="AA15" s="582"/>
      <c r="AB15" s="582"/>
      <c r="AC15" s="582"/>
      <c r="AD15" s="582"/>
      <c r="AE15" s="634"/>
      <c r="AG15" s="633"/>
      <c r="AH15" s="628"/>
      <c r="AI15" s="582"/>
      <c r="AJ15" s="582"/>
      <c r="AK15" s="582"/>
      <c r="AL15" s="582"/>
      <c r="AM15" s="582"/>
      <c r="AN15" s="634"/>
    </row>
    <row r="16" spans="1:66" x14ac:dyDescent="0.2">
      <c r="B16" s="645" t="s">
        <v>133</v>
      </c>
      <c r="D16" s="633" t="s">
        <v>241</v>
      </c>
      <c r="E16" s="745">
        <f>'3. EDU Calculation'!M10</f>
        <v>2.5</v>
      </c>
      <c r="F16" s="640">
        <f>'3. EDU Calculation'!J10</f>
        <v>2</v>
      </c>
      <c r="G16" s="595">
        <f t="shared" ref="G16:L25" si="0">G$13*$E16</f>
        <v>94.662106719108024</v>
      </c>
      <c r="H16" s="595">
        <f t="shared" si="0"/>
        <v>1356.9759490022916</v>
      </c>
      <c r="I16" s="595">
        <f t="shared" si="0"/>
        <v>0</v>
      </c>
      <c r="J16" s="595">
        <f t="shared" si="0"/>
        <v>873.74495250007544</v>
      </c>
      <c r="K16" s="595">
        <f t="shared" si="0"/>
        <v>2113.4537291058432</v>
      </c>
      <c r="L16" s="638">
        <f t="shared" si="0"/>
        <v>869.66848506282133</v>
      </c>
      <c r="N16" s="633" t="s">
        <v>385</v>
      </c>
      <c r="O16" s="637">
        <f>'3. EDU Calculation'!G10</f>
        <v>1</v>
      </c>
      <c r="P16" s="595">
        <f t="shared" ref="P16:P41" si="1">G16*$F16</f>
        <v>189.32421343821605</v>
      </c>
      <c r="Q16" s="595">
        <f t="shared" ref="Q16:Q41" si="2">H16*$F16</f>
        <v>2713.9518980045832</v>
      </c>
      <c r="R16" s="595">
        <f t="shared" ref="R16:R41" si="3">I16*$F16</f>
        <v>0</v>
      </c>
      <c r="S16" s="595">
        <f t="shared" ref="S16:S41" si="4">J16*$F16</f>
        <v>1747.4899050001509</v>
      </c>
      <c r="T16" s="595">
        <f t="shared" ref="T16:T41" si="5">K16*$F16</f>
        <v>4226.9074582116864</v>
      </c>
      <c r="U16" s="638">
        <f t="shared" ref="U16:U41" si="6">L16*$F16</f>
        <v>1739.3369701256427</v>
      </c>
      <c r="X16" s="633" t="s">
        <v>385</v>
      </c>
      <c r="Y16" s="745">
        <f>'3. EDU Calculation'!E10</f>
        <v>0.3</v>
      </c>
      <c r="Z16" s="595">
        <f>Z$13*$Y16</f>
        <v>189.32421343821605</v>
      </c>
      <c r="AA16" s="595">
        <f t="shared" ref="AA16:AE16" si="7">AA$13*$Y16</f>
        <v>2713.9518980045827</v>
      </c>
      <c r="AB16" s="595">
        <f t="shared" si="7"/>
        <v>0</v>
      </c>
      <c r="AC16" s="595">
        <f t="shared" si="7"/>
        <v>1747.4899050001507</v>
      </c>
      <c r="AD16" s="595">
        <f t="shared" si="7"/>
        <v>4226.9074582116864</v>
      </c>
      <c r="AE16" s="638">
        <f t="shared" si="7"/>
        <v>1739.3369701256427</v>
      </c>
      <c r="AG16" s="633" t="s">
        <v>241</v>
      </c>
      <c r="AH16" s="640">
        <f>'3. EDU Calculation'!J10</f>
        <v>2</v>
      </c>
      <c r="AI16" s="595">
        <f>IF($AH16&gt;0,Z16/$AH16,0)</f>
        <v>94.662106719108024</v>
      </c>
      <c r="AJ16" s="595">
        <f t="shared" ref="AJ16:AN16" si="8">IF($AH16&gt;0,AA16/$AH16,0)</f>
        <v>1356.9759490022914</v>
      </c>
      <c r="AK16" s="595">
        <f t="shared" si="8"/>
        <v>0</v>
      </c>
      <c r="AL16" s="595">
        <f t="shared" si="8"/>
        <v>873.74495250007533</v>
      </c>
      <c r="AM16" s="595">
        <f t="shared" si="8"/>
        <v>2113.4537291058432</v>
      </c>
      <c r="AN16" s="638">
        <f t="shared" si="8"/>
        <v>869.66848506282133</v>
      </c>
      <c r="AP16" s="597"/>
      <c r="AQ16" s="597"/>
      <c r="AS16" s="601">
        <f>'5. Vacant Land + Dev Summary'!Z39</f>
        <v>26.448025000000001</v>
      </c>
      <c r="AT16" s="601">
        <f>SUM('5. Vacant Land + Dev Summary'!AA39:AB39)</f>
        <v>7.2396000000000003</v>
      </c>
      <c r="AU16" s="601">
        <f>SUM('5. Vacant Land + Dev Summary'!AC39:AE39)</f>
        <v>0</v>
      </c>
      <c r="AV16" s="601">
        <f>'5. Vacant Land + Dev Summary'!AF39</f>
        <v>131.18924999999999</v>
      </c>
      <c r="AW16" s="601">
        <f>'5. Vacant Land + Dev Summary'!AI39</f>
        <v>0</v>
      </c>
      <c r="AX16" s="886">
        <f t="shared" ref="AX16:AX41" si="9">SUM(AS16:AW16)</f>
        <v>164.87687499999998</v>
      </c>
      <c r="AZ16" s="616">
        <f t="shared" ref="AZ16:AZ41" si="10">AS16*Z16</f>
        <v>5007.2515301192743</v>
      </c>
      <c r="BA16" s="616">
        <f t="shared" ref="BA16:BA41" si="11">AT16*AA16</f>
        <v>19647.926160793977</v>
      </c>
      <c r="BB16" s="616"/>
      <c r="BC16" s="616">
        <f t="shared" ref="BC16:BC41" si="12">AU16*AC16</f>
        <v>0</v>
      </c>
      <c r="BD16" s="616">
        <f t="shared" ref="BD16:BD41" si="13">AV16*AD16</f>
        <v>554524.81926219747</v>
      </c>
      <c r="BE16" s="616">
        <f t="shared" ref="BE16:BE41" si="14">AW16*AE16</f>
        <v>0</v>
      </c>
      <c r="BF16" s="886">
        <f>SUM(AZ16:BE16)</f>
        <v>579179.99695311068</v>
      </c>
      <c r="BH16" s="607">
        <f>$Y16*AS16</f>
        <v>7.9344074999999998</v>
      </c>
      <c r="BI16" s="607">
        <f>$Y16*AT16</f>
        <v>2.1718799999999998</v>
      </c>
      <c r="BJ16" s="607"/>
      <c r="BK16" s="607">
        <f t="shared" ref="BK16:BM16" si="15">$Y16*AU16</f>
        <v>0</v>
      </c>
      <c r="BL16" s="607">
        <f t="shared" si="15"/>
        <v>39.356774999999992</v>
      </c>
      <c r="BM16" s="607">
        <f t="shared" si="15"/>
        <v>0</v>
      </c>
      <c r="BN16" s="607">
        <f>SUM(BH16:BM16)</f>
        <v>49.463062499999992</v>
      </c>
    </row>
    <row r="17" spans="2:66" x14ac:dyDescent="0.2">
      <c r="B17" s="645" t="s">
        <v>135</v>
      </c>
      <c r="D17" s="670" t="s">
        <v>241</v>
      </c>
      <c r="E17" s="745">
        <f>'3. EDU Calculation'!M11</f>
        <v>1</v>
      </c>
      <c r="F17" s="640">
        <f>'3. EDU Calculation'!J11</f>
        <v>5</v>
      </c>
      <c r="G17" s="595">
        <f t="shared" si="0"/>
        <v>37.864842687643211</v>
      </c>
      <c r="H17" s="595">
        <f t="shared" si="0"/>
        <v>542.79037960091659</v>
      </c>
      <c r="I17" s="595">
        <f t="shared" si="0"/>
        <v>0</v>
      </c>
      <c r="J17" s="595">
        <f t="shared" si="0"/>
        <v>349.49798100003017</v>
      </c>
      <c r="K17" s="595">
        <f t="shared" si="0"/>
        <v>845.38149164233721</v>
      </c>
      <c r="L17" s="638">
        <f t="shared" si="0"/>
        <v>347.86739402512853</v>
      </c>
      <c r="N17" s="633" t="s">
        <v>385</v>
      </c>
      <c r="O17" s="637">
        <f>'3. EDU Calculation'!G11</f>
        <v>1</v>
      </c>
      <c r="P17" s="595">
        <f t="shared" si="1"/>
        <v>189.32421343821605</v>
      </c>
      <c r="Q17" s="595">
        <f t="shared" si="2"/>
        <v>2713.9518980045832</v>
      </c>
      <c r="R17" s="595">
        <f t="shared" si="3"/>
        <v>0</v>
      </c>
      <c r="S17" s="595">
        <f t="shared" si="4"/>
        <v>1747.4899050001509</v>
      </c>
      <c r="T17" s="595">
        <f t="shared" si="5"/>
        <v>4226.9074582116864</v>
      </c>
      <c r="U17" s="638">
        <f t="shared" si="6"/>
        <v>1739.3369701256427</v>
      </c>
      <c r="X17" s="633" t="s">
        <v>385</v>
      </c>
      <c r="Y17" s="745">
        <f>'3. EDU Calculation'!E11</f>
        <v>0.3</v>
      </c>
      <c r="Z17" s="595">
        <f t="shared" ref="Z17:AE41" si="16">Z$13*$Y17</f>
        <v>189.32421343821605</v>
      </c>
      <c r="AA17" s="595">
        <f t="shared" si="16"/>
        <v>2713.9518980045827</v>
      </c>
      <c r="AB17" s="595">
        <f t="shared" si="16"/>
        <v>0</v>
      </c>
      <c r="AC17" s="595">
        <f t="shared" si="16"/>
        <v>1747.4899050001507</v>
      </c>
      <c r="AD17" s="595">
        <f t="shared" si="16"/>
        <v>4226.9074582116864</v>
      </c>
      <c r="AE17" s="638">
        <f t="shared" si="16"/>
        <v>1739.3369701256427</v>
      </c>
      <c r="AG17" s="670" t="s">
        <v>241</v>
      </c>
      <c r="AH17" s="640">
        <f>'3. EDU Calculation'!J11</f>
        <v>5</v>
      </c>
      <c r="AI17" s="595">
        <f t="shared" ref="AI17:AI41" si="17">IF($AH17&gt;0,Z17/$AH17,0)</f>
        <v>37.864842687643211</v>
      </c>
      <c r="AJ17" s="595">
        <f t="shared" ref="AJ17:AJ41" si="18">IF($AH17&gt;0,AA17/$AH17,0)</f>
        <v>542.79037960091659</v>
      </c>
      <c r="AK17" s="595">
        <f t="shared" ref="AK17:AK41" si="19">IF($AH17&gt;0,AB17/$AH17,0)</f>
        <v>0</v>
      </c>
      <c r="AL17" s="595">
        <f t="shared" ref="AL17:AL41" si="20">IF($AH17&gt;0,AC17/$AH17,0)</f>
        <v>349.49798100003011</v>
      </c>
      <c r="AM17" s="595">
        <f t="shared" ref="AM17:AM41" si="21">IF($AH17&gt;0,AD17/$AH17,0)</f>
        <v>845.38149164233732</v>
      </c>
      <c r="AN17" s="638">
        <f t="shared" ref="AN17:AN41" si="22">IF($AH17&gt;0,AE17/$AH17,0)</f>
        <v>347.86739402512853</v>
      </c>
      <c r="AP17" s="597"/>
      <c r="AQ17" s="597"/>
      <c r="AS17" s="601">
        <f>'5. Vacant Land + Dev Summary'!Z21</f>
        <v>376.74430999999998</v>
      </c>
      <c r="AT17" s="601">
        <f>SUM('5. Vacant Land + Dev Summary'!AA21:AB21)</f>
        <v>454.63984000000005</v>
      </c>
      <c r="AU17" s="601">
        <f>SUM('5. Vacant Land + Dev Summary'!AC21:AE21)</f>
        <v>184.47549999999998</v>
      </c>
      <c r="AV17" s="601">
        <f>'5. Vacant Land + Dev Summary'!AF21</f>
        <v>1410.6438500000002</v>
      </c>
      <c r="AW17" s="601">
        <f>'5. Vacant Land + Dev Summary'!AI21</f>
        <v>464.72415499999994</v>
      </c>
      <c r="AX17" s="886">
        <f t="shared" si="9"/>
        <v>2891.2276550000001</v>
      </c>
      <c r="AZ17" s="616">
        <f t="shared" si="10"/>
        <v>71326.820158073431</v>
      </c>
      <c r="BA17" s="616">
        <f t="shared" si="11"/>
        <v>1233870.6566764999</v>
      </c>
      <c r="BB17" s="616"/>
      <c r="BC17" s="616">
        <f t="shared" si="12"/>
        <v>322369.07396985526</v>
      </c>
      <c r="BD17" s="616">
        <f t="shared" si="13"/>
        <v>5962661.0104454476</v>
      </c>
      <c r="BE17" s="616">
        <f t="shared" si="14"/>
        <v>808311.90370189946</v>
      </c>
      <c r="BF17" s="886">
        <f t="shared" ref="BF17:BF41" si="23">SUM(AZ17:BE17)</f>
        <v>8398539.464951776</v>
      </c>
      <c r="BH17" s="607">
        <f t="shared" ref="BH17:BH41" si="24">$Y17*AS17</f>
        <v>113.023293</v>
      </c>
      <c r="BI17" s="607">
        <f t="shared" ref="BI17:BI41" si="25">$Y17*AT17</f>
        <v>136.391952</v>
      </c>
      <c r="BJ17" s="607"/>
      <c r="BK17" s="607">
        <f t="shared" ref="BK17:BK41" si="26">$Y17*AU17</f>
        <v>55.342649999999992</v>
      </c>
      <c r="BL17" s="607">
        <f t="shared" ref="BL17:BL41" si="27">$Y17*AV17</f>
        <v>423.19315500000005</v>
      </c>
      <c r="BM17" s="607">
        <f t="shared" ref="BM17:BM41" si="28">$Y17*AW17</f>
        <v>139.41724649999998</v>
      </c>
      <c r="BN17" s="607">
        <f t="shared" ref="BN17:BN41" si="29">SUM(BH17:BM17)</f>
        <v>867.36829650000004</v>
      </c>
    </row>
    <row r="18" spans="2:66" x14ac:dyDescent="0.2">
      <c r="B18" s="645" t="s">
        <v>137</v>
      </c>
      <c r="D18" s="633" t="s">
        <v>241</v>
      </c>
      <c r="E18" s="745">
        <f>'3. EDU Calculation'!M12</f>
        <v>0.92592592592592593</v>
      </c>
      <c r="F18" s="640">
        <f>'3. EDU Calculation'!J12</f>
        <v>9</v>
      </c>
      <c r="G18" s="595">
        <f t="shared" si="0"/>
        <v>35.060039525595563</v>
      </c>
      <c r="H18" s="595">
        <f t="shared" si="0"/>
        <v>502.5836848156635</v>
      </c>
      <c r="I18" s="595">
        <f t="shared" si="0"/>
        <v>0</v>
      </c>
      <c r="J18" s="595">
        <f t="shared" si="0"/>
        <v>323.60924166669457</v>
      </c>
      <c r="K18" s="595">
        <f t="shared" si="0"/>
        <v>782.76064040957147</v>
      </c>
      <c r="L18" s="638">
        <f t="shared" si="0"/>
        <v>322.09943891215607</v>
      </c>
      <c r="N18" s="633" t="s">
        <v>385</v>
      </c>
      <c r="O18" s="637">
        <f>'3. EDU Calculation'!G12</f>
        <v>1.6666666666666667</v>
      </c>
      <c r="P18" s="595">
        <f t="shared" si="1"/>
        <v>315.54035573036009</v>
      </c>
      <c r="Q18" s="595">
        <f t="shared" si="2"/>
        <v>4523.2531633409717</v>
      </c>
      <c r="R18" s="595">
        <f t="shared" si="3"/>
        <v>0</v>
      </c>
      <c r="S18" s="595">
        <f t="shared" si="4"/>
        <v>2912.4831750002513</v>
      </c>
      <c r="T18" s="595">
        <f t="shared" si="5"/>
        <v>7044.8457636861431</v>
      </c>
      <c r="U18" s="638">
        <f t="shared" si="6"/>
        <v>2898.8949502094047</v>
      </c>
      <c r="X18" s="633" t="s">
        <v>385</v>
      </c>
      <c r="Y18" s="745">
        <f>'3. EDU Calculation'!E12</f>
        <v>0.5</v>
      </c>
      <c r="Z18" s="595">
        <f t="shared" si="16"/>
        <v>315.54035573036009</v>
      </c>
      <c r="AA18" s="595">
        <f t="shared" si="16"/>
        <v>4523.2531633409717</v>
      </c>
      <c r="AB18" s="595">
        <f t="shared" si="16"/>
        <v>0</v>
      </c>
      <c r="AC18" s="595">
        <f t="shared" si="16"/>
        <v>2912.4831750002513</v>
      </c>
      <c r="AD18" s="595">
        <f t="shared" si="16"/>
        <v>7044.845763686144</v>
      </c>
      <c r="AE18" s="638">
        <f t="shared" si="16"/>
        <v>2898.8949502094047</v>
      </c>
      <c r="AG18" s="633" t="s">
        <v>241</v>
      </c>
      <c r="AH18" s="640">
        <f>'3. EDU Calculation'!J12</f>
        <v>9</v>
      </c>
      <c r="AI18" s="595">
        <f t="shared" si="17"/>
        <v>35.060039525595563</v>
      </c>
      <c r="AJ18" s="595">
        <f t="shared" si="18"/>
        <v>502.5836848156635</v>
      </c>
      <c r="AK18" s="595">
        <f t="shared" si="19"/>
        <v>0</v>
      </c>
      <c r="AL18" s="595">
        <f t="shared" si="20"/>
        <v>323.60924166669457</v>
      </c>
      <c r="AM18" s="595">
        <f t="shared" si="21"/>
        <v>782.76064040957158</v>
      </c>
      <c r="AN18" s="638">
        <f t="shared" si="22"/>
        <v>322.09943891215607</v>
      </c>
      <c r="AP18" s="597"/>
      <c r="AQ18" s="597"/>
      <c r="AS18" s="601">
        <f>'5. Vacant Land + Dev Summary'!Z23</f>
        <v>0</v>
      </c>
      <c r="AT18" s="601">
        <f>SUM('5. Vacant Land + Dev Summary'!AA23:AB23)</f>
        <v>7.0484549999999988</v>
      </c>
      <c r="AU18" s="601">
        <f>SUM('5. Vacant Land + Dev Summary'!AC23:AE23)</f>
        <v>57.559279999999994</v>
      </c>
      <c r="AV18" s="601">
        <f>'5. Vacant Land + Dev Summary'!AF23</f>
        <v>64.842164999999994</v>
      </c>
      <c r="AW18" s="601">
        <f>'5. Vacant Land + Dev Summary'!AI23</f>
        <v>56.440424999999991</v>
      </c>
      <c r="AX18" s="886">
        <f t="shared" si="9"/>
        <v>185.89032499999996</v>
      </c>
      <c r="AZ18" s="616">
        <f t="shared" si="10"/>
        <v>0</v>
      </c>
      <c r="BA18" s="616">
        <f t="shared" si="11"/>
        <v>31881.946375416483</v>
      </c>
      <c r="BB18" s="616"/>
      <c r="BC18" s="616">
        <f t="shared" si="12"/>
        <v>167640.43456512844</v>
      </c>
      <c r="BD18" s="616">
        <f t="shared" si="13"/>
        <v>456803.0514084879</v>
      </c>
      <c r="BE18" s="616">
        <f t="shared" si="14"/>
        <v>163614.8630201726</v>
      </c>
      <c r="BF18" s="886">
        <f t="shared" si="23"/>
        <v>819940.29536920541</v>
      </c>
      <c r="BH18" s="607">
        <f t="shared" si="24"/>
        <v>0</v>
      </c>
      <c r="BI18" s="607">
        <f t="shared" si="25"/>
        <v>3.5242274999999994</v>
      </c>
      <c r="BJ18" s="607"/>
      <c r="BK18" s="607">
        <f t="shared" si="26"/>
        <v>28.779639999999997</v>
      </c>
      <c r="BL18" s="607">
        <f t="shared" si="27"/>
        <v>32.421082499999997</v>
      </c>
      <c r="BM18" s="607">
        <f t="shared" si="28"/>
        <v>28.220212499999995</v>
      </c>
      <c r="BN18" s="607">
        <f t="shared" si="29"/>
        <v>92.945162499999981</v>
      </c>
    </row>
    <row r="19" spans="2:66" x14ac:dyDescent="0.2">
      <c r="B19" s="645" t="s">
        <v>139</v>
      </c>
      <c r="D19" s="633" t="s">
        <v>241</v>
      </c>
      <c r="E19" s="745">
        <f>'3. EDU Calculation'!M13</f>
        <v>0.63725490196078438</v>
      </c>
      <c r="F19" s="640">
        <f>'3. EDU Calculation'!J13</f>
        <v>17</v>
      </c>
      <c r="G19" s="595">
        <f t="shared" si="0"/>
        <v>24.129556614674598</v>
      </c>
      <c r="H19" s="595">
        <f t="shared" si="0"/>
        <v>345.89583013783903</v>
      </c>
      <c r="I19" s="595">
        <f t="shared" si="0"/>
        <v>0</v>
      </c>
      <c r="J19" s="595">
        <f t="shared" si="0"/>
        <v>222.7193016176663</v>
      </c>
      <c r="K19" s="595">
        <f t="shared" si="0"/>
        <v>538.72349957599931</v>
      </c>
      <c r="L19" s="638">
        <f t="shared" si="0"/>
        <v>221.68020207483684</v>
      </c>
      <c r="N19" s="633" t="s">
        <v>385</v>
      </c>
      <c r="O19" s="637">
        <f>'3. EDU Calculation'!G13</f>
        <v>2.166666666666667</v>
      </c>
      <c r="P19" s="595">
        <f t="shared" si="1"/>
        <v>410.20246244946816</v>
      </c>
      <c r="Q19" s="595">
        <f t="shared" si="2"/>
        <v>5880.2291123432633</v>
      </c>
      <c r="R19" s="595">
        <f t="shared" si="3"/>
        <v>0</v>
      </c>
      <c r="S19" s="595">
        <f t="shared" si="4"/>
        <v>3786.228127500327</v>
      </c>
      <c r="T19" s="595">
        <f t="shared" si="5"/>
        <v>9158.2994927919881</v>
      </c>
      <c r="U19" s="638">
        <f t="shared" si="6"/>
        <v>3768.5634352722263</v>
      </c>
      <c r="X19" s="633" t="s">
        <v>385</v>
      </c>
      <c r="Y19" s="745">
        <f>'3. EDU Calculation'!E13</f>
        <v>0.65</v>
      </c>
      <c r="Z19" s="595">
        <f t="shared" si="16"/>
        <v>410.20246244946816</v>
      </c>
      <c r="AA19" s="595">
        <f t="shared" si="16"/>
        <v>5880.2291123432633</v>
      </c>
      <c r="AB19" s="595">
        <f t="shared" si="16"/>
        <v>0</v>
      </c>
      <c r="AC19" s="595">
        <f t="shared" si="16"/>
        <v>3786.228127500327</v>
      </c>
      <c r="AD19" s="595">
        <f t="shared" si="16"/>
        <v>9158.2994927919881</v>
      </c>
      <c r="AE19" s="638">
        <f t="shared" si="16"/>
        <v>3768.5634352722263</v>
      </c>
      <c r="AG19" s="633" t="s">
        <v>241</v>
      </c>
      <c r="AH19" s="640">
        <f>'3. EDU Calculation'!J13</f>
        <v>17</v>
      </c>
      <c r="AI19" s="595">
        <f t="shared" si="17"/>
        <v>24.129556614674598</v>
      </c>
      <c r="AJ19" s="595">
        <f t="shared" si="18"/>
        <v>345.89583013783903</v>
      </c>
      <c r="AK19" s="595">
        <f t="shared" si="19"/>
        <v>0</v>
      </c>
      <c r="AL19" s="595">
        <f t="shared" si="20"/>
        <v>222.7193016176663</v>
      </c>
      <c r="AM19" s="595">
        <f t="shared" si="21"/>
        <v>538.72349957599931</v>
      </c>
      <c r="AN19" s="638">
        <f t="shared" si="22"/>
        <v>221.68020207483684</v>
      </c>
      <c r="AP19" s="597"/>
      <c r="AQ19" s="597"/>
      <c r="AS19" s="601">
        <f>'5. Vacant Land + Dev Summary'!Z19</f>
        <v>0</v>
      </c>
      <c r="AT19" s="601">
        <f>SUM('5. Vacant Land + Dev Summary'!AA19:AB19)</f>
        <v>33.853034999999998</v>
      </c>
      <c r="AU19" s="601">
        <f>SUM('5. Vacant Land + Dev Summary'!AC19:AE19)</f>
        <v>17.625769999999999</v>
      </c>
      <c r="AV19" s="601">
        <f>'5. Vacant Land + Dev Summary'!AF19</f>
        <v>38.965190000000007</v>
      </c>
      <c r="AW19" s="601">
        <f>'5. Vacant Land + Dev Summary'!AI19</f>
        <v>17.723860000000002</v>
      </c>
      <c r="AX19" s="886">
        <f t="shared" si="9"/>
        <v>108.167855</v>
      </c>
      <c r="AZ19" s="616">
        <f t="shared" si="10"/>
        <v>0</v>
      </c>
      <c r="BA19" s="616">
        <f t="shared" si="11"/>
        <v>199063.6019481754</v>
      </c>
      <c r="BB19" s="616"/>
      <c r="BC19" s="616">
        <f t="shared" si="12"/>
        <v>66735.186142851438</v>
      </c>
      <c r="BD19" s="616">
        <f t="shared" si="13"/>
        <v>356854.87981354352</v>
      </c>
      <c r="BE19" s="616">
        <f t="shared" si="14"/>
        <v>66793.490727884011</v>
      </c>
      <c r="BF19" s="886">
        <f t="shared" si="23"/>
        <v>689447.15863245435</v>
      </c>
      <c r="BH19" s="607">
        <f t="shared" si="24"/>
        <v>0</v>
      </c>
      <c r="BI19" s="607">
        <f t="shared" si="25"/>
        <v>22.004472750000001</v>
      </c>
      <c r="BJ19" s="607"/>
      <c r="BK19" s="607">
        <f t="shared" si="26"/>
        <v>11.4567505</v>
      </c>
      <c r="BL19" s="607">
        <f t="shared" si="27"/>
        <v>25.327373500000004</v>
      </c>
      <c r="BM19" s="607">
        <f t="shared" si="28"/>
        <v>11.520509000000002</v>
      </c>
      <c r="BN19" s="607">
        <f t="shared" si="29"/>
        <v>70.309105750000015</v>
      </c>
    </row>
    <row r="20" spans="2:66" x14ac:dyDescent="0.2">
      <c r="B20" s="645" t="s">
        <v>140</v>
      </c>
      <c r="D20" s="633" t="s">
        <v>385</v>
      </c>
      <c r="E20" s="745">
        <f>'3. EDU Calculation'!M14</f>
        <v>0</v>
      </c>
      <c r="F20" s="640">
        <f>'3. EDU Calculation'!M14</f>
        <v>0</v>
      </c>
      <c r="G20" s="595">
        <f t="shared" si="0"/>
        <v>0</v>
      </c>
      <c r="H20" s="595">
        <f t="shared" si="0"/>
        <v>0</v>
      </c>
      <c r="I20" s="595">
        <f t="shared" si="0"/>
        <v>0</v>
      </c>
      <c r="J20" s="595">
        <f t="shared" si="0"/>
        <v>0</v>
      </c>
      <c r="K20" s="595">
        <f t="shared" si="0"/>
        <v>0</v>
      </c>
      <c r="L20" s="638">
        <f t="shared" si="0"/>
        <v>0</v>
      </c>
      <c r="N20" s="633" t="s">
        <v>385</v>
      </c>
      <c r="O20" s="637">
        <f>'3. EDU Calculation'!G14</f>
        <v>0</v>
      </c>
      <c r="P20" s="595">
        <f t="shared" si="1"/>
        <v>0</v>
      </c>
      <c r="Q20" s="595">
        <f t="shared" si="2"/>
        <v>0</v>
      </c>
      <c r="R20" s="595">
        <f t="shared" si="3"/>
        <v>0</v>
      </c>
      <c r="S20" s="595">
        <f t="shared" si="4"/>
        <v>0</v>
      </c>
      <c r="T20" s="595">
        <f t="shared" si="5"/>
        <v>0</v>
      </c>
      <c r="U20" s="638">
        <f t="shared" si="6"/>
        <v>0</v>
      </c>
      <c r="X20" s="633" t="s">
        <v>385</v>
      </c>
      <c r="Y20" s="885">
        <v>0</v>
      </c>
      <c r="Z20" s="595">
        <f t="shared" si="16"/>
        <v>0</v>
      </c>
      <c r="AA20" s="595">
        <f t="shared" si="16"/>
        <v>0</v>
      </c>
      <c r="AB20" s="595">
        <f t="shared" si="16"/>
        <v>0</v>
      </c>
      <c r="AC20" s="595">
        <f t="shared" si="16"/>
        <v>0</v>
      </c>
      <c r="AD20" s="595">
        <f t="shared" si="16"/>
        <v>0</v>
      </c>
      <c r="AE20" s="638">
        <f t="shared" si="16"/>
        <v>0</v>
      </c>
      <c r="AG20" s="633" t="s">
        <v>385</v>
      </c>
      <c r="AH20" s="640">
        <f>'3. EDU Calculation'!M14</f>
        <v>0</v>
      </c>
      <c r="AI20" s="595">
        <f t="shared" si="17"/>
        <v>0</v>
      </c>
      <c r="AJ20" s="595">
        <f t="shared" si="18"/>
        <v>0</v>
      </c>
      <c r="AK20" s="595">
        <f t="shared" si="19"/>
        <v>0</v>
      </c>
      <c r="AL20" s="595">
        <f t="shared" si="20"/>
        <v>0</v>
      </c>
      <c r="AM20" s="595">
        <f t="shared" si="21"/>
        <v>0</v>
      </c>
      <c r="AN20" s="638">
        <f t="shared" si="22"/>
        <v>0</v>
      </c>
      <c r="AP20" s="597"/>
      <c r="AQ20" s="597"/>
      <c r="AS20" s="601">
        <f>'5. Vacant Land + Dev Summary'!Z25</f>
        <v>0</v>
      </c>
      <c r="AT20" s="601">
        <f>SUM('5. Vacant Land + Dev Summary'!AA25:AB25)</f>
        <v>13.431189999999999</v>
      </c>
      <c r="AU20" s="601">
        <f>SUM('5. Vacant Land + Dev Summary'!AC25:AE25)</f>
        <v>0</v>
      </c>
      <c r="AV20" s="601">
        <f>'5. Vacant Land + Dev Summary'!AF25</f>
        <v>0</v>
      </c>
      <c r="AW20" s="601">
        <f>'5. Vacant Land + Dev Summary'!AI25</f>
        <v>364.61438499999997</v>
      </c>
      <c r="AX20" s="891">
        <f t="shared" si="9"/>
        <v>378.04557499999999</v>
      </c>
      <c r="AZ20" s="869">
        <f t="shared" si="10"/>
        <v>0</v>
      </c>
      <c r="BA20" s="869">
        <f t="shared" si="11"/>
        <v>0</v>
      </c>
      <c r="BB20" s="869"/>
      <c r="BC20" s="869">
        <f t="shared" si="12"/>
        <v>0</v>
      </c>
      <c r="BD20" s="869">
        <f t="shared" si="13"/>
        <v>0</v>
      </c>
      <c r="BE20" s="869">
        <f t="shared" si="14"/>
        <v>0</v>
      </c>
      <c r="BF20" s="891">
        <f t="shared" si="23"/>
        <v>0</v>
      </c>
      <c r="BH20" s="607">
        <f t="shared" si="24"/>
        <v>0</v>
      </c>
      <c r="BI20" s="607">
        <f t="shared" si="25"/>
        <v>0</v>
      </c>
      <c r="BJ20" s="607"/>
      <c r="BK20" s="607">
        <f t="shared" si="26"/>
        <v>0</v>
      </c>
      <c r="BL20" s="607">
        <f t="shared" si="27"/>
        <v>0</v>
      </c>
      <c r="BM20" s="607">
        <f t="shared" si="28"/>
        <v>0</v>
      </c>
      <c r="BN20" s="894">
        <f t="shared" si="29"/>
        <v>0</v>
      </c>
    </row>
    <row r="21" spans="2:66" x14ac:dyDescent="0.2">
      <c r="B21" s="645" t="s">
        <v>134</v>
      </c>
      <c r="D21" s="633" t="s">
        <v>385</v>
      </c>
      <c r="E21" s="745">
        <f>'3. EDU Calculation'!M15</f>
        <v>0</v>
      </c>
      <c r="F21" s="640">
        <f>'3. EDU Calculation'!M15</f>
        <v>0</v>
      </c>
      <c r="G21" s="595">
        <f t="shared" si="0"/>
        <v>0</v>
      </c>
      <c r="H21" s="595">
        <f t="shared" si="0"/>
        <v>0</v>
      </c>
      <c r="I21" s="595">
        <f t="shared" si="0"/>
        <v>0</v>
      </c>
      <c r="J21" s="595">
        <f t="shared" si="0"/>
        <v>0</v>
      </c>
      <c r="K21" s="595">
        <f t="shared" si="0"/>
        <v>0</v>
      </c>
      <c r="L21" s="638">
        <f t="shared" si="0"/>
        <v>0</v>
      </c>
      <c r="N21" s="633" t="s">
        <v>385</v>
      </c>
      <c r="O21" s="637">
        <f>'3. EDU Calculation'!G15</f>
        <v>0</v>
      </c>
      <c r="P21" s="595">
        <f t="shared" si="1"/>
        <v>0</v>
      </c>
      <c r="Q21" s="595">
        <f t="shared" si="2"/>
        <v>0</v>
      </c>
      <c r="R21" s="595">
        <f t="shared" si="3"/>
        <v>0</v>
      </c>
      <c r="S21" s="595">
        <f t="shared" si="4"/>
        <v>0</v>
      </c>
      <c r="T21" s="595">
        <f t="shared" si="5"/>
        <v>0</v>
      </c>
      <c r="U21" s="638">
        <f t="shared" si="6"/>
        <v>0</v>
      </c>
      <c r="X21" s="633" t="s">
        <v>385</v>
      </c>
      <c r="Y21" s="885">
        <v>0</v>
      </c>
      <c r="Z21" s="595">
        <f t="shared" si="16"/>
        <v>0</v>
      </c>
      <c r="AA21" s="595">
        <f t="shared" si="16"/>
        <v>0</v>
      </c>
      <c r="AB21" s="595">
        <f t="shared" si="16"/>
        <v>0</v>
      </c>
      <c r="AC21" s="595">
        <f t="shared" si="16"/>
        <v>0</v>
      </c>
      <c r="AD21" s="595">
        <f t="shared" si="16"/>
        <v>0</v>
      </c>
      <c r="AE21" s="638">
        <f t="shared" si="16"/>
        <v>0</v>
      </c>
      <c r="AG21" s="633" t="s">
        <v>385</v>
      </c>
      <c r="AH21" s="640">
        <f>'3. EDU Calculation'!M15</f>
        <v>0</v>
      </c>
      <c r="AI21" s="595">
        <f t="shared" si="17"/>
        <v>0</v>
      </c>
      <c r="AJ21" s="595">
        <f t="shared" si="18"/>
        <v>0</v>
      </c>
      <c r="AK21" s="595">
        <f t="shared" si="19"/>
        <v>0</v>
      </c>
      <c r="AL21" s="595">
        <f t="shared" si="20"/>
        <v>0</v>
      </c>
      <c r="AM21" s="595">
        <f t="shared" si="21"/>
        <v>0</v>
      </c>
      <c r="AN21" s="638">
        <f t="shared" si="22"/>
        <v>0</v>
      </c>
      <c r="AP21" s="597"/>
      <c r="AQ21" s="597"/>
      <c r="AS21" s="601">
        <f>'5. Vacant Land + Dev Summary'!Z26</f>
        <v>6.9663450000000005</v>
      </c>
      <c r="AT21" s="601">
        <f>'5. Vacant Land + Dev Summary'!AA26+'5. Vacant Land + Dev Summary'!AB26</f>
        <v>27.456189999999999</v>
      </c>
      <c r="AU21" s="601">
        <f>'5. Vacant Land + Dev Summary'!AC26+'5. Vacant Land + Dev Summary'!AD26+'5. Vacant Land + Dev Summary'!AE26</f>
        <v>12.081474999999999</v>
      </c>
      <c r="AV21" s="601">
        <f>'5. Vacant Land + Dev Summary'!AF26</f>
        <v>34.042415000000005</v>
      </c>
      <c r="AW21" s="601">
        <f>'5. Vacant Land + Dev Summary'!AI26</f>
        <v>0</v>
      </c>
      <c r="AX21" s="891">
        <f t="shared" si="9"/>
        <v>80.546424999999999</v>
      </c>
      <c r="AZ21" s="869">
        <f t="shared" si="10"/>
        <v>0</v>
      </c>
      <c r="BA21" s="869">
        <f t="shared" si="11"/>
        <v>0</v>
      </c>
      <c r="BB21" s="869"/>
      <c r="BC21" s="869">
        <f t="shared" si="12"/>
        <v>0</v>
      </c>
      <c r="BD21" s="869">
        <f t="shared" si="13"/>
        <v>0</v>
      </c>
      <c r="BE21" s="869">
        <f t="shared" si="14"/>
        <v>0</v>
      </c>
      <c r="BF21" s="891">
        <f t="shared" si="23"/>
        <v>0</v>
      </c>
      <c r="BH21" s="607">
        <f t="shared" si="24"/>
        <v>0</v>
      </c>
      <c r="BI21" s="607">
        <f t="shared" si="25"/>
        <v>0</v>
      </c>
      <c r="BJ21" s="607"/>
      <c r="BK21" s="607">
        <f t="shared" si="26"/>
        <v>0</v>
      </c>
      <c r="BL21" s="607">
        <f t="shared" si="27"/>
        <v>0</v>
      </c>
      <c r="BM21" s="607">
        <f t="shared" si="28"/>
        <v>0</v>
      </c>
      <c r="BN21" s="894">
        <f t="shared" si="29"/>
        <v>0</v>
      </c>
    </row>
    <row r="22" spans="2:66" x14ac:dyDescent="0.2">
      <c r="B22" s="645" t="s">
        <v>136</v>
      </c>
      <c r="D22" s="633" t="s">
        <v>385</v>
      </c>
      <c r="E22" s="745">
        <f>'3. EDU Calculation'!M16</f>
        <v>0</v>
      </c>
      <c r="F22" s="640">
        <f>'3. EDU Calculation'!M16</f>
        <v>0</v>
      </c>
      <c r="G22" s="595">
        <f t="shared" si="0"/>
        <v>0</v>
      </c>
      <c r="H22" s="595">
        <f t="shared" si="0"/>
        <v>0</v>
      </c>
      <c r="I22" s="595">
        <f t="shared" si="0"/>
        <v>0</v>
      </c>
      <c r="J22" s="595">
        <f t="shared" si="0"/>
        <v>0</v>
      </c>
      <c r="K22" s="595">
        <f t="shared" si="0"/>
        <v>0</v>
      </c>
      <c r="L22" s="638">
        <f t="shared" si="0"/>
        <v>0</v>
      </c>
      <c r="N22" s="633" t="s">
        <v>385</v>
      </c>
      <c r="O22" s="637">
        <f>'3. EDU Calculation'!G16</f>
        <v>0</v>
      </c>
      <c r="P22" s="595">
        <f t="shared" si="1"/>
        <v>0</v>
      </c>
      <c r="Q22" s="595">
        <f t="shared" si="2"/>
        <v>0</v>
      </c>
      <c r="R22" s="595">
        <f t="shared" si="3"/>
        <v>0</v>
      </c>
      <c r="S22" s="595">
        <f t="shared" si="4"/>
        <v>0</v>
      </c>
      <c r="T22" s="595">
        <f t="shared" si="5"/>
        <v>0</v>
      </c>
      <c r="U22" s="638">
        <f t="shared" si="6"/>
        <v>0</v>
      </c>
      <c r="X22" s="633" t="s">
        <v>385</v>
      </c>
      <c r="Y22" s="885">
        <v>0</v>
      </c>
      <c r="Z22" s="595">
        <f t="shared" si="16"/>
        <v>0</v>
      </c>
      <c r="AA22" s="595">
        <f t="shared" si="16"/>
        <v>0</v>
      </c>
      <c r="AB22" s="595">
        <f t="shared" si="16"/>
        <v>0</v>
      </c>
      <c r="AC22" s="595">
        <f t="shared" si="16"/>
        <v>0</v>
      </c>
      <c r="AD22" s="595">
        <f t="shared" si="16"/>
        <v>0</v>
      </c>
      <c r="AE22" s="638">
        <f t="shared" si="16"/>
        <v>0</v>
      </c>
      <c r="AG22" s="633" t="s">
        <v>385</v>
      </c>
      <c r="AH22" s="640">
        <f>'3. EDU Calculation'!M16</f>
        <v>0</v>
      </c>
      <c r="AI22" s="595">
        <f t="shared" si="17"/>
        <v>0</v>
      </c>
      <c r="AJ22" s="595">
        <f t="shared" si="18"/>
        <v>0</v>
      </c>
      <c r="AK22" s="595">
        <f t="shared" si="19"/>
        <v>0</v>
      </c>
      <c r="AL22" s="595">
        <f t="shared" si="20"/>
        <v>0</v>
      </c>
      <c r="AM22" s="595">
        <f t="shared" si="21"/>
        <v>0</v>
      </c>
      <c r="AN22" s="638">
        <f t="shared" si="22"/>
        <v>0</v>
      </c>
      <c r="AP22" s="597"/>
      <c r="AQ22" s="597"/>
      <c r="AS22" s="601">
        <f>'5. Vacant Land + Dev Summary'!Z27</f>
        <v>37.247425</v>
      </c>
      <c r="AT22" s="601">
        <f>'5. Vacant Land + Dev Summary'!AA27+'5. Vacant Land + Dev Summary'!AB27</f>
        <v>95.643614999999997</v>
      </c>
      <c r="AU22" s="601">
        <f>'5. Vacant Land + Dev Summary'!AC27+'5. Vacant Land + Dev Summary'!AD27+'5. Vacant Land + Dev Summary'!AE27</f>
        <v>44.56635</v>
      </c>
      <c r="AV22" s="601">
        <f>'5. Vacant Land + Dev Summary'!AF27</f>
        <v>6.1572300000000029</v>
      </c>
      <c r="AW22" s="601">
        <f>'5. Vacant Land + Dev Summary'!AI27</f>
        <v>0</v>
      </c>
      <c r="AX22" s="891">
        <f t="shared" si="9"/>
        <v>183.61462</v>
      </c>
      <c r="AZ22" s="869">
        <f t="shared" si="10"/>
        <v>0</v>
      </c>
      <c r="BA22" s="869">
        <f t="shared" si="11"/>
        <v>0</v>
      </c>
      <c r="BB22" s="869"/>
      <c r="BC22" s="869">
        <f t="shared" si="12"/>
        <v>0</v>
      </c>
      <c r="BD22" s="869">
        <f t="shared" si="13"/>
        <v>0</v>
      </c>
      <c r="BE22" s="869">
        <f t="shared" si="14"/>
        <v>0</v>
      </c>
      <c r="BF22" s="891">
        <f t="shared" si="23"/>
        <v>0</v>
      </c>
      <c r="BH22" s="607">
        <f t="shared" si="24"/>
        <v>0</v>
      </c>
      <c r="BI22" s="607">
        <f t="shared" si="25"/>
        <v>0</v>
      </c>
      <c r="BJ22" s="607"/>
      <c r="BK22" s="607">
        <f t="shared" si="26"/>
        <v>0</v>
      </c>
      <c r="BL22" s="607">
        <f t="shared" si="27"/>
        <v>0</v>
      </c>
      <c r="BM22" s="607">
        <f t="shared" si="28"/>
        <v>0</v>
      </c>
      <c r="BN22" s="894">
        <f t="shared" si="29"/>
        <v>0</v>
      </c>
    </row>
    <row r="23" spans="2:66" x14ac:dyDescent="0.2">
      <c r="B23" s="645" t="s">
        <v>229</v>
      </c>
      <c r="D23" s="633" t="s">
        <v>241</v>
      </c>
      <c r="E23" s="745">
        <f>'3. EDU Calculation'!M17</f>
        <v>1</v>
      </c>
      <c r="F23" s="640">
        <f>'3. EDU Calculation'!J17</f>
        <v>5</v>
      </c>
      <c r="G23" s="595">
        <f t="shared" si="0"/>
        <v>37.864842687643211</v>
      </c>
      <c r="H23" s="595">
        <f t="shared" si="0"/>
        <v>542.79037960091659</v>
      </c>
      <c r="I23" s="595">
        <f t="shared" si="0"/>
        <v>0</v>
      </c>
      <c r="J23" s="595">
        <f t="shared" si="0"/>
        <v>349.49798100003017</v>
      </c>
      <c r="K23" s="595">
        <f t="shared" si="0"/>
        <v>845.38149164233721</v>
      </c>
      <c r="L23" s="638">
        <f t="shared" si="0"/>
        <v>347.86739402512853</v>
      </c>
      <c r="N23" s="633" t="s">
        <v>385</v>
      </c>
      <c r="O23" s="637">
        <f>'3. EDU Calculation'!G17</f>
        <v>1</v>
      </c>
      <c r="P23" s="595">
        <f t="shared" si="1"/>
        <v>189.32421343821605</v>
      </c>
      <c r="Q23" s="595">
        <f t="shared" si="2"/>
        <v>2713.9518980045832</v>
      </c>
      <c r="R23" s="595">
        <f t="shared" si="3"/>
        <v>0</v>
      </c>
      <c r="S23" s="595">
        <f t="shared" si="4"/>
        <v>1747.4899050001509</v>
      </c>
      <c r="T23" s="595">
        <f t="shared" si="5"/>
        <v>4226.9074582116864</v>
      </c>
      <c r="U23" s="638">
        <f t="shared" si="6"/>
        <v>1739.3369701256427</v>
      </c>
      <c r="X23" s="633" t="s">
        <v>385</v>
      </c>
      <c r="Y23" s="745">
        <f>'3. EDU Calculation'!E17</f>
        <v>0.3</v>
      </c>
      <c r="Z23" s="595">
        <f t="shared" si="16"/>
        <v>189.32421343821605</v>
      </c>
      <c r="AA23" s="595">
        <f t="shared" si="16"/>
        <v>2713.9518980045827</v>
      </c>
      <c r="AB23" s="595">
        <f t="shared" si="16"/>
        <v>0</v>
      </c>
      <c r="AC23" s="595">
        <f t="shared" si="16"/>
        <v>1747.4899050001507</v>
      </c>
      <c r="AD23" s="595">
        <f t="shared" si="16"/>
        <v>4226.9074582116864</v>
      </c>
      <c r="AE23" s="638">
        <f t="shared" si="16"/>
        <v>1739.3369701256427</v>
      </c>
      <c r="AG23" s="633" t="s">
        <v>241</v>
      </c>
      <c r="AH23" s="640">
        <f>'3. EDU Calculation'!J17</f>
        <v>5</v>
      </c>
      <c r="AI23" s="595">
        <f t="shared" si="17"/>
        <v>37.864842687643211</v>
      </c>
      <c r="AJ23" s="595">
        <f t="shared" si="18"/>
        <v>542.79037960091659</v>
      </c>
      <c r="AK23" s="595">
        <f t="shared" si="19"/>
        <v>0</v>
      </c>
      <c r="AL23" s="595">
        <f t="shared" si="20"/>
        <v>349.49798100003011</v>
      </c>
      <c r="AM23" s="595">
        <f t="shared" si="21"/>
        <v>845.38149164233732</v>
      </c>
      <c r="AN23" s="638">
        <f t="shared" si="22"/>
        <v>347.86739402512853</v>
      </c>
      <c r="AP23" s="597"/>
      <c r="AQ23" s="597"/>
      <c r="AS23" s="601">
        <f>'5. Vacant Land + Dev Summary'!Z14</f>
        <v>1391.1418325</v>
      </c>
      <c r="AT23" s="601">
        <f>'5. Vacant Land + Dev Summary'!AA14+'5. Vacant Land + Dev Summary'!AB14</f>
        <v>47.439562500000001</v>
      </c>
      <c r="AU23" s="601">
        <f>'5. Vacant Land + Dev Summary'!AC14+'5. Vacant Land + Dev Summary'!AD14</f>
        <v>0</v>
      </c>
      <c r="AV23" s="601">
        <f>'5. Vacant Land + Dev Summary'!AF14</f>
        <v>49.500557499999999</v>
      </c>
      <c r="AW23" s="601">
        <f>'5. Vacant Land + Dev Summary'!AI14</f>
        <v>81.358175000000003</v>
      </c>
      <c r="AX23" s="886">
        <f t="shared" si="9"/>
        <v>1569.4401275</v>
      </c>
      <c r="AZ23" s="616">
        <f t="shared" si="10"/>
        <v>263376.83321906097</v>
      </c>
      <c r="BA23" s="616">
        <f t="shared" si="11"/>
        <v>128748.69068738203</v>
      </c>
      <c r="BB23" s="616"/>
      <c r="BC23" s="616">
        <f t="shared" si="12"/>
        <v>0</v>
      </c>
      <c r="BD23" s="616">
        <f t="shared" si="13"/>
        <v>209234.27568238642</v>
      </c>
      <c r="BE23" s="616">
        <f t="shared" si="14"/>
        <v>141509.28159945182</v>
      </c>
      <c r="BF23" s="886">
        <f t="shared" si="23"/>
        <v>742869.08118828118</v>
      </c>
      <c r="BH23" s="607">
        <f t="shared" si="24"/>
        <v>417.34254974999999</v>
      </c>
      <c r="BI23" s="607">
        <f t="shared" si="25"/>
        <v>14.23186875</v>
      </c>
      <c r="BJ23" s="607"/>
      <c r="BK23" s="607">
        <f t="shared" si="26"/>
        <v>0</v>
      </c>
      <c r="BL23" s="607">
        <f t="shared" si="27"/>
        <v>14.850167249999998</v>
      </c>
      <c r="BM23" s="607">
        <f t="shared" si="28"/>
        <v>24.407452500000002</v>
      </c>
      <c r="BN23" s="607">
        <f t="shared" si="29"/>
        <v>470.83203824999998</v>
      </c>
    </row>
    <row r="24" spans="2:66" x14ac:dyDescent="0.2">
      <c r="B24" s="645" t="s">
        <v>144</v>
      </c>
      <c r="D24" s="633" t="s">
        <v>385</v>
      </c>
      <c r="E24" s="745">
        <f>'3. EDU Calculation'!M18</f>
        <v>15.000000000000002</v>
      </c>
      <c r="F24" s="640">
        <v>1</v>
      </c>
      <c r="G24" s="595">
        <f t="shared" si="0"/>
        <v>567.97264031464829</v>
      </c>
      <c r="H24" s="595">
        <f t="shared" si="0"/>
        <v>8141.8556940137496</v>
      </c>
      <c r="I24" s="595">
        <f t="shared" si="0"/>
        <v>0</v>
      </c>
      <c r="J24" s="595">
        <f t="shared" si="0"/>
        <v>5242.4697150004531</v>
      </c>
      <c r="K24" s="595">
        <f t="shared" si="0"/>
        <v>12680.722374635059</v>
      </c>
      <c r="L24" s="638">
        <f t="shared" si="0"/>
        <v>5218.0109103769282</v>
      </c>
      <c r="N24" s="633" t="s">
        <v>385</v>
      </c>
      <c r="O24" s="637">
        <f>'3. EDU Calculation'!G18</f>
        <v>3</v>
      </c>
      <c r="P24" s="595">
        <f t="shared" si="1"/>
        <v>567.97264031464829</v>
      </c>
      <c r="Q24" s="595">
        <f t="shared" si="2"/>
        <v>8141.8556940137496</v>
      </c>
      <c r="R24" s="595">
        <f t="shared" si="3"/>
        <v>0</v>
      </c>
      <c r="S24" s="595">
        <f t="shared" si="4"/>
        <v>5242.4697150004531</v>
      </c>
      <c r="T24" s="595">
        <f t="shared" si="5"/>
        <v>12680.722374635059</v>
      </c>
      <c r="U24" s="638">
        <f t="shared" si="6"/>
        <v>5218.0109103769282</v>
      </c>
      <c r="X24" s="633" t="s">
        <v>385</v>
      </c>
      <c r="Y24" s="745">
        <f>'3. EDU Calculation'!E18</f>
        <v>0.9</v>
      </c>
      <c r="Z24" s="595">
        <f t="shared" si="16"/>
        <v>567.97264031464817</v>
      </c>
      <c r="AA24" s="595">
        <f t="shared" si="16"/>
        <v>8141.8556940137496</v>
      </c>
      <c r="AB24" s="595">
        <f t="shared" si="16"/>
        <v>0</v>
      </c>
      <c r="AC24" s="595">
        <f t="shared" si="16"/>
        <v>5242.4697150004522</v>
      </c>
      <c r="AD24" s="595">
        <f t="shared" si="16"/>
        <v>12680.722374635059</v>
      </c>
      <c r="AE24" s="638">
        <f t="shared" si="16"/>
        <v>5218.0109103769282</v>
      </c>
      <c r="AG24" s="633" t="s">
        <v>385</v>
      </c>
      <c r="AH24" s="640">
        <v>1</v>
      </c>
      <c r="AI24" s="595">
        <f t="shared" si="17"/>
        <v>567.97264031464817</v>
      </c>
      <c r="AJ24" s="595">
        <f t="shared" si="18"/>
        <v>8141.8556940137496</v>
      </c>
      <c r="AK24" s="595">
        <f t="shared" si="19"/>
        <v>0</v>
      </c>
      <c r="AL24" s="595">
        <f t="shared" si="20"/>
        <v>5242.4697150004522</v>
      </c>
      <c r="AM24" s="595">
        <f t="shared" si="21"/>
        <v>12680.722374635059</v>
      </c>
      <c r="AN24" s="638">
        <f t="shared" si="22"/>
        <v>5218.0109103769282</v>
      </c>
      <c r="AP24" s="597"/>
      <c r="AQ24" s="597"/>
      <c r="AS24" s="601">
        <f>'5. Vacant Land + Dev Summary'!Z16</f>
        <v>0</v>
      </c>
      <c r="AT24" s="601">
        <f>'5. Vacant Land + Dev Summary'!AA16+'5. Vacant Land + Dev Summary'!AB16</f>
        <v>0</v>
      </c>
      <c r="AU24" s="601">
        <f>'5. Vacant Land + Dev Summary'!AC16+'5. Vacant Land + Dev Summary'!AD16+'5. Vacant Land + Dev Summary'!AE16</f>
        <v>0.85</v>
      </c>
      <c r="AV24" s="601">
        <f>'5. Vacant Land + Dev Summary'!AF16</f>
        <v>0</v>
      </c>
      <c r="AW24" s="601">
        <f>'5. Vacant Land + Dev Summary'!AI16</f>
        <v>0</v>
      </c>
      <c r="AX24" s="886">
        <f t="shared" si="9"/>
        <v>0.85</v>
      </c>
      <c r="AZ24" s="616">
        <f t="shared" si="10"/>
        <v>0</v>
      </c>
      <c r="BA24" s="616">
        <f t="shared" si="11"/>
        <v>0</v>
      </c>
      <c r="BB24" s="616"/>
      <c r="BC24" s="616">
        <f t="shared" si="12"/>
        <v>4456.0992577503839</v>
      </c>
      <c r="BD24" s="616">
        <f t="shared" si="13"/>
        <v>0</v>
      </c>
      <c r="BE24" s="616">
        <f t="shared" si="14"/>
        <v>0</v>
      </c>
      <c r="BF24" s="886">
        <f t="shared" si="23"/>
        <v>4456.0992577503839</v>
      </c>
      <c r="BH24" s="607">
        <f t="shared" si="24"/>
        <v>0</v>
      </c>
      <c r="BI24" s="607">
        <f t="shared" si="25"/>
        <v>0</v>
      </c>
      <c r="BJ24" s="607"/>
      <c r="BK24" s="607">
        <f t="shared" si="26"/>
        <v>0.76500000000000001</v>
      </c>
      <c r="BL24" s="607">
        <f t="shared" si="27"/>
        <v>0</v>
      </c>
      <c r="BM24" s="607">
        <f t="shared" si="28"/>
        <v>0</v>
      </c>
      <c r="BN24" s="607">
        <f t="shared" si="29"/>
        <v>0.76500000000000001</v>
      </c>
    </row>
    <row r="25" spans="2:66" x14ac:dyDescent="0.2">
      <c r="B25" s="645" t="s">
        <v>142</v>
      </c>
      <c r="D25" s="633" t="s">
        <v>385</v>
      </c>
      <c r="E25" s="745">
        <f>'3. EDU Calculation'!M19</f>
        <v>15.000000000000002</v>
      </c>
      <c r="F25" s="640">
        <v>1</v>
      </c>
      <c r="G25" s="595">
        <f t="shared" si="0"/>
        <v>567.97264031464829</v>
      </c>
      <c r="H25" s="595">
        <f t="shared" si="0"/>
        <v>8141.8556940137496</v>
      </c>
      <c r="I25" s="595">
        <f t="shared" si="0"/>
        <v>0</v>
      </c>
      <c r="J25" s="595">
        <f t="shared" si="0"/>
        <v>5242.4697150004531</v>
      </c>
      <c r="K25" s="595">
        <f t="shared" si="0"/>
        <v>12680.722374635059</v>
      </c>
      <c r="L25" s="638">
        <f t="shared" si="0"/>
        <v>5218.0109103769282</v>
      </c>
      <c r="N25" s="633" t="s">
        <v>385</v>
      </c>
      <c r="O25" s="637">
        <f>'3. EDU Calculation'!G19</f>
        <v>3</v>
      </c>
      <c r="P25" s="595">
        <f t="shared" si="1"/>
        <v>567.97264031464829</v>
      </c>
      <c r="Q25" s="595">
        <f t="shared" si="2"/>
        <v>8141.8556940137496</v>
      </c>
      <c r="R25" s="595">
        <f t="shared" si="3"/>
        <v>0</v>
      </c>
      <c r="S25" s="595">
        <f t="shared" si="4"/>
        <v>5242.4697150004531</v>
      </c>
      <c r="T25" s="595">
        <f t="shared" si="5"/>
        <v>12680.722374635059</v>
      </c>
      <c r="U25" s="638">
        <f t="shared" si="6"/>
        <v>5218.0109103769282</v>
      </c>
      <c r="X25" s="633" t="s">
        <v>385</v>
      </c>
      <c r="Y25" s="745">
        <f>'3. EDU Calculation'!E19</f>
        <v>0.9</v>
      </c>
      <c r="Z25" s="595">
        <f t="shared" si="16"/>
        <v>567.97264031464817</v>
      </c>
      <c r="AA25" s="595">
        <f t="shared" si="16"/>
        <v>8141.8556940137496</v>
      </c>
      <c r="AB25" s="595">
        <f t="shared" si="16"/>
        <v>0</v>
      </c>
      <c r="AC25" s="595">
        <f t="shared" si="16"/>
        <v>5242.4697150004522</v>
      </c>
      <c r="AD25" s="595">
        <f t="shared" si="16"/>
        <v>12680.722374635059</v>
      </c>
      <c r="AE25" s="638">
        <f t="shared" si="16"/>
        <v>5218.0109103769282</v>
      </c>
      <c r="AG25" s="633" t="s">
        <v>385</v>
      </c>
      <c r="AH25" s="640">
        <v>1</v>
      </c>
      <c r="AI25" s="595">
        <f t="shared" si="17"/>
        <v>567.97264031464817</v>
      </c>
      <c r="AJ25" s="595">
        <f t="shared" si="18"/>
        <v>8141.8556940137496</v>
      </c>
      <c r="AK25" s="595">
        <f t="shared" si="19"/>
        <v>0</v>
      </c>
      <c r="AL25" s="595">
        <f t="shared" si="20"/>
        <v>5242.4697150004522</v>
      </c>
      <c r="AM25" s="595">
        <f t="shared" si="21"/>
        <v>12680.722374635059</v>
      </c>
      <c r="AN25" s="638">
        <f t="shared" si="22"/>
        <v>5218.0109103769282</v>
      </c>
      <c r="AP25" s="597"/>
      <c r="AQ25" s="597"/>
      <c r="AS25" s="601">
        <f>'5. Vacant Land + Dev Summary'!Z17</f>
        <v>0</v>
      </c>
      <c r="AT25" s="601">
        <f>'5. Vacant Land + Dev Summary'!AA17+'5. Vacant Land + Dev Summary'!AB17</f>
        <v>60.575590000000005</v>
      </c>
      <c r="AU25" s="601">
        <f>'5. Vacant Land + Dev Summary'!AC17+'5. Vacant Land + Dev Summary'!AD17+'5. Vacant Land + Dev Summary'!AE17</f>
        <v>74.729109999999991</v>
      </c>
      <c r="AV25" s="601">
        <f>'5. Vacant Land + Dev Summary'!AF17</f>
        <v>39.820630000000001</v>
      </c>
      <c r="AW25" s="601">
        <f>'5. Vacant Land + Dev Summary'!AI17</f>
        <v>19.894759999999998</v>
      </c>
      <c r="AX25" s="886">
        <f t="shared" si="9"/>
        <v>195.02008999999998</v>
      </c>
      <c r="AZ25" s="616">
        <f t="shared" si="10"/>
        <v>0</v>
      </c>
      <c r="BA25" s="616">
        <f t="shared" si="11"/>
        <v>493197.71235974238</v>
      </c>
      <c r="BB25" s="616"/>
      <c r="BC25" s="616">
        <f t="shared" si="12"/>
        <v>391765.09600393742</v>
      </c>
      <c r="BD25" s="616">
        <f t="shared" si="13"/>
        <v>504954.35381306411</v>
      </c>
      <c r="BE25" s="616">
        <f t="shared" si="14"/>
        <v>103811.07473933049</v>
      </c>
      <c r="BF25" s="886">
        <f t="shared" si="23"/>
        <v>1493728.2369160743</v>
      </c>
      <c r="BH25" s="607">
        <f t="shared" si="24"/>
        <v>0</v>
      </c>
      <c r="BI25" s="607">
        <f t="shared" si="25"/>
        <v>54.518031000000008</v>
      </c>
      <c r="BJ25" s="607"/>
      <c r="BK25" s="607">
        <f t="shared" si="26"/>
        <v>67.256198999999995</v>
      </c>
      <c r="BL25" s="607">
        <f t="shared" si="27"/>
        <v>35.838567000000005</v>
      </c>
      <c r="BM25" s="607">
        <f t="shared" si="28"/>
        <v>17.905283999999998</v>
      </c>
      <c r="BN25" s="607">
        <f t="shared" si="29"/>
        <v>175.518081</v>
      </c>
    </row>
    <row r="26" spans="2:66" x14ac:dyDescent="0.2">
      <c r="B26" s="645" t="s">
        <v>143</v>
      </c>
      <c r="D26" s="633" t="s">
        <v>385</v>
      </c>
      <c r="E26" s="745">
        <f>'3. EDU Calculation'!M20</f>
        <v>15.000000000000002</v>
      </c>
      <c r="F26" s="640">
        <v>1</v>
      </c>
      <c r="G26" s="595">
        <f t="shared" ref="G26:L35" si="30">G$13*$E26</f>
        <v>567.97264031464829</v>
      </c>
      <c r="H26" s="595">
        <f t="shared" si="30"/>
        <v>8141.8556940137496</v>
      </c>
      <c r="I26" s="595">
        <f t="shared" si="30"/>
        <v>0</v>
      </c>
      <c r="J26" s="595">
        <f t="shared" si="30"/>
        <v>5242.4697150004531</v>
      </c>
      <c r="K26" s="595">
        <f t="shared" si="30"/>
        <v>12680.722374635059</v>
      </c>
      <c r="L26" s="638">
        <f t="shared" si="30"/>
        <v>5218.0109103769282</v>
      </c>
      <c r="N26" s="633" t="s">
        <v>385</v>
      </c>
      <c r="O26" s="637">
        <f>'3. EDU Calculation'!G20</f>
        <v>3</v>
      </c>
      <c r="P26" s="595">
        <f t="shared" si="1"/>
        <v>567.97264031464829</v>
      </c>
      <c r="Q26" s="595">
        <f t="shared" si="2"/>
        <v>8141.8556940137496</v>
      </c>
      <c r="R26" s="595">
        <f t="shared" si="3"/>
        <v>0</v>
      </c>
      <c r="S26" s="595">
        <f t="shared" si="4"/>
        <v>5242.4697150004531</v>
      </c>
      <c r="T26" s="595">
        <f t="shared" si="5"/>
        <v>12680.722374635059</v>
      </c>
      <c r="U26" s="638">
        <f t="shared" si="6"/>
        <v>5218.0109103769282</v>
      </c>
      <c r="X26" s="633" t="s">
        <v>385</v>
      </c>
      <c r="Y26" s="745">
        <f>'3. EDU Calculation'!E20</f>
        <v>0.9</v>
      </c>
      <c r="Z26" s="595">
        <f t="shared" si="16"/>
        <v>567.97264031464817</v>
      </c>
      <c r="AA26" s="595">
        <f t="shared" si="16"/>
        <v>8141.8556940137496</v>
      </c>
      <c r="AB26" s="595">
        <f t="shared" si="16"/>
        <v>0</v>
      </c>
      <c r="AC26" s="595">
        <f t="shared" si="16"/>
        <v>5242.4697150004522</v>
      </c>
      <c r="AD26" s="595">
        <f t="shared" si="16"/>
        <v>12680.722374635059</v>
      </c>
      <c r="AE26" s="638">
        <f t="shared" si="16"/>
        <v>5218.0109103769282</v>
      </c>
      <c r="AG26" s="633" t="s">
        <v>385</v>
      </c>
      <c r="AH26" s="640">
        <v>1</v>
      </c>
      <c r="AI26" s="595">
        <f t="shared" si="17"/>
        <v>567.97264031464817</v>
      </c>
      <c r="AJ26" s="595">
        <f t="shared" si="18"/>
        <v>8141.8556940137496</v>
      </c>
      <c r="AK26" s="595">
        <f t="shared" si="19"/>
        <v>0</v>
      </c>
      <c r="AL26" s="595">
        <f t="shared" si="20"/>
        <v>5242.4697150004522</v>
      </c>
      <c r="AM26" s="595">
        <f t="shared" si="21"/>
        <v>12680.722374635059</v>
      </c>
      <c r="AN26" s="638">
        <f t="shared" si="22"/>
        <v>5218.0109103769282</v>
      </c>
      <c r="AP26" s="597"/>
      <c r="AQ26" s="597"/>
      <c r="AS26" s="601">
        <f>'5. Vacant Land + Dev Summary'!Z18</f>
        <v>0</v>
      </c>
      <c r="AT26" s="601">
        <f>'5. Vacant Land + Dev Summary'!AA18+'5. Vacant Land + Dev Summary'!AB18</f>
        <v>34.069614999999999</v>
      </c>
      <c r="AU26" s="601">
        <f>'5. Vacant Land + Dev Summary'!AC18+'5. Vacant Land + Dev Summary'!AD18+'5. Vacant Land + Dev Summary'!AE18</f>
        <v>48.509074999999996</v>
      </c>
      <c r="AV26" s="601">
        <f>'5. Vacant Land + Dev Summary'!AF18</f>
        <v>77.106305000000006</v>
      </c>
      <c r="AW26" s="601">
        <f>'5. Vacant Land + Dev Summary'!AI18</f>
        <v>88.13862499999999</v>
      </c>
      <c r="AX26" s="886">
        <f t="shared" si="9"/>
        <v>247.82362000000001</v>
      </c>
      <c r="AZ26" s="616">
        <f t="shared" si="10"/>
        <v>0</v>
      </c>
      <c r="BA26" s="616">
        <f t="shared" si="11"/>
        <v>277389.88888060622</v>
      </c>
      <c r="BB26" s="616"/>
      <c r="BC26" s="616">
        <f t="shared" si="12"/>
        <v>254307.35659018555</v>
      </c>
      <c r="BD26" s="616">
        <f t="shared" si="13"/>
        <v>977763.64703893522</v>
      </c>
      <c r="BE26" s="616">
        <f t="shared" si="14"/>
        <v>459908.30687562062</v>
      </c>
      <c r="BF26" s="886">
        <f t="shared" si="23"/>
        <v>1969369.1993853478</v>
      </c>
      <c r="BH26" s="607">
        <f t="shared" si="24"/>
        <v>0</v>
      </c>
      <c r="BI26" s="607">
        <f t="shared" si="25"/>
        <v>30.662653500000001</v>
      </c>
      <c r="BJ26" s="607"/>
      <c r="BK26" s="607">
        <f t="shared" si="26"/>
        <v>43.658167499999998</v>
      </c>
      <c r="BL26" s="607">
        <f t="shared" si="27"/>
        <v>69.395674500000013</v>
      </c>
      <c r="BM26" s="607">
        <f t="shared" si="28"/>
        <v>79.324762499999991</v>
      </c>
      <c r="BN26" s="607">
        <f t="shared" si="29"/>
        <v>223.041258</v>
      </c>
    </row>
    <row r="27" spans="2:66" x14ac:dyDescent="0.2">
      <c r="B27" s="645" t="s">
        <v>145</v>
      </c>
      <c r="D27" s="633" t="s">
        <v>385</v>
      </c>
      <c r="E27" s="745">
        <f>'3. EDU Calculation'!M21</f>
        <v>15.000000000000002</v>
      </c>
      <c r="F27" s="640">
        <v>1</v>
      </c>
      <c r="G27" s="595">
        <f t="shared" si="30"/>
        <v>567.97264031464829</v>
      </c>
      <c r="H27" s="595">
        <f t="shared" si="30"/>
        <v>8141.8556940137496</v>
      </c>
      <c r="I27" s="595">
        <f t="shared" si="30"/>
        <v>0</v>
      </c>
      <c r="J27" s="595">
        <f t="shared" si="30"/>
        <v>5242.4697150004531</v>
      </c>
      <c r="K27" s="595">
        <f t="shared" si="30"/>
        <v>12680.722374635059</v>
      </c>
      <c r="L27" s="638">
        <f t="shared" si="30"/>
        <v>5218.0109103769282</v>
      </c>
      <c r="N27" s="633" t="s">
        <v>385</v>
      </c>
      <c r="O27" s="637">
        <f>'3. EDU Calculation'!G21</f>
        <v>3</v>
      </c>
      <c r="P27" s="595">
        <f t="shared" si="1"/>
        <v>567.97264031464829</v>
      </c>
      <c r="Q27" s="595">
        <f t="shared" si="2"/>
        <v>8141.8556940137496</v>
      </c>
      <c r="R27" s="595">
        <f t="shared" si="3"/>
        <v>0</v>
      </c>
      <c r="S27" s="595">
        <f t="shared" si="4"/>
        <v>5242.4697150004531</v>
      </c>
      <c r="T27" s="595">
        <f t="shared" si="5"/>
        <v>12680.722374635059</v>
      </c>
      <c r="U27" s="638">
        <f t="shared" si="6"/>
        <v>5218.0109103769282</v>
      </c>
      <c r="X27" s="633" t="s">
        <v>385</v>
      </c>
      <c r="Y27" s="745">
        <f>'3. EDU Calculation'!E21</f>
        <v>0.9</v>
      </c>
      <c r="Z27" s="595">
        <f t="shared" si="16"/>
        <v>567.97264031464817</v>
      </c>
      <c r="AA27" s="595">
        <f t="shared" si="16"/>
        <v>8141.8556940137496</v>
      </c>
      <c r="AB27" s="595">
        <f t="shared" si="16"/>
        <v>0</v>
      </c>
      <c r="AC27" s="595">
        <f t="shared" si="16"/>
        <v>5242.4697150004522</v>
      </c>
      <c r="AD27" s="595">
        <f t="shared" si="16"/>
        <v>12680.722374635059</v>
      </c>
      <c r="AE27" s="638">
        <f t="shared" si="16"/>
        <v>5218.0109103769282</v>
      </c>
      <c r="AG27" s="633" t="s">
        <v>385</v>
      </c>
      <c r="AH27" s="640">
        <v>1</v>
      </c>
      <c r="AI27" s="595">
        <f t="shared" si="17"/>
        <v>567.97264031464817</v>
      </c>
      <c r="AJ27" s="595">
        <f t="shared" si="18"/>
        <v>8141.8556940137496</v>
      </c>
      <c r="AK27" s="595">
        <f t="shared" si="19"/>
        <v>0</v>
      </c>
      <c r="AL27" s="595">
        <f t="shared" si="20"/>
        <v>5242.4697150004522</v>
      </c>
      <c r="AM27" s="595">
        <f t="shared" si="21"/>
        <v>12680.722374635059</v>
      </c>
      <c r="AN27" s="638">
        <f t="shared" si="22"/>
        <v>5218.0109103769282</v>
      </c>
      <c r="AP27" s="597"/>
      <c r="AQ27" s="597"/>
      <c r="AS27" s="601">
        <f>'5. Vacant Land + Dev Summary'!Z24</f>
        <v>0</v>
      </c>
      <c r="AT27" s="601">
        <f>'5. Vacant Land + Dev Summary'!AA24+'5. Vacant Land + Dev Summary'!AB24</f>
        <v>9.2682300000000009</v>
      </c>
      <c r="AU27" s="601">
        <f>'5. Vacant Land + Dev Summary'!AC24+'5. Vacant Land + Dev Summary'!AD24+'5. Vacant Land + Dev Summary'!AE24</f>
        <v>30.105129999999999</v>
      </c>
      <c r="AV27" s="601">
        <f>'5. Vacant Land + Dev Summary'!AF24</f>
        <v>8.3643400000000003</v>
      </c>
      <c r="AW27" s="601">
        <f>'5. Vacant Land + Dev Summary'!AI24</f>
        <v>0</v>
      </c>
      <c r="AX27" s="886">
        <f t="shared" si="9"/>
        <v>47.737699999999997</v>
      </c>
      <c r="AZ27" s="616">
        <f t="shared" si="10"/>
        <v>0</v>
      </c>
      <c r="BA27" s="616">
        <f t="shared" si="11"/>
        <v>75460.591198929062</v>
      </c>
      <c r="BB27" s="616"/>
      <c r="BC27" s="616">
        <f t="shared" si="12"/>
        <v>157825.23229115157</v>
      </c>
      <c r="BD27" s="616">
        <f t="shared" si="13"/>
        <v>106065.87338705502</v>
      </c>
      <c r="BE27" s="616">
        <f t="shared" si="14"/>
        <v>0</v>
      </c>
      <c r="BF27" s="886">
        <f t="shared" si="23"/>
        <v>339351.69687713566</v>
      </c>
      <c r="BH27" s="607">
        <f t="shared" si="24"/>
        <v>0</v>
      </c>
      <c r="BI27" s="607">
        <f t="shared" si="25"/>
        <v>8.3414070000000002</v>
      </c>
      <c r="BJ27" s="607"/>
      <c r="BK27" s="607">
        <f t="shared" si="26"/>
        <v>27.094617</v>
      </c>
      <c r="BL27" s="607">
        <f t="shared" si="27"/>
        <v>7.5279060000000007</v>
      </c>
      <c r="BM27" s="607">
        <f t="shared" si="28"/>
        <v>0</v>
      </c>
      <c r="BN27" s="607">
        <f t="shared" si="29"/>
        <v>42.963930000000005</v>
      </c>
    </row>
    <row r="28" spans="2:66" x14ac:dyDescent="0.2">
      <c r="B28" s="645" t="s">
        <v>146</v>
      </c>
      <c r="D28" s="633" t="s">
        <v>385</v>
      </c>
      <c r="E28" s="745">
        <f>'3. EDU Calculation'!M22</f>
        <v>11.666666666666666</v>
      </c>
      <c r="F28" s="640">
        <v>1</v>
      </c>
      <c r="G28" s="595">
        <f t="shared" si="30"/>
        <v>441.7564980225041</v>
      </c>
      <c r="H28" s="595">
        <f t="shared" si="30"/>
        <v>6332.5544286773602</v>
      </c>
      <c r="I28" s="595">
        <f t="shared" si="30"/>
        <v>0</v>
      </c>
      <c r="J28" s="595">
        <f t="shared" si="30"/>
        <v>4077.4764450003518</v>
      </c>
      <c r="K28" s="595">
        <f t="shared" si="30"/>
        <v>9862.7840691605998</v>
      </c>
      <c r="L28" s="638">
        <f t="shared" si="30"/>
        <v>4058.452930293166</v>
      </c>
      <c r="N28" s="633" t="s">
        <v>385</v>
      </c>
      <c r="O28" s="637">
        <f>'3. EDU Calculation'!G22</f>
        <v>2.3333333333333335</v>
      </c>
      <c r="P28" s="595">
        <f t="shared" si="1"/>
        <v>441.7564980225041</v>
      </c>
      <c r="Q28" s="595">
        <f t="shared" si="2"/>
        <v>6332.5544286773602</v>
      </c>
      <c r="R28" s="595">
        <f t="shared" si="3"/>
        <v>0</v>
      </c>
      <c r="S28" s="595">
        <f t="shared" si="4"/>
        <v>4077.4764450003518</v>
      </c>
      <c r="T28" s="595">
        <f t="shared" si="5"/>
        <v>9862.7840691605998</v>
      </c>
      <c r="U28" s="638">
        <f t="shared" si="6"/>
        <v>4058.452930293166</v>
      </c>
      <c r="X28" s="633" t="s">
        <v>385</v>
      </c>
      <c r="Y28" s="745">
        <f>'3. EDU Calculation'!E22</f>
        <v>0.7</v>
      </c>
      <c r="Z28" s="595">
        <f t="shared" si="16"/>
        <v>441.7564980225041</v>
      </c>
      <c r="AA28" s="595">
        <f t="shared" si="16"/>
        <v>6332.5544286773602</v>
      </c>
      <c r="AB28" s="595">
        <f t="shared" si="16"/>
        <v>0</v>
      </c>
      <c r="AC28" s="595">
        <f t="shared" si="16"/>
        <v>4077.4764450003518</v>
      </c>
      <c r="AD28" s="595">
        <f t="shared" si="16"/>
        <v>9862.7840691606016</v>
      </c>
      <c r="AE28" s="638">
        <f t="shared" si="16"/>
        <v>4058.4529302931664</v>
      </c>
      <c r="AG28" s="633" t="s">
        <v>385</v>
      </c>
      <c r="AH28" s="640">
        <v>1</v>
      </c>
      <c r="AI28" s="595">
        <f t="shared" si="17"/>
        <v>441.7564980225041</v>
      </c>
      <c r="AJ28" s="595">
        <f t="shared" si="18"/>
        <v>6332.5544286773602</v>
      </c>
      <c r="AK28" s="595">
        <f t="shared" si="19"/>
        <v>0</v>
      </c>
      <c r="AL28" s="595">
        <f t="shared" si="20"/>
        <v>4077.4764450003518</v>
      </c>
      <c r="AM28" s="595">
        <f t="shared" si="21"/>
        <v>9862.7840691606016</v>
      </c>
      <c r="AN28" s="638">
        <f t="shared" si="22"/>
        <v>4058.4529302931664</v>
      </c>
      <c r="AP28" s="597"/>
      <c r="AQ28" s="597"/>
      <c r="AS28" s="601">
        <f>'5. Vacant Land + Dev Summary'!Z20</f>
        <v>81.197609999999997</v>
      </c>
      <c r="AT28" s="601">
        <f>'5. Vacant Land + Dev Summary'!AA20+'5. Vacant Land + Dev Summary'!AB20</f>
        <v>0</v>
      </c>
      <c r="AU28" s="601">
        <f>'5. Vacant Land + Dev Summary'!AC20+'5. Vacant Land + Dev Summary'!AD20+'5. Vacant Land + Dev Summary'!AE20</f>
        <v>83.93639499999999</v>
      </c>
      <c r="AV28" s="601">
        <f>'5. Vacant Land + Dev Summary'!AF20</f>
        <v>247.11582500000003</v>
      </c>
      <c r="AW28" s="601">
        <f>'5. Vacant Land + Dev Summary'!AI20</f>
        <v>0</v>
      </c>
      <c r="AX28" s="886">
        <f t="shared" si="9"/>
        <v>412.24983000000003</v>
      </c>
      <c r="AZ28" s="616">
        <f t="shared" si="10"/>
        <v>35869.571841397061</v>
      </c>
      <c r="BA28" s="616">
        <f t="shared" si="11"/>
        <v>0</v>
      </c>
      <c r="BB28" s="616"/>
      <c r="BC28" s="616">
        <f t="shared" si="12"/>
        <v>342248.67349074525</v>
      </c>
      <c r="BD28" s="616">
        <f t="shared" si="13"/>
        <v>2437250.0220474796</v>
      </c>
      <c r="BE28" s="616">
        <f t="shared" si="14"/>
        <v>0</v>
      </c>
      <c r="BF28" s="886">
        <f t="shared" si="23"/>
        <v>2815368.267379622</v>
      </c>
      <c r="BH28" s="607">
        <f t="shared" si="24"/>
        <v>56.838326999999992</v>
      </c>
      <c r="BI28" s="607">
        <f t="shared" si="25"/>
        <v>0</v>
      </c>
      <c r="BJ28" s="607"/>
      <c r="BK28" s="607">
        <f t="shared" si="26"/>
        <v>58.755476499999986</v>
      </c>
      <c r="BL28" s="607">
        <f t="shared" si="27"/>
        <v>172.9810775</v>
      </c>
      <c r="BM28" s="607">
        <f t="shared" si="28"/>
        <v>0</v>
      </c>
      <c r="BN28" s="607">
        <f t="shared" si="29"/>
        <v>288.574881</v>
      </c>
    </row>
    <row r="29" spans="2:66" x14ac:dyDescent="0.2">
      <c r="B29" s="645" t="s">
        <v>148</v>
      </c>
      <c r="D29" s="633" t="s">
        <v>385</v>
      </c>
      <c r="E29" s="745">
        <f>'3. EDU Calculation'!M23</f>
        <v>11.666666666666666</v>
      </c>
      <c r="F29" s="640">
        <v>1</v>
      </c>
      <c r="G29" s="595">
        <f t="shared" si="30"/>
        <v>441.7564980225041</v>
      </c>
      <c r="H29" s="595">
        <f t="shared" si="30"/>
        <v>6332.5544286773602</v>
      </c>
      <c r="I29" s="595">
        <f t="shared" si="30"/>
        <v>0</v>
      </c>
      <c r="J29" s="595">
        <f t="shared" si="30"/>
        <v>4077.4764450003518</v>
      </c>
      <c r="K29" s="595">
        <f t="shared" si="30"/>
        <v>9862.7840691605998</v>
      </c>
      <c r="L29" s="638">
        <f t="shared" si="30"/>
        <v>4058.452930293166</v>
      </c>
      <c r="N29" s="633" t="s">
        <v>385</v>
      </c>
      <c r="O29" s="637">
        <f>'3. EDU Calculation'!G23</f>
        <v>2.3333333333333335</v>
      </c>
      <c r="P29" s="595">
        <f t="shared" si="1"/>
        <v>441.7564980225041</v>
      </c>
      <c r="Q29" s="595">
        <f t="shared" si="2"/>
        <v>6332.5544286773602</v>
      </c>
      <c r="R29" s="595">
        <f t="shared" si="3"/>
        <v>0</v>
      </c>
      <c r="S29" s="595">
        <f t="shared" si="4"/>
        <v>4077.4764450003518</v>
      </c>
      <c r="T29" s="595">
        <f t="shared" si="5"/>
        <v>9862.7840691605998</v>
      </c>
      <c r="U29" s="638">
        <f t="shared" si="6"/>
        <v>4058.452930293166</v>
      </c>
      <c r="X29" s="633" t="s">
        <v>385</v>
      </c>
      <c r="Y29" s="745">
        <f>'3. EDU Calculation'!E23</f>
        <v>0.7</v>
      </c>
      <c r="Z29" s="595">
        <f t="shared" si="16"/>
        <v>441.7564980225041</v>
      </c>
      <c r="AA29" s="595">
        <f t="shared" si="16"/>
        <v>6332.5544286773602</v>
      </c>
      <c r="AB29" s="595">
        <f t="shared" si="16"/>
        <v>0</v>
      </c>
      <c r="AC29" s="595">
        <f t="shared" si="16"/>
        <v>4077.4764450003518</v>
      </c>
      <c r="AD29" s="595">
        <f t="shared" si="16"/>
        <v>9862.7840691606016</v>
      </c>
      <c r="AE29" s="638">
        <f t="shared" si="16"/>
        <v>4058.4529302931664</v>
      </c>
      <c r="AG29" s="633" t="s">
        <v>385</v>
      </c>
      <c r="AH29" s="640">
        <v>1</v>
      </c>
      <c r="AI29" s="595">
        <f t="shared" si="17"/>
        <v>441.7564980225041</v>
      </c>
      <c r="AJ29" s="595">
        <f t="shared" si="18"/>
        <v>6332.5544286773602</v>
      </c>
      <c r="AK29" s="595">
        <f t="shared" si="19"/>
        <v>0</v>
      </c>
      <c r="AL29" s="595">
        <f t="shared" si="20"/>
        <v>4077.4764450003518</v>
      </c>
      <c r="AM29" s="595">
        <f t="shared" si="21"/>
        <v>9862.7840691606016</v>
      </c>
      <c r="AN29" s="638">
        <f t="shared" si="22"/>
        <v>4058.4529302931664</v>
      </c>
      <c r="AP29" s="597"/>
      <c r="AQ29" s="597"/>
      <c r="AS29" s="601">
        <f>'5. Vacant Land + Dev Summary'!Z22</f>
        <v>191.47176499999998</v>
      </c>
      <c r="AT29" s="601">
        <f>'5. Vacant Land + Dev Summary'!AA22+'5. Vacant Land + Dev Summary'!AB22</f>
        <v>117.238885</v>
      </c>
      <c r="AU29" s="601">
        <f>'5. Vacant Land + Dev Summary'!AC22+'5. Vacant Land + Dev Summary'!AD22+'5. Vacant Land + Dev Summary'!AE22</f>
        <v>325.76088500000003</v>
      </c>
      <c r="AV29" s="601">
        <f>'5. Vacant Land + Dev Summary'!AF22</f>
        <v>3.3449200000000001</v>
      </c>
      <c r="AW29" s="601">
        <f>'5. Vacant Land + Dev Summary'!AI22</f>
        <v>0</v>
      </c>
      <c r="AX29" s="886">
        <f t="shared" si="9"/>
        <v>637.81645500000002</v>
      </c>
      <c r="AZ29" s="616">
        <f t="shared" si="10"/>
        <v>84583.896376587858</v>
      </c>
      <c r="BA29" s="616">
        <f t="shared" si="11"/>
        <v>742421.62041994568</v>
      </c>
      <c r="BB29" s="616"/>
      <c r="BC29" s="616">
        <f t="shared" si="12"/>
        <v>1328282.3352899686</v>
      </c>
      <c r="BD29" s="616">
        <f t="shared" si="13"/>
        <v>32990.223688616679</v>
      </c>
      <c r="BE29" s="616">
        <f t="shared" si="14"/>
        <v>0</v>
      </c>
      <c r="BF29" s="886">
        <f t="shared" si="23"/>
        <v>2188278.075775119</v>
      </c>
      <c r="BH29" s="607">
        <f t="shared" si="24"/>
        <v>134.03023549999997</v>
      </c>
      <c r="BI29" s="607">
        <f t="shared" si="25"/>
        <v>82.067219499999993</v>
      </c>
      <c r="BJ29" s="607"/>
      <c r="BK29" s="607">
        <f t="shared" si="26"/>
        <v>228.03261950000001</v>
      </c>
      <c r="BL29" s="607">
        <f t="shared" si="27"/>
        <v>2.3414440000000001</v>
      </c>
      <c r="BM29" s="607">
        <f t="shared" si="28"/>
        <v>0</v>
      </c>
      <c r="BN29" s="607">
        <f t="shared" si="29"/>
        <v>446.4715185</v>
      </c>
    </row>
    <row r="30" spans="2:66" x14ac:dyDescent="0.2">
      <c r="B30" s="645" t="s">
        <v>149</v>
      </c>
      <c r="D30" s="633" t="s">
        <v>385</v>
      </c>
      <c r="E30" s="745">
        <f>'3. EDU Calculation'!M24</f>
        <v>11.666666666666666</v>
      </c>
      <c r="F30" s="640">
        <v>1</v>
      </c>
      <c r="G30" s="595">
        <f t="shared" si="30"/>
        <v>441.7564980225041</v>
      </c>
      <c r="H30" s="595">
        <f t="shared" si="30"/>
        <v>6332.5544286773602</v>
      </c>
      <c r="I30" s="595">
        <f t="shared" si="30"/>
        <v>0</v>
      </c>
      <c r="J30" s="595">
        <f t="shared" si="30"/>
        <v>4077.4764450003518</v>
      </c>
      <c r="K30" s="595">
        <f t="shared" si="30"/>
        <v>9862.7840691605998</v>
      </c>
      <c r="L30" s="638">
        <f t="shared" si="30"/>
        <v>4058.452930293166</v>
      </c>
      <c r="N30" s="633" t="s">
        <v>385</v>
      </c>
      <c r="O30" s="637">
        <f>'3. EDU Calculation'!G24</f>
        <v>2.3333333333333335</v>
      </c>
      <c r="P30" s="595">
        <f t="shared" si="1"/>
        <v>441.7564980225041</v>
      </c>
      <c r="Q30" s="595">
        <f t="shared" si="2"/>
        <v>6332.5544286773602</v>
      </c>
      <c r="R30" s="595">
        <f t="shared" si="3"/>
        <v>0</v>
      </c>
      <c r="S30" s="595">
        <f t="shared" si="4"/>
        <v>4077.4764450003518</v>
      </c>
      <c r="T30" s="595">
        <f t="shared" si="5"/>
        <v>9862.7840691605998</v>
      </c>
      <c r="U30" s="638">
        <f t="shared" si="6"/>
        <v>4058.452930293166</v>
      </c>
      <c r="X30" s="633" t="s">
        <v>385</v>
      </c>
      <c r="Y30" s="745">
        <f>'3. EDU Calculation'!E24</f>
        <v>0.7</v>
      </c>
      <c r="Z30" s="595">
        <f t="shared" si="16"/>
        <v>441.7564980225041</v>
      </c>
      <c r="AA30" s="595">
        <f t="shared" si="16"/>
        <v>6332.5544286773602</v>
      </c>
      <c r="AB30" s="595">
        <f t="shared" si="16"/>
        <v>0</v>
      </c>
      <c r="AC30" s="595">
        <f t="shared" si="16"/>
        <v>4077.4764450003518</v>
      </c>
      <c r="AD30" s="595">
        <f t="shared" si="16"/>
        <v>9862.7840691606016</v>
      </c>
      <c r="AE30" s="638">
        <f t="shared" si="16"/>
        <v>4058.4529302931664</v>
      </c>
      <c r="AG30" s="633" t="s">
        <v>385</v>
      </c>
      <c r="AH30" s="640">
        <v>1</v>
      </c>
      <c r="AI30" s="595">
        <f t="shared" si="17"/>
        <v>441.7564980225041</v>
      </c>
      <c r="AJ30" s="595">
        <f t="shared" si="18"/>
        <v>6332.5544286773602</v>
      </c>
      <c r="AK30" s="595">
        <f t="shared" si="19"/>
        <v>0</v>
      </c>
      <c r="AL30" s="595">
        <f t="shared" si="20"/>
        <v>4077.4764450003518</v>
      </c>
      <c r="AM30" s="595">
        <f t="shared" si="21"/>
        <v>9862.7840691606016</v>
      </c>
      <c r="AN30" s="638">
        <f t="shared" si="22"/>
        <v>4058.4529302931664</v>
      </c>
      <c r="AP30" s="597"/>
      <c r="AQ30" s="597"/>
      <c r="AS30" s="601">
        <f>'5. Vacant Land + Dev Summary'!Z15</f>
        <v>0</v>
      </c>
      <c r="AT30" s="601">
        <f>'5. Vacant Land + Dev Summary'!AA15+'5. Vacant Land + Dev Summary'!AB15</f>
        <v>0</v>
      </c>
      <c r="AU30" s="601">
        <f>'5. Vacant Land + Dev Summary'!AC15+'5. Vacant Land + Dev Summary'!AD15+'5. Vacant Land + Dev Summary'!AE15</f>
        <v>0</v>
      </c>
      <c r="AV30" s="601">
        <f>'5. Vacant Land + Dev Summary'!AF15</f>
        <v>0</v>
      </c>
      <c r="AW30" s="601">
        <f>'5. Vacant Land + Dev Summary'!AI15</f>
        <v>152.98656999999997</v>
      </c>
      <c r="AX30" s="886">
        <f t="shared" si="9"/>
        <v>152.98656999999997</v>
      </c>
      <c r="AZ30" s="616">
        <f t="shared" si="10"/>
        <v>0</v>
      </c>
      <c r="BA30" s="616">
        <f t="shared" si="11"/>
        <v>0</v>
      </c>
      <c r="BB30" s="616"/>
      <c r="BC30" s="616">
        <f t="shared" si="12"/>
        <v>0</v>
      </c>
      <c r="BD30" s="616">
        <f t="shared" si="13"/>
        <v>0</v>
      </c>
      <c r="BE30" s="616">
        <f t="shared" si="14"/>
        <v>620888.79331200046</v>
      </c>
      <c r="BF30" s="886">
        <f t="shared" si="23"/>
        <v>620888.79331200046</v>
      </c>
      <c r="BH30" s="607">
        <f t="shared" si="24"/>
        <v>0</v>
      </c>
      <c r="BI30" s="607">
        <f t="shared" si="25"/>
        <v>0</v>
      </c>
      <c r="BJ30" s="607"/>
      <c r="BK30" s="607">
        <f t="shared" si="26"/>
        <v>0</v>
      </c>
      <c r="BL30" s="607">
        <f t="shared" si="27"/>
        <v>0</v>
      </c>
      <c r="BM30" s="607">
        <f t="shared" si="28"/>
        <v>107.09059899999997</v>
      </c>
      <c r="BN30" s="607">
        <f t="shared" si="29"/>
        <v>107.09059899999997</v>
      </c>
    </row>
    <row r="31" spans="2:66" x14ac:dyDescent="0.2">
      <c r="B31" s="645" t="s">
        <v>147</v>
      </c>
      <c r="D31" s="633" t="s">
        <v>241</v>
      </c>
      <c r="E31" s="745">
        <f>'3. EDU Calculation'!M25</f>
        <v>1</v>
      </c>
      <c r="F31" s="640">
        <f>'3. EDU Calculation'!J25</f>
        <v>5</v>
      </c>
      <c r="G31" s="595">
        <f t="shared" si="30"/>
        <v>37.864842687643211</v>
      </c>
      <c r="H31" s="595">
        <f t="shared" si="30"/>
        <v>542.79037960091659</v>
      </c>
      <c r="I31" s="595">
        <f t="shared" si="30"/>
        <v>0</v>
      </c>
      <c r="J31" s="595">
        <f t="shared" si="30"/>
        <v>349.49798100003017</v>
      </c>
      <c r="K31" s="595">
        <f t="shared" si="30"/>
        <v>845.38149164233721</v>
      </c>
      <c r="L31" s="638">
        <f t="shared" si="30"/>
        <v>347.86739402512853</v>
      </c>
      <c r="N31" s="633" t="s">
        <v>385</v>
      </c>
      <c r="O31" s="637">
        <f>'3. EDU Calculation'!G25</f>
        <v>1</v>
      </c>
      <c r="P31" s="595">
        <f t="shared" si="1"/>
        <v>189.32421343821605</v>
      </c>
      <c r="Q31" s="595">
        <f t="shared" si="2"/>
        <v>2713.9518980045832</v>
      </c>
      <c r="R31" s="595">
        <f t="shared" si="3"/>
        <v>0</v>
      </c>
      <c r="S31" s="595">
        <f t="shared" si="4"/>
        <v>1747.4899050001509</v>
      </c>
      <c r="T31" s="595">
        <f t="shared" si="5"/>
        <v>4226.9074582116864</v>
      </c>
      <c r="U31" s="638">
        <f t="shared" si="6"/>
        <v>1739.3369701256427</v>
      </c>
      <c r="X31" s="633" t="s">
        <v>385</v>
      </c>
      <c r="Y31" s="745">
        <f>'3. EDU Calculation'!E25</f>
        <v>0.3</v>
      </c>
      <c r="Z31" s="595">
        <f t="shared" si="16"/>
        <v>189.32421343821605</v>
      </c>
      <c r="AA31" s="595">
        <f t="shared" si="16"/>
        <v>2713.9518980045827</v>
      </c>
      <c r="AB31" s="595">
        <f t="shared" si="16"/>
        <v>0</v>
      </c>
      <c r="AC31" s="595">
        <f t="shared" si="16"/>
        <v>1747.4899050001507</v>
      </c>
      <c r="AD31" s="595">
        <f t="shared" si="16"/>
        <v>4226.9074582116864</v>
      </c>
      <c r="AE31" s="638">
        <f t="shared" si="16"/>
        <v>1739.3369701256427</v>
      </c>
      <c r="AG31" s="633" t="s">
        <v>241</v>
      </c>
      <c r="AH31" s="640">
        <f>'3. EDU Calculation'!J25</f>
        <v>5</v>
      </c>
      <c r="AI31" s="595">
        <f t="shared" si="17"/>
        <v>37.864842687643211</v>
      </c>
      <c r="AJ31" s="595">
        <f t="shared" si="18"/>
        <v>542.79037960091659</v>
      </c>
      <c r="AK31" s="595">
        <f t="shared" si="19"/>
        <v>0</v>
      </c>
      <c r="AL31" s="595">
        <f t="shared" si="20"/>
        <v>349.49798100003011</v>
      </c>
      <c r="AM31" s="595">
        <f t="shared" si="21"/>
        <v>845.38149164233732</v>
      </c>
      <c r="AN31" s="638">
        <f t="shared" si="22"/>
        <v>347.86739402512853</v>
      </c>
      <c r="AP31" s="597"/>
      <c r="AQ31" s="597"/>
      <c r="AS31" s="601">
        <f>'5. Vacant Land + Dev Summary'!Z28</f>
        <v>0</v>
      </c>
      <c r="AT31" s="601">
        <f>'5. Vacant Land + Dev Summary'!AA28+'5. Vacant Land + Dev Summary'!AB28</f>
        <v>115.70704000000001</v>
      </c>
      <c r="AU31" s="601">
        <f>'5. Vacant Land + Dev Summary'!AC28+'5. Vacant Land + Dev Summary'!AD28+'5. Vacant Land + Dev Summary'!AE28</f>
        <v>0</v>
      </c>
      <c r="AV31" s="601">
        <f>'5. Vacant Land + Dev Summary'!AF28</f>
        <v>226.11684000000002</v>
      </c>
      <c r="AW31" s="601">
        <f>'5. Vacant Land + Dev Summary'!AI28</f>
        <v>0</v>
      </c>
      <c r="AX31" s="886">
        <f t="shared" si="9"/>
        <v>341.82388000000003</v>
      </c>
      <c r="AZ31" s="616">
        <f t="shared" si="10"/>
        <v>0</v>
      </c>
      <c r="BA31" s="616">
        <f t="shared" si="11"/>
        <v>314023.34082049219</v>
      </c>
      <c r="BB31" s="616"/>
      <c r="BC31" s="616">
        <f t="shared" si="12"/>
        <v>0</v>
      </c>
      <c r="BD31" s="616">
        <f t="shared" si="13"/>
        <v>955774.95742325869</v>
      </c>
      <c r="BE31" s="616">
        <f t="shared" si="14"/>
        <v>0</v>
      </c>
      <c r="BF31" s="886">
        <f t="shared" si="23"/>
        <v>1269798.2982437508</v>
      </c>
      <c r="BH31" s="607">
        <f t="shared" si="24"/>
        <v>0</v>
      </c>
      <c r="BI31" s="607">
        <f t="shared" si="25"/>
        <v>34.712111999999998</v>
      </c>
      <c r="BJ31" s="607"/>
      <c r="BK31" s="607">
        <f t="shared" si="26"/>
        <v>0</v>
      </c>
      <c r="BL31" s="607">
        <f t="shared" si="27"/>
        <v>67.835052000000005</v>
      </c>
      <c r="BM31" s="607">
        <f t="shared" si="28"/>
        <v>0</v>
      </c>
      <c r="BN31" s="607">
        <f t="shared" si="29"/>
        <v>102.54716400000001</v>
      </c>
    </row>
    <row r="32" spans="2:66" x14ac:dyDescent="0.2">
      <c r="B32" s="645" t="s">
        <v>152</v>
      </c>
      <c r="D32" s="633" t="s">
        <v>241</v>
      </c>
      <c r="E32" s="745">
        <f>'3. EDU Calculation'!M26</f>
        <v>2.5</v>
      </c>
      <c r="F32" s="640">
        <f>'3. EDU Calculation'!J26</f>
        <v>2</v>
      </c>
      <c r="G32" s="595">
        <f t="shared" si="30"/>
        <v>94.662106719108024</v>
      </c>
      <c r="H32" s="595">
        <f t="shared" si="30"/>
        <v>1356.9759490022916</v>
      </c>
      <c r="I32" s="595">
        <f t="shared" si="30"/>
        <v>0</v>
      </c>
      <c r="J32" s="595">
        <f t="shared" si="30"/>
        <v>873.74495250007544</v>
      </c>
      <c r="K32" s="595">
        <f t="shared" si="30"/>
        <v>2113.4537291058432</v>
      </c>
      <c r="L32" s="638">
        <f t="shared" si="30"/>
        <v>869.66848506282133</v>
      </c>
      <c r="N32" s="633" t="s">
        <v>385</v>
      </c>
      <c r="O32" s="637">
        <f>'3. EDU Calculation'!G26</f>
        <v>1</v>
      </c>
      <c r="P32" s="595">
        <f t="shared" si="1"/>
        <v>189.32421343821605</v>
      </c>
      <c r="Q32" s="595">
        <f t="shared" si="2"/>
        <v>2713.9518980045832</v>
      </c>
      <c r="R32" s="595">
        <f t="shared" si="3"/>
        <v>0</v>
      </c>
      <c r="S32" s="595">
        <f t="shared" si="4"/>
        <v>1747.4899050001509</v>
      </c>
      <c r="T32" s="595">
        <f t="shared" si="5"/>
        <v>4226.9074582116864</v>
      </c>
      <c r="U32" s="638">
        <f t="shared" si="6"/>
        <v>1739.3369701256427</v>
      </c>
      <c r="X32" s="633" t="s">
        <v>385</v>
      </c>
      <c r="Y32" s="745">
        <f>'3. EDU Calculation'!E26</f>
        <v>0.3</v>
      </c>
      <c r="Z32" s="595">
        <f t="shared" si="16"/>
        <v>189.32421343821605</v>
      </c>
      <c r="AA32" s="595">
        <f t="shared" si="16"/>
        <v>2713.9518980045827</v>
      </c>
      <c r="AB32" s="595">
        <f t="shared" si="16"/>
        <v>0</v>
      </c>
      <c r="AC32" s="595">
        <f t="shared" si="16"/>
        <v>1747.4899050001507</v>
      </c>
      <c r="AD32" s="595">
        <f t="shared" si="16"/>
        <v>4226.9074582116864</v>
      </c>
      <c r="AE32" s="638">
        <f t="shared" si="16"/>
        <v>1739.3369701256427</v>
      </c>
      <c r="AG32" s="633" t="s">
        <v>241</v>
      </c>
      <c r="AH32" s="640">
        <f>'3. EDU Calculation'!J26</f>
        <v>2</v>
      </c>
      <c r="AI32" s="595">
        <f t="shared" si="17"/>
        <v>94.662106719108024</v>
      </c>
      <c r="AJ32" s="595">
        <f t="shared" si="18"/>
        <v>1356.9759490022914</v>
      </c>
      <c r="AK32" s="595">
        <f t="shared" si="19"/>
        <v>0</v>
      </c>
      <c r="AL32" s="595">
        <f t="shared" si="20"/>
        <v>873.74495250007533</v>
      </c>
      <c r="AM32" s="595">
        <f t="shared" si="21"/>
        <v>2113.4537291058432</v>
      </c>
      <c r="AN32" s="638">
        <f t="shared" si="22"/>
        <v>869.66848506282133</v>
      </c>
      <c r="AP32" s="597"/>
      <c r="AQ32" s="597"/>
      <c r="AS32" s="601">
        <f>'5. Vacant Land + Dev Summary'!Z38</f>
        <v>0</v>
      </c>
      <c r="AT32" s="601">
        <f>'5. Vacant Land + Dev Summary'!AA38+'5. Vacant Land + Dev Summary'!AB38</f>
        <v>70.518380000000008</v>
      </c>
      <c r="AU32" s="601">
        <f>'5. Vacant Land + Dev Summary'!AC38+'5. Vacant Land + Dev Summary'!AD38+'5. Vacant Land + Dev Summary'!AE38</f>
        <v>0</v>
      </c>
      <c r="AV32" s="601">
        <f>'5. Vacant Land + Dev Summary'!AF38</f>
        <v>19.844560000000001</v>
      </c>
      <c r="AW32" s="601">
        <f>'5. Vacant Land + Dev Summary'!AI38</f>
        <v>58.96378</v>
      </c>
      <c r="AX32" s="886">
        <f t="shared" si="9"/>
        <v>149.32672000000002</v>
      </c>
      <c r="AZ32" s="616">
        <f t="shared" si="10"/>
        <v>0</v>
      </c>
      <c r="BA32" s="616">
        <f t="shared" si="11"/>
        <v>191383.49124520842</v>
      </c>
      <c r="BB32" s="616"/>
      <c r="BC32" s="616">
        <f t="shared" si="12"/>
        <v>0</v>
      </c>
      <c r="BD32" s="616">
        <f t="shared" si="13"/>
        <v>83881.11866892931</v>
      </c>
      <c r="BE32" s="616">
        <f t="shared" si="14"/>
        <v>102557.88245235497</v>
      </c>
      <c r="BF32" s="886">
        <f t="shared" si="23"/>
        <v>377822.49236649275</v>
      </c>
      <c r="BH32" s="607">
        <f t="shared" si="24"/>
        <v>0</v>
      </c>
      <c r="BI32" s="607">
        <f t="shared" si="25"/>
        <v>21.155514</v>
      </c>
      <c r="BJ32" s="607"/>
      <c r="BK32" s="607">
        <f t="shared" si="26"/>
        <v>0</v>
      </c>
      <c r="BL32" s="607">
        <f t="shared" si="27"/>
        <v>5.9533680000000002</v>
      </c>
      <c r="BM32" s="607">
        <f t="shared" si="28"/>
        <v>17.689133999999999</v>
      </c>
      <c r="BN32" s="607">
        <f t="shared" si="29"/>
        <v>44.798016000000004</v>
      </c>
    </row>
    <row r="33" spans="2:66" x14ac:dyDescent="0.2">
      <c r="B33" s="645" t="s">
        <v>153</v>
      </c>
      <c r="D33" s="633" t="s">
        <v>241</v>
      </c>
      <c r="E33" s="745">
        <f>'3. EDU Calculation'!M27</f>
        <v>1</v>
      </c>
      <c r="F33" s="640">
        <f>'3. EDU Calculation'!J27</f>
        <v>5</v>
      </c>
      <c r="G33" s="595">
        <f t="shared" si="30"/>
        <v>37.864842687643211</v>
      </c>
      <c r="H33" s="595">
        <f t="shared" si="30"/>
        <v>542.79037960091659</v>
      </c>
      <c r="I33" s="595">
        <f t="shared" si="30"/>
        <v>0</v>
      </c>
      <c r="J33" s="595">
        <f t="shared" si="30"/>
        <v>349.49798100003017</v>
      </c>
      <c r="K33" s="595">
        <f t="shared" si="30"/>
        <v>845.38149164233721</v>
      </c>
      <c r="L33" s="638">
        <f t="shared" si="30"/>
        <v>347.86739402512853</v>
      </c>
      <c r="N33" s="633" t="s">
        <v>385</v>
      </c>
      <c r="O33" s="637">
        <f>'3. EDU Calculation'!G27</f>
        <v>1</v>
      </c>
      <c r="P33" s="595">
        <f t="shared" si="1"/>
        <v>189.32421343821605</v>
      </c>
      <c r="Q33" s="595">
        <f t="shared" si="2"/>
        <v>2713.9518980045832</v>
      </c>
      <c r="R33" s="595">
        <f t="shared" si="3"/>
        <v>0</v>
      </c>
      <c r="S33" s="595">
        <f t="shared" si="4"/>
        <v>1747.4899050001509</v>
      </c>
      <c r="T33" s="595">
        <f t="shared" si="5"/>
        <v>4226.9074582116864</v>
      </c>
      <c r="U33" s="638">
        <f t="shared" si="6"/>
        <v>1739.3369701256427</v>
      </c>
      <c r="X33" s="633" t="s">
        <v>385</v>
      </c>
      <c r="Y33" s="745">
        <f>'3. EDU Calculation'!E27</f>
        <v>0.3</v>
      </c>
      <c r="Z33" s="595">
        <f t="shared" si="16"/>
        <v>189.32421343821605</v>
      </c>
      <c r="AA33" s="595">
        <f t="shared" si="16"/>
        <v>2713.9518980045827</v>
      </c>
      <c r="AB33" s="595">
        <f t="shared" si="16"/>
        <v>0</v>
      </c>
      <c r="AC33" s="595">
        <f t="shared" si="16"/>
        <v>1747.4899050001507</v>
      </c>
      <c r="AD33" s="595">
        <f t="shared" si="16"/>
        <v>4226.9074582116864</v>
      </c>
      <c r="AE33" s="638">
        <f t="shared" si="16"/>
        <v>1739.3369701256427</v>
      </c>
      <c r="AG33" s="633" t="s">
        <v>241</v>
      </c>
      <c r="AH33" s="640">
        <f>'3. EDU Calculation'!J27</f>
        <v>5</v>
      </c>
      <c r="AI33" s="595">
        <f t="shared" si="17"/>
        <v>37.864842687643211</v>
      </c>
      <c r="AJ33" s="595">
        <f t="shared" si="18"/>
        <v>542.79037960091659</v>
      </c>
      <c r="AK33" s="595">
        <f t="shared" si="19"/>
        <v>0</v>
      </c>
      <c r="AL33" s="595">
        <f t="shared" si="20"/>
        <v>349.49798100003011</v>
      </c>
      <c r="AM33" s="595">
        <f t="shared" si="21"/>
        <v>845.38149164233732</v>
      </c>
      <c r="AN33" s="638">
        <f t="shared" si="22"/>
        <v>347.86739402512853</v>
      </c>
      <c r="AP33" s="597"/>
      <c r="AQ33" s="597"/>
      <c r="AS33" s="601">
        <f>'5. Vacant Land + Dev Summary'!Z33</f>
        <v>0</v>
      </c>
      <c r="AT33" s="601">
        <f>'5. Vacant Land + Dev Summary'!AA33+'5. Vacant Land + Dev Summary'!AB33</f>
        <v>150.87555999999998</v>
      </c>
      <c r="AU33" s="601">
        <f>'5. Vacant Land + Dev Summary'!AC33+'5. Vacant Land + Dev Summary'!AD33+'5. Vacant Land + Dev Summary'!AE33</f>
        <v>0</v>
      </c>
      <c r="AV33" s="601">
        <f>'5. Vacant Land + Dev Summary'!AF33</f>
        <v>96.291640000000001</v>
      </c>
      <c r="AW33" s="601">
        <f>'5. Vacant Land + Dev Summary'!AI33</f>
        <v>29.103760000000001</v>
      </c>
      <c r="AX33" s="886">
        <f t="shared" si="9"/>
        <v>276.27096</v>
      </c>
      <c r="AZ33" s="616">
        <f t="shared" si="10"/>
        <v>0</v>
      </c>
      <c r="BA33" s="616">
        <f t="shared" si="11"/>
        <v>409469.01242450427</v>
      </c>
      <c r="BB33" s="616"/>
      <c r="BC33" s="616">
        <f t="shared" si="12"/>
        <v>0</v>
      </c>
      <c r="BD33" s="616">
        <f t="shared" si="13"/>
        <v>407015.85127943475</v>
      </c>
      <c r="BE33" s="616">
        <f t="shared" si="14"/>
        <v>50621.245737663878</v>
      </c>
      <c r="BF33" s="886">
        <f t="shared" si="23"/>
        <v>867106.10944160284</v>
      </c>
      <c r="BH33" s="607">
        <f t="shared" si="24"/>
        <v>0</v>
      </c>
      <c r="BI33" s="607">
        <f t="shared" si="25"/>
        <v>45.262667999999991</v>
      </c>
      <c r="BJ33" s="607"/>
      <c r="BK33" s="607">
        <f t="shared" si="26"/>
        <v>0</v>
      </c>
      <c r="BL33" s="607">
        <f t="shared" si="27"/>
        <v>28.887491999999998</v>
      </c>
      <c r="BM33" s="607">
        <f t="shared" si="28"/>
        <v>8.731128</v>
      </c>
      <c r="BN33" s="607">
        <f t="shared" si="29"/>
        <v>82.881287999999984</v>
      </c>
    </row>
    <row r="34" spans="2:66" x14ac:dyDescent="0.2">
      <c r="B34" s="645" t="s">
        <v>154</v>
      </c>
      <c r="D34" s="633" t="s">
        <v>241</v>
      </c>
      <c r="E34" s="745">
        <f>'3. EDU Calculation'!M28</f>
        <v>0.92592592592592593</v>
      </c>
      <c r="F34" s="640">
        <f>'3. EDU Calculation'!J28</f>
        <v>9</v>
      </c>
      <c r="G34" s="595">
        <f t="shared" si="30"/>
        <v>35.060039525595563</v>
      </c>
      <c r="H34" s="595">
        <f t="shared" si="30"/>
        <v>502.5836848156635</v>
      </c>
      <c r="I34" s="595">
        <f t="shared" si="30"/>
        <v>0</v>
      </c>
      <c r="J34" s="595">
        <f t="shared" si="30"/>
        <v>323.60924166669457</v>
      </c>
      <c r="K34" s="595">
        <f t="shared" si="30"/>
        <v>782.76064040957147</v>
      </c>
      <c r="L34" s="638">
        <f t="shared" si="30"/>
        <v>322.09943891215607</v>
      </c>
      <c r="N34" s="633" t="s">
        <v>385</v>
      </c>
      <c r="O34" s="637">
        <f>'3. EDU Calculation'!G28</f>
        <v>1.6666666666666667</v>
      </c>
      <c r="P34" s="595">
        <f t="shared" si="1"/>
        <v>315.54035573036009</v>
      </c>
      <c r="Q34" s="595">
        <f t="shared" si="2"/>
        <v>4523.2531633409717</v>
      </c>
      <c r="R34" s="595">
        <f t="shared" si="3"/>
        <v>0</v>
      </c>
      <c r="S34" s="595">
        <f t="shared" si="4"/>
        <v>2912.4831750002513</v>
      </c>
      <c r="T34" s="595">
        <f t="shared" si="5"/>
        <v>7044.8457636861431</v>
      </c>
      <c r="U34" s="638">
        <f t="shared" si="6"/>
        <v>2898.8949502094047</v>
      </c>
      <c r="X34" s="633" t="s">
        <v>385</v>
      </c>
      <c r="Y34" s="745">
        <f>'3. EDU Calculation'!E28</f>
        <v>0.5</v>
      </c>
      <c r="Z34" s="595">
        <f t="shared" si="16"/>
        <v>315.54035573036009</v>
      </c>
      <c r="AA34" s="595">
        <f t="shared" si="16"/>
        <v>4523.2531633409717</v>
      </c>
      <c r="AB34" s="595">
        <f t="shared" si="16"/>
        <v>0</v>
      </c>
      <c r="AC34" s="595">
        <f t="shared" si="16"/>
        <v>2912.4831750002513</v>
      </c>
      <c r="AD34" s="595">
        <f t="shared" si="16"/>
        <v>7044.845763686144</v>
      </c>
      <c r="AE34" s="638">
        <f t="shared" si="16"/>
        <v>2898.8949502094047</v>
      </c>
      <c r="AG34" s="633" t="s">
        <v>241</v>
      </c>
      <c r="AH34" s="640">
        <f>'3. EDU Calculation'!J28</f>
        <v>9</v>
      </c>
      <c r="AI34" s="595">
        <f t="shared" si="17"/>
        <v>35.060039525595563</v>
      </c>
      <c r="AJ34" s="595">
        <f t="shared" si="18"/>
        <v>502.5836848156635</v>
      </c>
      <c r="AK34" s="595">
        <f t="shared" si="19"/>
        <v>0</v>
      </c>
      <c r="AL34" s="595">
        <f t="shared" si="20"/>
        <v>323.60924166669457</v>
      </c>
      <c r="AM34" s="595">
        <f t="shared" si="21"/>
        <v>782.76064040957158</v>
      </c>
      <c r="AN34" s="638">
        <f t="shared" si="22"/>
        <v>322.09943891215607</v>
      </c>
      <c r="AP34" s="597"/>
      <c r="AQ34" s="597"/>
      <c r="AS34" s="601">
        <f>'5. Vacant Land + Dev Summary'!Z35</f>
        <v>0</v>
      </c>
      <c r="AT34" s="601">
        <f>'5. Vacant Land + Dev Summary'!AA35+'5. Vacant Land + Dev Summary'!AB35</f>
        <v>3.9472200000000002</v>
      </c>
      <c r="AU34" s="601">
        <f>'5. Vacant Land + Dev Summary'!AC35+'5. Vacant Land + Dev Summary'!AD35+'5. Vacant Land + Dev Summary'!AE35</f>
        <v>0</v>
      </c>
      <c r="AV34" s="601">
        <f>'5. Vacant Land + Dev Summary'!AF35</f>
        <v>0</v>
      </c>
      <c r="AW34" s="601">
        <f>'5. Vacant Land + Dev Summary'!AI35</f>
        <v>0</v>
      </c>
      <c r="AX34" s="886">
        <f t="shared" si="9"/>
        <v>3.9472200000000002</v>
      </c>
      <c r="AZ34" s="616">
        <f t="shared" si="10"/>
        <v>0</v>
      </c>
      <c r="BA34" s="616">
        <f t="shared" si="11"/>
        <v>17854.27535140275</v>
      </c>
      <c r="BB34" s="616"/>
      <c r="BC34" s="616">
        <f t="shared" si="12"/>
        <v>0</v>
      </c>
      <c r="BD34" s="616">
        <f t="shared" si="13"/>
        <v>0</v>
      </c>
      <c r="BE34" s="616">
        <f t="shared" si="14"/>
        <v>0</v>
      </c>
      <c r="BF34" s="886">
        <f t="shared" si="23"/>
        <v>17854.27535140275</v>
      </c>
      <c r="BH34" s="607">
        <f t="shared" si="24"/>
        <v>0</v>
      </c>
      <c r="BI34" s="607">
        <f t="shared" si="25"/>
        <v>1.9736100000000001</v>
      </c>
      <c r="BJ34" s="607"/>
      <c r="BK34" s="607">
        <f t="shared" si="26"/>
        <v>0</v>
      </c>
      <c r="BL34" s="607">
        <f t="shared" si="27"/>
        <v>0</v>
      </c>
      <c r="BM34" s="607">
        <f t="shared" si="28"/>
        <v>0</v>
      </c>
      <c r="BN34" s="607">
        <f t="shared" si="29"/>
        <v>1.9736100000000001</v>
      </c>
    </row>
    <row r="35" spans="2:66" x14ac:dyDescent="0.2">
      <c r="B35" s="645" t="s">
        <v>155</v>
      </c>
      <c r="D35" s="633" t="s">
        <v>385</v>
      </c>
      <c r="E35" s="745">
        <f>'3. EDU Calculation'!M29</f>
        <v>0</v>
      </c>
      <c r="F35" s="640">
        <f>'3. EDU Calculation'!M29</f>
        <v>0</v>
      </c>
      <c r="G35" s="595">
        <f t="shared" si="30"/>
        <v>0</v>
      </c>
      <c r="H35" s="595">
        <f t="shared" si="30"/>
        <v>0</v>
      </c>
      <c r="I35" s="595">
        <f t="shared" si="30"/>
        <v>0</v>
      </c>
      <c r="J35" s="595">
        <f t="shared" si="30"/>
        <v>0</v>
      </c>
      <c r="K35" s="595">
        <f t="shared" si="30"/>
        <v>0</v>
      </c>
      <c r="L35" s="638">
        <f t="shared" si="30"/>
        <v>0</v>
      </c>
      <c r="N35" s="633" t="s">
        <v>385</v>
      </c>
      <c r="O35" s="637">
        <f>'3. EDU Calculation'!G29</f>
        <v>0</v>
      </c>
      <c r="P35" s="595">
        <f t="shared" si="1"/>
        <v>0</v>
      </c>
      <c r="Q35" s="595">
        <f t="shared" si="2"/>
        <v>0</v>
      </c>
      <c r="R35" s="595">
        <f t="shared" si="3"/>
        <v>0</v>
      </c>
      <c r="S35" s="595">
        <f t="shared" si="4"/>
        <v>0</v>
      </c>
      <c r="T35" s="595">
        <f t="shared" si="5"/>
        <v>0</v>
      </c>
      <c r="U35" s="638">
        <f t="shared" si="6"/>
        <v>0</v>
      </c>
      <c r="X35" s="633" t="s">
        <v>385</v>
      </c>
      <c r="Y35" s="885">
        <v>0</v>
      </c>
      <c r="Z35" s="595">
        <f t="shared" si="16"/>
        <v>0</v>
      </c>
      <c r="AA35" s="595">
        <f t="shared" si="16"/>
        <v>0</v>
      </c>
      <c r="AB35" s="595">
        <f t="shared" si="16"/>
        <v>0</v>
      </c>
      <c r="AC35" s="595">
        <f t="shared" si="16"/>
        <v>0</v>
      </c>
      <c r="AD35" s="595">
        <f t="shared" si="16"/>
        <v>0</v>
      </c>
      <c r="AE35" s="638">
        <f t="shared" si="16"/>
        <v>0</v>
      </c>
      <c r="AG35" s="633" t="s">
        <v>385</v>
      </c>
      <c r="AH35" s="640">
        <f>'3. EDU Calculation'!M29</f>
        <v>0</v>
      </c>
      <c r="AI35" s="595">
        <f t="shared" si="17"/>
        <v>0</v>
      </c>
      <c r="AJ35" s="595">
        <f t="shared" si="18"/>
        <v>0</v>
      </c>
      <c r="AK35" s="595">
        <f t="shared" si="19"/>
        <v>0</v>
      </c>
      <c r="AL35" s="595">
        <f t="shared" si="20"/>
        <v>0</v>
      </c>
      <c r="AM35" s="595">
        <f t="shared" si="21"/>
        <v>0</v>
      </c>
      <c r="AN35" s="638">
        <f t="shared" si="22"/>
        <v>0</v>
      </c>
      <c r="AP35" s="597"/>
      <c r="AQ35" s="597"/>
      <c r="AS35" s="601">
        <f>'5. Vacant Land + Dev Summary'!Z36</f>
        <v>0</v>
      </c>
      <c r="AT35" s="601">
        <f>'5. Vacant Land + Dev Summary'!AA36+'5. Vacant Land + Dev Summary'!AB36</f>
        <v>7.5109800000000009</v>
      </c>
      <c r="AU35" s="601">
        <f>'5. Vacant Land + Dev Summary'!AC36+'5. Vacant Land + Dev Summary'!AD36+'5. Vacant Land + Dev Summary'!AE36</f>
        <v>0</v>
      </c>
      <c r="AV35" s="601">
        <f>'5. Vacant Land + Dev Summary'!AF36</f>
        <v>5.9921000000000006</v>
      </c>
      <c r="AW35" s="601">
        <f>'5. Vacant Land + Dev Summary'!AI36</f>
        <v>0</v>
      </c>
      <c r="AX35" s="891">
        <f t="shared" si="9"/>
        <v>13.503080000000001</v>
      </c>
      <c r="AZ35" s="869">
        <f t="shared" si="10"/>
        <v>0</v>
      </c>
      <c r="BA35" s="869">
        <f t="shared" si="11"/>
        <v>0</v>
      </c>
      <c r="BB35" s="869"/>
      <c r="BC35" s="869">
        <f t="shared" si="12"/>
        <v>0</v>
      </c>
      <c r="BD35" s="869">
        <f t="shared" si="13"/>
        <v>0</v>
      </c>
      <c r="BE35" s="869">
        <f t="shared" si="14"/>
        <v>0</v>
      </c>
      <c r="BF35" s="891">
        <f t="shared" si="23"/>
        <v>0</v>
      </c>
      <c r="BH35" s="607">
        <f t="shared" si="24"/>
        <v>0</v>
      </c>
      <c r="BI35" s="607">
        <f t="shared" si="25"/>
        <v>0</v>
      </c>
      <c r="BJ35" s="607"/>
      <c r="BK35" s="607">
        <f t="shared" si="26"/>
        <v>0</v>
      </c>
      <c r="BL35" s="607">
        <f t="shared" si="27"/>
        <v>0</v>
      </c>
      <c r="BM35" s="607">
        <f t="shared" si="28"/>
        <v>0</v>
      </c>
      <c r="BN35" s="894">
        <f t="shared" si="29"/>
        <v>0</v>
      </c>
    </row>
    <row r="36" spans="2:66" x14ac:dyDescent="0.2">
      <c r="B36" s="645" t="s">
        <v>156</v>
      </c>
      <c r="D36" s="633" t="s">
        <v>385</v>
      </c>
      <c r="E36" s="745">
        <f>'3. EDU Calculation'!M30</f>
        <v>0</v>
      </c>
      <c r="F36" s="640">
        <f>'3. EDU Calculation'!M30</f>
        <v>0</v>
      </c>
      <c r="G36" s="595">
        <f t="shared" ref="G36:L41" si="31">G$13*$E36</f>
        <v>0</v>
      </c>
      <c r="H36" s="595">
        <f t="shared" si="31"/>
        <v>0</v>
      </c>
      <c r="I36" s="595">
        <f t="shared" si="31"/>
        <v>0</v>
      </c>
      <c r="J36" s="595">
        <f t="shared" si="31"/>
        <v>0</v>
      </c>
      <c r="K36" s="595">
        <f t="shared" si="31"/>
        <v>0</v>
      </c>
      <c r="L36" s="638">
        <f t="shared" si="31"/>
        <v>0</v>
      </c>
      <c r="N36" s="633" t="s">
        <v>385</v>
      </c>
      <c r="O36" s="637">
        <f>'3. EDU Calculation'!G30</f>
        <v>0</v>
      </c>
      <c r="P36" s="595">
        <f t="shared" si="1"/>
        <v>0</v>
      </c>
      <c r="Q36" s="595">
        <f t="shared" si="2"/>
        <v>0</v>
      </c>
      <c r="R36" s="595">
        <f t="shared" si="3"/>
        <v>0</v>
      </c>
      <c r="S36" s="595">
        <f t="shared" si="4"/>
        <v>0</v>
      </c>
      <c r="T36" s="595">
        <f t="shared" si="5"/>
        <v>0</v>
      </c>
      <c r="U36" s="638">
        <f t="shared" si="6"/>
        <v>0</v>
      </c>
      <c r="X36" s="633" t="s">
        <v>385</v>
      </c>
      <c r="Y36" s="885">
        <v>0</v>
      </c>
      <c r="Z36" s="595">
        <f t="shared" si="16"/>
        <v>0</v>
      </c>
      <c r="AA36" s="595">
        <f t="shared" si="16"/>
        <v>0</v>
      </c>
      <c r="AB36" s="595">
        <f t="shared" si="16"/>
        <v>0</v>
      </c>
      <c r="AC36" s="595">
        <f t="shared" si="16"/>
        <v>0</v>
      </c>
      <c r="AD36" s="595">
        <f t="shared" si="16"/>
        <v>0</v>
      </c>
      <c r="AE36" s="638">
        <f t="shared" si="16"/>
        <v>0</v>
      </c>
      <c r="AG36" s="633" t="s">
        <v>385</v>
      </c>
      <c r="AH36" s="640">
        <f>'3. EDU Calculation'!M30</f>
        <v>0</v>
      </c>
      <c r="AI36" s="595">
        <f t="shared" si="17"/>
        <v>0</v>
      </c>
      <c r="AJ36" s="595">
        <f t="shared" si="18"/>
        <v>0</v>
      </c>
      <c r="AK36" s="595">
        <f t="shared" si="19"/>
        <v>0</v>
      </c>
      <c r="AL36" s="595">
        <f t="shared" si="20"/>
        <v>0</v>
      </c>
      <c r="AM36" s="595">
        <f t="shared" si="21"/>
        <v>0</v>
      </c>
      <c r="AN36" s="638">
        <f t="shared" si="22"/>
        <v>0</v>
      </c>
      <c r="AP36" s="597"/>
      <c r="AQ36" s="597"/>
      <c r="AS36" s="601">
        <f>'5. Vacant Land + Dev Summary'!Z37</f>
        <v>0</v>
      </c>
      <c r="AT36" s="601">
        <f>'5. Vacant Land + Dev Summary'!AA37+'5. Vacant Land + Dev Summary'!AB37</f>
        <v>2.3305599999999997</v>
      </c>
      <c r="AU36" s="601">
        <f>'5. Vacant Land + Dev Summary'!AC37+'5. Vacant Land + Dev Summary'!AD37+'5. Vacant Land + Dev Summary'!AE37</f>
        <v>0</v>
      </c>
      <c r="AV36" s="601">
        <f>'5. Vacant Land + Dev Summary'!AF37</f>
        <v>0</v>
      </c>
      <c r="AW36" s="601">
        <f>'5. Vacant Land + Dev Summary'!AI37</f>
        <v>0</v>
      </c>
      <c r="AX36" s="891">
        <f t="shared" si="9"/>
        <v>2.3305599999999997</v>
      </c>
      <c r="AZ36" s="869">
        <f t="shared" si="10"/>
        <v>0</v>
      </c>
      <c r="BA36" s="869">
        <f t="shared" si="11"/>
        <v>0</v>
      </c>
      <c r="BB36" s="869"/>
      <c r="BC36" s="869">
        <f t="shared" si="12"/>
        <v>0</v>
      </c>
      <c r="BD36" s="869">
        <f t="shared" si="13"/>
        <v>0</v>
      </c>
      <c r="BE36" s="869">
        <f t="shared" si="14"/>
        <v>0</v>
      </c>
      <c r="BF36" s="891">
        <f t="shared" si="23"/>
        <v>0</v>
      </c>
      <c r="BH36" s="607">
        <f t="shared" si="24"/>
        <v>0</v>
      </c>
      <c r="BI36" s="607">
        <f t="shared" si="25"/>
        <v>0</v>
      </c>
      <c r="BJ36" s="607"/>
      <c r="BK36" s="607">
        <f t="shared" si="26"/>
        <v>0</v>
      </c>
      <c r="BL36" s="607">
        <f t="shared" si="27"/>
        <v>0</v>
      </c>
      <c r="BM36" s="607">
        <f t="shared" si="28"/>
        <v>0</v>
      </c>
      <c r="BN36" s="894">
        <f t="shared" si="29"/>
        <v>0</v>
      </c>
    </row>
    <row r="37" spans="2:66" x14ac:dyDescent="0.2">
      <c r="B37" s="645" t="s">
        <v>230</v>
      </c>
      <c r="D37" s="633" t="s">
        <v>241</v>
      </c>
      <c r="E37" s="745">
        <f>'3. EDU Calculation'!M31</f>
        <v>1</v>
      </c>
      <c r="F37" s="640">
        <f>'3. EDU Calculation'!J31</f>
        <v>5</v>
      </c>
      <c r="G37" s="595">
        <f t="shared" si="31"/>
        <v>37.864842687643211</v>
      </c>
      <c r="H37" s="595">
        <f t="shared" si="31"/>
        <v>542.79037960091659</v>
      </c>
      <c r="I37" s="595">
        <f t="shared" si="31"/>
        <v>0</v>
      </c>
      <c r="J37" s="595">
        <f t="shared" si="31"/>
        <v>349.49798100003017</v>
      </c>
      <c r="K37" s="595">
        <f t="shared" si="31"/>
        <v>845.38149164233721</v>
      </c>
      <c r="L37" s="638">
        <f t="shared" si="31"/>
        <v>347.86739402512853</v>
      </c>
      <c r="N37" s="633" t="s">
        <v>385</v>
      </c>
      <c r="O37" s="637">
        <f>'3. EDU Calculation'!G31</f>
        <v>1</v>
      </c>
      <c r="P37" s="595">
        <f t="shared" si="1"/>
        <v>189.32421343821605</v>
      </c>
      <c r="Q37" s="595">
        <f t="shared" si="2"/>
        <v>2713.9518980045832</v>
      </c>
      <c r="R37" s="595">
        <f t="shared" si="3"/>
        <v>0</v>
      </c>
      <c r="S37" s="595">
        <f t="shared" si="4"/>
        <v>1747.4899050001509</v>
      </c>
      <c r="T37" s="595">
        <f t="shared" si="5"/>
        <v>4226.9074582116864</v>
      </c>
      <c r="U37" s="638">
        <f t="shared" si="6"/>
        <v>1739.3369701256427</v>
      </c>
      <c r="X37" s="633" t="s">
        <v>385</v>
      </c>
      <c r="Y37" s="745">
        <f>'3. EDU Calculation'!E31</f>
        <v>0.3</v>
      </c>
      <c r="Z37" s="595">
        <f t="shared" si="16"/>
        <v>189.32421343821605</v>
      </c>
      <c r="AA37" s="595">
        <f t="shared" si="16"/>
        <v>2713.9518980045827</v>
      </c>
      <c r="AB37" s="595">
        <f t="shared" si="16"/>
        <v>0</v>
      </c>
      <c r="AC37" s="595">
        <f t="shared" si="16"/>
        <v>1747.4899050001507</v>
      </c>
      <c r="AD37" s="595">
        <f t="shared" si="16"/>
        <v>4226.9074582116864</v>
      </c>
      <c r="AE37" s="638">
        <f t="shared" si="16"/>
        <v>1739.3369701256427</v>
      </c>
      <c r="AG37" s="633" t="s">
        <v>241</v>
      </c>
      <c r="AH37" s="640">
        <f>'3. EDU Calculation'!J31</f>
        <v>5</v>
      </c>
      <c r="AI37" s="595">
        <f t="shared" si="17"/>
        <v>37.864842687643211</v>
      </c>
      <c r="AJ37" s="595">
        <f t="shared" si="18"/>
        <v>542.79037960091659</v>
      </c>
      <c r="AK37" s="595">
        <f t="shared" si="19"/>
        <v>0</v>
      </c>
      <c r="AL37" s="595">
        <f t="shared" si="20"/>
        <v>349.49798100003011</v>
      </c>
      <c r="AM37" s="595">
        <f t="shared" si="21"/>
        <v>845.38149164233732</v>
      </c>
      <c r="AN37" s="638">
        <f t="shared" si="22"/>
        <v>347.86739402512853</v>
      </c>
      <c r="AP37" s="597"/>
      <c r="AQ37" s="597"/>
      <c r="AS37" s="601">
        <f>'5. Vacant Land + Dev Summary'!Z29</f>
        <v>170.32918000000001</v>
      </c>
      <c r="AT37" s="601">
        <f>'5. Vacant Land + Dev Summary'!AA29+'5. Vacant Land + Dev Summary'!AB29</f>
        <v>60.582480000000004</v>
      </c>
      <c r="AU37" s="601">
        <f>'5. Vacant Land + Dev Summary'!AC29+'5. Vacant Land + Dev Summary'!AD29+'5. Vacant Land + Dev Summary'!AE29</f>
        <v>0</v>
      </c>
      <c r="AV37" s="601">
        <f>'5. Vacant Land + Dev Summary'!AF29</f>
        <v>91.838860000000011</v>
      </c>
      <c r="AW37" s="601">
        <f>'5. Vacant Land + Dev Summary'!AI29</f>
        <v>0</v>
      </c>
      <c r="AX37" s="886">
        <f t="shared" si="9"/>
        <v>322.75052000000005</v>
      </c>
      <c r="AZ37" s="616">
        <f t="shared" si="10"/>
        <v>32247.438029076322</v>
      </c>
      <c r="BA37" s="616">
        <f t="shared" si="11"/>
        <v>164417.93658182467</v>
      </c>
      <c r="BB37" s="616"/>
      <c r="BC37" s="616">
        <f t="shared" si="12"/>
        <v>0</v>
      </c>
      <c r="BD37" s="616">
        <f t="shared" si="13"/>
        <v>388194.36228765897</v>
      </c>
      <c r="BE37" s="616">
        <f t="shared" si="14"/>
        <v>0</v>
      </c>
      <c r="BF37" s="886">
        <f t="shared" si="23"/>
        <v>584859.73689855996</v>
      </c>
      <c r="BH37" s="607">
        <f t="shared" si="24"/>
        <v>51.098754</v>
      </c>
      <c r="BI37" s="607">
        <f t="shared" si="25"/>
        <v>18.174744</v>
      </c>
      <c r="BJ37" s="607"/>
      <c r="BK37" s="607">
        <f t="shared" si="26"/>
        <v>0</v>
      </c>
      <c r="BL37" s="607">
        <f t="shared" si="27"/>
        <v>27.551658000000003</v>
      </c>
      <c r="BM37" s="607">
        <f t="shared" si="28"/>
        <v>0</v>
      </c>
      <c r="BN37" s="607">
        <f t="shared" si="29"/>
        <v>96.825156000000007</v>
      </c>
    </row>
    <row r="38" spans="2:66" x14ac:dyDescent="0.2">
      <c r="B38" s="645" t="s">
        <v>157</v>
      </c>
      <c r="D38" s="633" t="s">
        <v>385</v>
      </c>
      <c r="E38" s="745">
        <f>'3. EDU Calculation'!M32</f>
        <v>11.666666666666666</v>
      </c>
      <c r="F38" s="640">
        <v>1</v>
      </c>
      <c r="G38" s="595">
        <f t="shared" si="31"/>
        <v>441.7564980225041</v>
      </c>
      <c r="H38" s="595">
        <f t="shared" si="31"/>
        <v>6332.5544286773602</v>
      </c>
      <c r="I38" s="595">
        <f t="shared" si="31"/>
        <v>0</v>
      </c>
      <c r="J38" s="595">
        <f t="shared" si="31"/>
        <v>4077.4764450003518</v>
      </c>
      <c r="K38" s="595">
        <f t="shared" si="31"/>
        <v>9862.7840691605998</v>
      </c>
      <c r="L38" s="638">
        <f t="shared" si="31"/>
        <v>4058.452930293166</v>
      </c>
      <c r="N38" s="633" t="s">
        <v>385</v>
      </c>
      <c r="O38" s="637">
        <f>'3. EDU Calculation'!G32</f>
        <v>2.3333333333333335</v>
      </c>
      <c r="P38" s="595">
        <f t="shared" si="1"/>
        <v>441.7564980225041</v>
      </c>
      <c r="Q38" s="595">
        <f t="shared" si="2"/>
        <v>6332.5544286773602</v>
      </c>
      <c r="R38" s="595">
        <f t="shared" si="3"/>
        <v>0</v>
      </c>
      <c r="S38" s="595">
        <f t="shared" si="4"/>
        <v>4077.4764450003518</v>
      </c>
      <c r="T38" s="595">
        <f t="shared" si="5"/>
        <v>9862.7840691605998</v>
      </c>
      <c r="U38" s="638">
        <f t="shared" si="6"/>
        <v>4058.452930293166</v>
      </c>
      <c r="X38" s="633" t="s">
        <v>385</v>
      </c>
      <c r="Y38" s="745">
        <f>'3. EDU Calculation'!E32</f>
        <v>0.7</v>
      </c>
      <c r="Z38" s="595">
        <f t="shared" si="16"/>
        <v>441.7564980225041</v>
      </c>
      <c r="AA38" s="595">
        <f t="shared" ref="AA38:AE41" si="32">AA$13*$Y38</f>
        <v>6332.5544286773602</v>
      </c>
      <c r="AB38" s="595">
        <f t="shared" si="32"/>
        <v>0</v>
      </c>
      <c r="AC38" s="595">
        <f t="shared" si="32"/>
        <v>4077.4764450003518</v>
      </c>
      <c r="AD38" s="595">
        <f t="shared" si="32"/>
        <v>9862.7840691606016</v>
      </c>
      <c r="AE38" s="638">
        <f t="shared" si="32"/>
        <v>4058.4529302931664</v>
      </c>
      <c r="AG38" s="633" t="s">
        <v>385</v>
      </c>
      <c r="AH38" s="640">
        <v>1</v>
      </c>
      <c r="AI38" s="595">
        <f t="shared" si="17"/>
        <v>441.7564980225041</v>
      </c>
      <c r="AJ38" s="595">
        <f t="shared" si="18"/>
        <v>6332.5544286773602</v>
      </c>
      <c r="AK38" s="595">
        <f t="shared" si="19"/>
        <v>0</v>
      </c>
      <c r="AL38" s="595">
        <f t="shared" si="20"/>
        <v>4077.4764450003518</v>
      </c>
      <c r="AM38" s="595">
        <f t="shared" si="21"/>
        <v>9862.7840691606016</v>
      </c>
      <c r="AN38" s="638">
        <f t="shared" si="22"/>
        <v>4058.4529302931664</v>
      </c>
      <c r="AP38" s="597"/>
      <c r="AQ38" s="597"/>
      <c r="AS38" s="601">
        <f>'5. Vacant Land + Dev Summary'!Z30</f>
        <v>0</v>
      </c>
      <c r="AT38" s="601">
        <f>'5. Vacant Land + Dev Summary'!AA30+'5. Vacant Land + Dev Summary'!AB30</f>
        <v>0</v>
      </c>
      <c r="AU38" s="601">
        <f>'5. Vacant Land + Dev Summary'!AC30+'5. Vacant Land + Dev Summary'!AD30+'5. Vacant Land + Dev Summary'!AE30</f>
        <v>0</v>
      </c>
      <c r="AV38" s="601">
        <f>'5. Vacant Land + Dev Summary'!AF30</f>
        <v>67.739320000000006</v>
      </c>
      <c r="AW38" s="601">
        <f>'5. Vacant Land + Dev Summary'!AI30</f>
        <v>14.000500000000001</v>
      </c>
      <c r="AX38" s="886">
        <f t="shared" si="9"/>
        <v>81.739820000000009</v>
      </c>
      <c r="AZ38" s="616">
        <f t="shared" si="10"/>
        <v>0</v>
      </c>
      <c r="BA38" s="616">
        <f t="shared" si="11"/>
        <v>0</v>
      </c>
      <c r="BB38" s="616"/>
      <c r="BC38" s="616">
        <f t="shared" si="12"/>
        <v>0</v>
      </c>
      <c r="BD38" s="616">
        <f t="shared" si="13"/>
        <v>668098.28615177213</v>
      </c>
      <c r="BE38" s="616">
        <f t="shared" si="14"/>
        <v>56820.370250569482</v>
      </c>
      <c r="BF38" s="886">
        <f t="shared" si="23"/>
        <v>724918.65640234156</v>
      </c>
      <c r="BH38" s="607">
        <f t="shared" si="24"/>
        <v>0</v>
      </c>
      <c r="BI38" s="607">
        <f t="shared" si="25"/>
        <v>0</v>
      </c>
      <c r="BJ38" s="607"/>
      <c r="BK38" s="607">
        <f t="shared" si="26"/>
        <v>0</v>
      </c>
      <c r="BL38" s="607">
        <f t="shared" si="27"/>
        <v>47.417524</v>
      </c>
      <c r="BM38" s="607">
        <f t="shared" si="28"/>
        <v>9.8003499999999999</v>
      </c>
      <c r="BN38" s="607">
        <f t="shared" si="29"/>
        <v>57.217874000000002</v>
      </c>
    </row>
    <row r="39" spans="2:66" x14ac:dyDescent="0.2">
      <c r="B39" s="645" t="s">
        <v>150</v>
      </c>
      <c r="D39" s="633" t="s">
        <v>385</v>
      </c>
      <c r="E39" s="745">
        <f>'3. EDU Calculation'!M33</f>
        <v>15.000000000000002</v>
      </c>
      <c r="F39" s="640">
        <v>1</v>
      </c>
      <c r="G39" s="595">
        <f t="shared" si="31"/>
        <v>567.97264031464829</v>
      </c>
      <c r="H39" s="595">
        <f t="shared" si="31"/>
        <v>8141.8556940137496</v>
      </c>
      <c r="I39" s="595">
        <f t="shared" si="31"/>
        <v>0</v>
      </c>
      <c r="J39" s="595">
        <f t="shared" si="31"/>
        <v>5242.4697150004531</v>
      </c>
      <c r="K39" s="595">
        <f t="shared" si="31"/>
        <v>12680.722374635059</v>
      </c>
      <c r="L39" s="638">
        <f t="shared" si="31"/>
        <v>5218.0109103769282</v>
      </c>
      <c r="N39" s="633" t="s">
        <v>385</v>
      </c>
      <c r="O39" s="637">
        <f>'3. EDU Calculation'!G33</f>
        <v>3</v>
      </c>
      <c r="P39" s="595">
        <f t="shared" si="1"/>
        <v>567.97264031464829</v>
      </c>
      <c r="Q39" s="595">
        <f t="shared" si="2"/>
        <v>8141.8556940137496</v>
      </c>
      <c r="R39" s="595">
        <f t="shared" si="3"/>
        <v>0</v>
      </c>
      <c r="S39" s="595">
        <f t="shared" si="4"/>
        <v>5242.4697150004531</v>
      </c>
      <c r="T39" s="595">
        <f t="shared" si="5"/>
        <v>12680.722374635059</v>
      </c>
      <c r="U39" s="638">
        <f t="shared" si="6"/>
        <v>5218.0109103769282</v>
      </c>
      <c r="X39" s="633" t="s">
        <v>385</v>
      </c>
      <c r="Y39" s="745">
        <f>'3. EDU Calculation'!E33</f>
        <v>0.9</v>
      </c>
      <c r="Z39" s="595">
        <f t="shared" si="16"/>
        <v>567.97264031464817</v>
      </c>
      <c r="AA39" s="595">
        <f t="shared" si="32"/>
        <v>8141.8556940137496</v>
      </c>
      <c r="AB39" s="595">
        <f t="shared" si="32"/>
        <v>0</v>
      </c>
      <c r="AC39" s="595">
        <f t="shared" si="32"/>
        <v>5242.4697150004522</v>
      </c>
      <c r="AD39" s="595">
        <f t="shared" si="32"/>
        <v>12680.722374635059</v>
      </c>
      <c r="AE39" s="638">
        <f t="shared" si="32"/>
        <v>5218.0109103769282</v>
      </c>
      <c r="AG39" s="633" t="s">
        <v>385</v>
      </c>
      <c r="AH39" s="640">
        <v>1</v>
      </c>
      <c r="AI39" s="595">
        <f t="shared" si="17"/>
        <v>567.97264031464817</v>
      </c>
      <c r="AJ39" s="595">
        <f t="shared" si="18"/>
        <v>8141.8556940137496</v>
      </c>
      <c r="AK39" s="595">
        <f t="shared" si="19"/>
        <v>0</v>
      </c>
      <c r="AL39" s="595">
        <f t="shared" si="20"/>
        <v>5242.4697150004522</v>
      </c>
      <c r="AM39" s="595">
        <f t="shared" si="21"/>
        <v>12680.722374635059</v>
      </c>
      <c r="AN39" s="638">
        <f t="shared" si="22"/>
        <v>5218.0109103769282</v>
      </c>
      <c r="AP39" s="597"/>
      <c r="AQ39" s="597"/>
      <c r="AS39" s="601">
        <f>'5. Vacant Land + Dev Summary'!Z31</f>
        <v>0</v>
      </c>
      <c r="AT39" s="601">
        <f>'5. Vacant Land + Dev Summary'!AA31+'5. Vacant Land + Dev Summary'!AB31</f>
        <v>8.6115200000000005</v>
      </c>
      <c r="AU39" s="601">
        <f>'5. Vacant Land + Dev Summary'!AC31+'5. Vacant Land + Dev Summary'!AD31+'5. Vacant Land + Dev Summary'!AE31</f>
        <v>0</v>
      </c>
      <c r="AV39" s="601">
        <f>'5. Vacant Land + Dev Summary'!AF31</f>
        <v>54.65505000000001</v>
      </c>
      <c r="AW39" s="601">
        <f>'5. Vacant Land + Dev Summary'!AI31</f>
        <v>19.761961200000002</v>
      </c>
      <c r="AX39" s="886">
        <f t="shared" si="9"/>
        <v>83.028531200000003</v>
      </c>
      <c r="AZ39" s="616">
        <f t="shared" si="10"/>
        <v>0</v>
      </c>
      <c r="BA39" s="616">
        <f t="shared" si="11"/>
        <v>70113.753146113289</v>
      </c>
      <c r="BB39" s="616"/>
      <c r="BC39" s="616">
        <f t="shared" si="12"/>
        <v>0</v>
      </c>
      <c r="BD39" s="616">
        <f t="shared" si="13"/>
        <v>693065.51542179799</v>
      </c>
      <c r="BE39" s="616">
        <f t="shared" si="14"/>
        <v>103118.12915204554</v>
      </c>
      <c r="BF39" s="886">
        <f t="shared" si="23"/>
        <v>866297.39771995682</v>
      </c>
      <c r="BH39" s="607">
        <f t="shared" si="24"/>
        <v>0</v>
      </c>
      <c r="BI39" s="607">
        <f t="shared" si="25"/>
        <v>7.7503680000000008</v>
      </c>
      <c r="BJ39" s="607"/>
      <c r="BK39" s="607">
        <f t="shared" si="26"/>
        <v>0</v>
      </c>
      <c r="BL39" s="607">
        <f t="shared" si="27"/>
        <v>49.18954500000001</v>
      </c>
      <c r="BM39" s="607">
        <f t="shared" si="28"/>
        <v>17.785765080000001</v>
      </c>
      <c r="BN39" s="607">
        <f t="shared" si="29"/>
        <v>74.725678080000009</v>
      </c>
    </row>
    <row r="40" spans="2:66" x14ac:dyDescent="0.2">
      <c r="B40" s="645" t="s">
        <v>151</v>
      </c>
      <c r="D40" s="633" t="s">
        <v>385</v>
      </c>
      <c r="E40" s="745">
        <f>'3. EDU Calculation'!M34</f>
        <v>15.000000000000002</v>
      </c>
      <c r="F40" s="640">
        <v>1</v>
      </c>
      <c r="G40" s="595">
        <f t="shared" si="31"/>
        <v>567.97264031464829</v>
      </c>
      <c r="H40" s="595">
        <f t="shared" si="31"/>
        <v>8141.8556940137496</v>
      </c>
      <c r="I40" s="595">
        <f t="shared" si="31"/>
        <v>0</v>
      </c>
      <c r="J40" s="595">
        <f t="shared" si="31"/>
        <v>5242.4697150004531</v>
      </c>
      <c r="K40" s="595">
        <f t="shared" si="31"/>
        <v>12680.722374635059</v>
      </c>
      <c r="L40" s="638">
        <f t="shared" si="31"/>
        <v>5218.0109103769282</v>
      </c>
      <c r="N40" s="633" t="s">
        <v>385</v>
      </c>
      <c r="O40" s="637">
        <f>'3. EDU Calculation'!G34</f>
        <v>3</v>
      </c>
      <c r="P40" s="595">
        <f t="shared" si="1"/>
        <v>567.97264031464829</v>
      </c>
      <c r="Q40" s="595">
        <f t="shared" si="2"/>
        <v>8141.8556940137496</v>
      </c>
      <c r="R40" s="595">
        <f t="shared" si="3"/>
        <v>0</v>
      </c>
      <c r="S40" s="595">
        <f t="shared" si="4"/>
        <v>5242.4697150004531</v>
      </c>
      <c r="T40" s="595">
        <f t="shared" si="5"/>
        <v>12680.722374635059</v>
      </c>
      <c r="U40" s="638">
        <f t="shared" si="6"/>
        <v>5218.0109103769282</v>
      </c>
      <c r="X40" s="633" t="s">
        <v>385</v>
      </c>
      <c r="Y40" s="745">
        <f>'3. EDU Calculation'!E34</f>
        <v>0.9</v>
      </c>
      <c r="Z40" s="595">
        <f t="shared" si="16"/>
        <v>567.97264031464817</v>
      </c>
      <c r="AA40" s="595">
        <f t="shared" si="32"/>
        <v>8141.8556940137496</v>
      </c>
      <c r="AB40" s="595">
        <f t="shared" si="32"/>
        <v>0</v>
      </c>
      <c r="AC40" s="595">
        <f t="shared" si="32"/>
        <v>5242.4697150004522</v>
      </c>
      <c r="AD40" s="595">
        <f t="shared" si="32"/>
        <v>12680.722374635059</v>
      </c>
      <c r="AE40" s="638">
        <f t="shared" si="32"/>
        <v>5218.0109103769282</v>
      </c>
      <c r="AG40" s="633" t="s">
        <v>385</v>
      </c>
      <c r="AH40" s="640">
        <v>1</v>
      </c>
      <c r="AI40" s="595">
        <f t="shared" si="17"/>
        <v>567.97264031464817</v>
      </c>
      <c r="AJ40" s="595">
        <f t="shared" si="18"/>
        <v>8141.8556940137496</v>
      </c>
      <c r="AK40" s="595">
        <f t="shared" si="19"/>
        <v>0</v>
      </c>
      <c r="AL40" s="595">
        <f t="shared" si="20"/>
        <v>5242.4697150004522</v>
      </c>
      <c r="AM40" s="595">
        <f t="shared" si="21"/>
        <v>12680.722374635059</v>
      </c>
      <c r="AN40" s="638">
        <f t="shared" si="22"/>
        <v>5218.0109103769282</v>
      </c>
      <c r="AP40" s="597"/>
      <c r="AQ40" s="597"/>
      <c r="AS40" s="601">
        <f>'5. Vacant Land + Dev Summary'!Z32</f>
        <v>0</v>
      </c>
      <c r="AT40" s="601">
        <f>'5. Vacant Land + Dev Summary'!AA32+'5. Vacant Land + Dev Summary'!AB32</f>
        <v>8.086920000000001</v>
      </c>
      <c r="AU40" s="601">
        <f>'5. Vacant Land + Dev Summary'!AC32+'5. Vacant Land + Dev Summary'!AD32+'5. Vacant Land + Dev Summary'!AE32</f>
        <v>0</v>
      </c>
      <c r="AV40" s="601">
        <f>'5. Vacant Land + Dev Summary'!AF32</f>
        <v>0</v>
      </c>
      <c r="AW40" s="601">
        <f>'5. Vacant Land + Dev Summary'!AI32</f>
        <v>0</v>
      </c>
      <c r="AX40" s="886">
        <f t="shared" si="9"/>
        <v>8.086920000000001</v>
      </c>
      <c r="AZ40" s="616">
        <f t="shared" si="10"/>
        <v>0</v>
      </c>
      <c r="BA40" s="616">
        <f t="shared" si="11"/>
        <v>65842.535649033685</v>
      </c>
      <c r="BB40" s="616"/>
      <c r="BC40" s="616">
        <f t="shared" si="12"/>
        <v>0</v>
      </c>
      <c r="BD40" s="616">
        <f t="shared" si="13"/>
        <v>0</v>
      </c>
      <c r="BE40" s="616">
        <f t="shared" si="14"/>
        <v>0</v>
      </c>
      <c r="BF40" s="886">
        <f t="shared" si="23"/>
        <v>65842.535649033685</v>
      </c>
      <c r="BH40" s="607">
        <f t="shared" si="24"/>
        <v>0</v>
      </c>
      <c r="BI40" s="607">
        <f t="shared" si="25"/>
        <v>7.2782280000000013</v>
      </c>
      <c r="BJ40" s="607"/>
      <c r="BK40" s="607">
        <f t="shared" si="26"/>
        <v>0</v>
      </c>
      <c r="BL40" s="607">
        <f t="shared" si="27"/>
        <v>0</v>
      </c>
      <c r="BM40" s="607">
        <f t="shared" si="28"/>
        <v>0</v>
      </c>
      <c r="BN40" s="607">
        <f t="shared" si="29"/>
        <v>7.2782280000000013</v>
      </c>
    </row>
    <row r="41" spans="2:66" x14ac:dyDescent="0.2">
      <c r="B41" s="645" t="s">
        <v>159</v>
      </c>
      <c r="D41" s="633" t="s">
        <v>385</v>
      </c>
      <c r="E41" s="745">
        <f>'3. EDU Calculation'!M35</f>
        <v>11.666666666666666</v>
      </c>
      <c r="F41" s="640">
        <v>1</v>
      </c>
      <c r="G41" s="595">
        <f t="shared" si="31"/>
        <v>441.7564980225041</v>
      </c>
      <c r="H41" s="595">
        <f t="shared" si="31"/>
        <v>6332.5544286773602</v>
      </c>
      <c r="I41" s="595">
        <f t="shared" si="31"/>
        <v>0</v>
      </c>
      <c r="J41" s="595">
        <f t="shared" si="31"/>
        <v>4077.4764450003518</v>
      </c>
      <c r="K41" s="595">
        <f t="shared" si="31"/>
        <v>9862.7840691605998</v>
      </c>
      <c r="L41" s="638">
        <f t="shared" si="31"/>
        <v>4058.452930293166</v>
      </c>
      <c r="N41" s="633" t="s">
        <v>385</v>
      </c>
      <c r="O41" s="637">
        <f>'3. EDU Calculation'!G35</f>
        <v>2.3333333333333335</v>
      </c>
      <c r="P41" s="595">
        <f t="shared" si="1"/>
        <v>441.7564980225041</v>
      </c>
      <c r="Q41" s="595">
        <f t="shared" si="2"/>
        <v>6332.5544286773602</v>
      </c>
      <c r="R41" s="595">
        <f t="shared" si="3"/>
        <v>0</v>
      </c>
      <c r="S41" s="595">
        <f t="shared" si="4"/>
        <v>4077.4764450003518</v>
      </c>
      <c r="T41" s="595">
        <f t="shared" si="5"/>
        <v>9862.7840691605998</v>
      </c>
      <c r="U41" s="638">
        <f t="shared" si="6"/>
        <v>4058.452930293166</v>
      </c>
      <c r="X41" s="633" t="s">
        <v>385</v>
      </c>
      <c r="Y41" s="745">
        <f>'3. EDU Calculation'!E35</f>
        <v>0.7</v>
      </c>
      <c r="Z41" s="595">
        <f t="shared" si="16"/>
        <v>441.7564980225041</v>
      </c>
      <c r="AA41" s="595">
        <f t="shared" si="32"/>
        <v>6332.5544286773602</v>
      </c>
      <c r="AB41" s="595">
        <f t="shared" si="32"/>
        <v>0</v>
      </c>
      <c r="AC41" s="595">
        <f t="shared" si="32"/>
        <v>4077.4764450003518</v>
      </c>
      <c r="AD41" s="595">
        <f t="shared" si="32"/>
        <v>9862.7840691606016</v>
      </c>
      <c r="AE41" s="638">
        <f t="shared" si="32"/>
        <v>4058.4529302931664</v>
      </c>
      <c r="AG41" s="633" t="s">
        <v>385</v>
      </c>
      <c r="AH41" s="640">
        <v>1</v>
      </c>
      <c r="AI41" s="595">
        <f t="shared" si="17"/>
        <v>441.7564980225041</v>
      </c>
      <c r="AJ41" s="595">
        <f t="shared" si="18"/>
        <v>6332.5544286773602</v>
      </c>
      <c r="AK41" s="595">
        <f t="shared" si="19"/>
        <v>0</v>
      </c>
      <c r="AL41" s="595">
        <f t="shared" si="20"/>
        <v>4077.4764450003518</v>
      </c>
      <c r="AM41" s="595">
        <f t="shared" si="21"/>
        <v>9862.7840691606016</v>
      </c>
      <c r="AN41" s="638">
        <f t="shared" si="22"/>
        <v>4058.4529302931664</v>
      </c>
      <c r="AP41" s="597"/>
      <c r="AQ41" s="597"/>
      <c r="AS41" s="601">
        <f>'5. Vacant Land + Dev Summary'!Z34</f>
        <v>22.889800000000001</v>
      </c>
      <c r="AT41" s="601">
        <f>'5. Vacant Land + Dev Summary'!AA34+'5. Vacant Land + Dev Summary'!AB34</f>
        <v>0</v>
      </c>
      <c r="AU41" s="601">
        <f>'5. Vacant Land + Dev Summary'!AC34+'5. Vacant Land + Dev Summary'!AD34</f>
        <v>0</v>
      </c>
      <c r="AV41" s="601">
        <f>'5. Vacant Land + Dev Summary'!AF34</f>
        <v>0</v>
      </c>
      <c r="AW41" s="601">
        <f>'5. Vacant Land + Dev Summary'!AI34</f>
        <v>0</v>
      </c>
      <c r="AX41" s="886">
        <f t="shared" si="9"/>
        <v>22.889800000000001</v>
      </c>
      <c r="AZ41" s="616">
        <f t="shared" si="10"/>
        <v>10111.717888435514</v>
      </c>
      <c r="BA41" s="616">
        <f t="shared" si="11"/>
        <v>0</v>
      </c>
      <c r="BB41" s="616"/>
      <c r="BC41" s="616">
        <f t="shared" si="12"/>
        <v>0</v>
      </c>
      <c r="BD41" s="616">
        <f t="shared" si="13"/>
        <v>0</v>
      </c>
      <c r="BE41" s="616">
        <f t="shared" si="14"/>
        <v>0</v>
      </c>
      <c r="BF41" s="886">
        <f t="shared" si="23"/>
        <v>10111.717888435514</v>
      </c>
      <c r="BH41" s="607">
        <f t="shared" si="24"/>
        <v>16.022860000000001</v>
      </c>
      <c r="BI41" s="607">
        <f t="shared" si="25"/>
        <v>0</v>
      </c>
      <c r="BJ41" s="607"/>
      <c r="BK41" s="607">
        <f t="shared" si="26"/>
        <v>0</v>
      </c>
      <c r="BL41" s="607">
        <f t="shared" si="27"/>
        <v>0</v>
      </c>
      <c r="BM41" s="607">
        <f t="shared" si="28"/>
        <v>0</v>
      </c>
      <c r="BN41" s="607">
        <f t="shared" si="29"/>
        <v>16.022860000000001</v>
      </c>
    </row>
    <row r="42" spans="2:66" x14ac:dyDescent="0.2">
      <c r="B42" s="646"/>
      <c r="D42" s="641"/>
      <c r="E42" s="625"/>
      <c r="F42" s="625"/>
      <c r="G42" s="625"/>
      <c r="H42" s="625"/>
      <c r="I42" s="625"/>
      <c r="J42" s="625"/>
      <c r="K42" s="625"/>
      <c r="L42" s="624"/>
      <c r="N42" s="639"/>
      <c r="O42" s="590"/>
      <c r="P42" s="625"/>
      <c r="Q42" s="625"/>
      <c r="R42" s="625"/>
      <c r="S42" s="625"/>
      <c r="T42" s="625"/>
      <c r="U42" s="624"/>
      <c r="X42" s="641"/>
      <c r="Y42" s="625"/>
      <c r="Z42" s="625"/>
      <c r="AA42" s="625"/>
      <c r="AB42" s="625"/>
      <c r="AC42" s="625"/>
      <c r="AD42" s="625"/>
      <c r="AE42" s="624"/>
      <c r="AG42" s="641"/>
      <c r="AH42" s="625"/>
      <c r="AI42" s="625"/>
      <c r="AJ42" s="625"/>
      <c r="AK42" s="625"/>
      <c r="AL42" s="625"/>
      <c r="AM42" s="625"/>
      <c r="AN42" s="624"/>
      <c r="AS42" s="590"/>
      <c r="AT42" s="590"/>
      <c r="AU42" s="590"/>
      <c r="AV42" s="590"/>
      <c r="AW42" s="590"/>
      <c r="AX42" s="590"/>
      <c r="AZ42" s="590"/>
      <c r="BA42" s="590"/>
      <c r="BB42" s="590"/>
      <c r="BC42" s="590"/>
      <c r="BD42" s="590"/>
      <c r="BE42" s="590"/>
      <c r="BF42" s="590"/>
      <c r="BH42" s="590"/>
      <c r="BI42" s="590"/>
      <c r="BJ42" s="590"/>
      <c r="BK42" s="590"/>
      <c r="BL42" s="590"/>
      <c r="BM42" s="590"/>
      <c r="BN42" s="590"/>
    </row>
    <row r="43" spans="2:66" x14ac:dyDescent="0.2">
      <c r="D43" s="615"/>
      <c r="E43" s="615"/>
      <c r="F43" s="615"/>
      <c r="G43"/>
      <c r="H43"/>
      <c r="I43"/>
      <c r="J43"/>
      <c r="K43"/>
      <c r="L43"/>
      <c r="Z43" s="615"/>
      <c r="AA43" s="615"/>
      <c r="AB43" s="615"/>
      <c r="AC43" s="615"/>
      <c r="AD43" s="615"/>
      <c r="AG43" s="615"/>
      <c r="AH43" s="615"/>
    </row>
    <row r="44" spans="2:66" x14ac:dyDescent="0.2">
      <c r="AI44" s="615"/>
      <c r="AJ44" s="615"/>
      <c r="AK44" s="615"/>
      <c r="AL44" s="615"/>
      <c r="AM44" s="615"/>
      <c r="AN44" s="615"/>
      <c r="AS44" s="886">
        <f t="shared" ref="AS44:AW44" si="33">SUM(AS16:AS42)</f>
        <v>2304.4362925</v>
      </c>
      <c r="AT44" s="886">
        <f t="shared" si="33"/>
        <v>1336.0744675000001</v>
      </c>
      <c r="AU44" s="886">
        <f t="shared" si="33"/>
        <v>880.19897000000003</v>
      </c>
      <c r="AV44" s="886">
        <f t="shared" si="33"/>
        <v>2673.5710475000001</v>
      </c>
      <c r="AW44" s="886">
        <f t="shared" si="33"/>
        <v>1367.7109562000001</v>
      </c>
      <c r="AX44" s="886">
        <f t="shared" ref="AX44" si="34">SUM(AX16:AX42)</f>
        <v>8561.9917337000006</v>
      </c>
      <c r="AZ44" s="886">
        <f>SUM(AZ16:AZ42)</f>
        <v>502523.52904275048</v>
      </c>
      <c r="BA44" s="886">
        <f t="shared" ref="BA44:BF44" si="35">SUM(BA16:BA42)</f>
        <v>4434786.9799260702</v>
      </c>
      <c r="BB44" s="886">
        <f t="shared" si="35"/>
        <v>0</v>
      </c>
      <c r="BC44" s="886">
        <f t="shared" si="35"/>
        <v>3035629.487601574</v>
      </c>
      <c r="BD44" s="886">
        <f t="shared" si="35"/>
        <v>14795132.247820064</v>
      </c>
      <c r="BE44" s="886">
        <f t="shared" si="35"/>
        <v>2677955.3415689934</v>
      </c>
      <c r="BF44" s="886">
        <f t="shared" si="35"/>
        <v>25446027.585959461</v>
      </c>
      <c r="BH44" s="886">
        <f t="shared" ref="BH44:BN44" si="36">SUM(BH16:BH42)</f>
        <v>796.29042675000005</v>
      </c>
      <c r="BI44" s="886">
        <f t="shared" si="36"/>
        <v>490.22095599999983</v>
      </c>
      <c r="BJ44" s="886">
        <f t="shared" si="36"/>
        <v>0</v>
      </c>
      <c r="BK44" s="886">
        <f t="shared" si="36"/>
        <v>521.14112</v>
      </c>
      <c r="BL44" s="886">
        <f t="shared" si="36"/>
        <v>1050.0678612500001</v>
      </c>
      <c r="BM44" s="886">
        <f t="shared" si="36"/>
        <v>461.89244307999991</v>
      </c>
      <c r="BN44" s="886">
        <f t="shared" si="36"/>
        <v>3319.6128070800005</v>
      </c>
    </row>
    <row r="46" spans="2:66" x14ac:dyDescent="0.2">
      <c r="AS46" s="601">
        <f>'5. Vacant Land + Dev Summary'!Z43</f>
        <v>2304.4362925</v>
      </c>
      <c r="AT46" s="601">
        <f>'5. Vacant Land + Dev Summary'!AA43+'5. Vacant Land + Dev Summary'!AB43</f>
        <v>1336.0744674999999</v>
      </c>
      <c r="AU46" s="601">
        <f>'5. Vacant Land + Dev Summary'!AC43+'5. Vacant Land + Dev Summary'!AD43+'5. Vacant Land + Dev Summary'!AE43</f>
        <v>880.19896999999992</v>
      </c>
      <c r="AV46" s="601">
        <f>'5. Vacant Land + Dev Summary'!AF43</f>
        <v>2673.5710474999996</v>
      </c>
      <c r="AW46" s="601">
        <f>'5. Vacant Land + Dev Summary'!AI43</f>
        <v>1367.7109562000001</v>
      </c>
      <c r="BH46" s="601">
        <f>'5. Vacant Land + Dev Summary'!AL43</f>
        <v>796.29042675000005</v>
      </c>
      <c r="BI46" s="601">
        <f>'5. Vacant Land + Dev Summary'!AQ43+'5. Vacant Land + Dev Summary'!AR43</f>
        <v>1289.5786087500001</v>
      </c>
      <c r="BJ46" s="601">
        <v>0</v>
      </c>
      <c r="BK46" s="601">
        <f>'5. Vacant Land + Dev Summary'!AS43+'5. Vacant Land + Dev Summary'!AT43+'5. Vacant Land + Dev Summary'!AU43</f>
        <v>461.89244307999991</v>
      </c>
      <c r="BL46" s="601">
        <f>'5. Vacant Land + Dev Summary'!AV43</f>
        <v>0</v>
      </c>
      <c r="BM46" s="601">
        <f>'5. Vacant Land + Dev Summary'!AY43</f>
        <v>0</v>
      </c>
    </row>
    <row r="48" spans="2:66" x14ac:dyDescent="0.2">
      <c r="AS48" s="601">
        <f>AS44-AS46</f>
        <v>0</v>
      </c>
      <c r="AT48" s="601">
        <f t="shared" ref="AT48:AW48" si="37">AT44-AT46</f>
        <v>0</v>
      </c>
      <c r="AU48" s="601">
        <f t="shared" si="37"/>
        <v>0</v>
      </c>
      <c r="AV48" s="601">
        <f t="shared" si="37"/>
        <v>0</v>
      </c>
      <c r="AW48" s="601">
        <f t="shared" si="37"/>
        <v>0</v>
      </c>
      <c r="BH48" s="601">
        <f>BH44-BH46</f>
        <v>0</v>
      </c>
      <c r="BI48" s="601">
        <f t="shared" ref="BI48:BM48" si="38">BI44-BI46</f>
        <v>-799.35765275000017</v>
      </c>
      <c r="BJ48" s="601">
        <f t="shared" si="38"/>
        <v>0</v>
      </c>
      <c r="BK48" s="601">
        <f t="shared" si="38"/>
        <v>59.248676920000094</v>
      </c>
      <c r="BL48" s="601">
        <f t="shared" si="38"/>
        <v>1050.0678612500001</v>
      </c>
      <c r="BM48" s="601">
        <f t="shared" si="38"/>
        <v>461.89244307999991</v>
      </c>
    </row>
  </sheetData>
  <mergeCells count="4">
    <mergeCell ref="N9:U9"/>
    <mergeCell ref="D9:L9"/>
    <mergeCell ref="X9:AE9"/>
    <mergeCell ref="AG9:AN9"/>
  </mergeCells>
  <pageMargins left="0.7" right="0.7" top="0.75" bottom="0.75" header="0.3" footer="0.3"/>
  <pageSetup scale="2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D42"/>
  <sheetViews>
    <sheetView workbookViewId="0">
      <selection activeCell="E8" sqref="E8"/>
    </sheetView>
  </sheetViews>
  <sheetFormatPr defaultRowHeight="12.75" x14ac:dyDescent="0.2"/>
  <cols>
    <col min="1" max="1" width="6.140625" customWidth="1"/>
    <col min="2" max="2" width="12.140625" bestFit="1" customWidth="1"/>
    <col min="3" max="3" width="4.28515625" customWidth="1"/>
    <col min="4" max="4" width="5" bestFit="1" customWidth="1"/>
    <col min="5" max="5" width="11.140625" bestFit="1" customWidth="1"/>
    <col min="6" max="6" width="11.140625" hidden="1" customWidth="1"/>
    <col min="8" max="8" width="6.140625" style="615" customWidth="1"/>
    <col min="9" max="9" width="11.28515625" bestFit="1" customWidth="1"/>
    <col min="11" max="11" width="11.28515625" customWidth="1"/>
    <col min="12" max="12" width="10.7109375" hidden="1" customWidth="1"/>
    <col min="13" max="13" width="16.140625" bestFit="1" customWidth="1"/>
    <col min="14" max="14" width="6.85546875" bestFit="1" customWidth="1"/>
    <col min="15" max="15" width="13.5703125" hidden="1" customWidth="1"/>
    <col min="16" max="17" width="8.85546875" hidden="1" customWidth="1"/>
    <col min="18" max="18" width="14.5703125" hidden="1" customWidth="1"/>
    <col min="19" max="21" width="8.85546875" hidden="1" customWidth="1"/>
    <col min="22" max="26" width="0" hidden="1" customWidth="1"/>
    <col min="27" max="30" width="9.42578125" hidden="1" customWidth="1"/>
  </cols>
  <sheetData>
    <row r="1" spans="1:30" x14ac:dyDescent="0.2">
      <c r="A1" t="s">
        <v>429</v>
      </c>
      <c r="M1" s="648" t="str">
        <f>'1. Storm Drainage Fee Calc Sum'!$J$1</f>
        <v>Internal</v>
      </c>
    </row>
    <row r="2" spans="1:30" x14ac:dyDescent="0.2">
      <c r="A2" t="s">
        <v>406</v>
      </c>
      <c r="M2" s="649" t="str">
        <f>'1. Storm Drainage Fee Calc Sum'!$J$2</f>
        <v>Working Draft - v9</v>
      </c>
    </row>
    <row r="3" spans="1:30" x14ac:dyDescent="0.2">
      <c r="A3" t="s">
        <v>408</v>
      </c>
      <c r="M3" s="650">
        <f>'1. Storm Drainage Fee Calc Sum'!$J$3</f>
        <v>41289</v>
      </c>
    </row>
    <row r="4" spans="1:30" x14ac:dyDescent="0.2">
      <c r="A4" t="s">
        <v>430</v>
      </c>
    </row>
    <row r="5" spans="1:30" x14ac:dyDescent="0.2">
      <c r="E5" s="601"/>
      <c r="F5" s="601"/>
    </row>
    <row r="6" spans="1:30" ht="13.5" thickBot="1" x14ac:dyDescent="0.25">
      <c r="J6" s="601"/>
      <c r="O6" t="s">
        <v>422</v>
      </c>
    </row>
    <row r="7" spans="1:30" ht="13.5" thickBot="1" x14ac:dyDescent="0.25">
      <c r="C7" s="46"/>
      <c r="D7" s="972" t="s">
        <v>383</v>
      </c>
      <c r="E7" s="973"/>
      <c r="F7" s="973"/>
      <c r="G7" s="974"/>
      <c r="I7" s="969" t="s">
        <v>387</v>
      </c>
      <c r="J7" s="970"/>
      <c r="K7" s="970"/>
      <c r="L7" s="970"/>
      <c r="M7" s="971"/>
      <c r="O7" t="s">
        <v>423</v>
      </c>
      <c r="R7" s="926" t="s">
        <v>225</v>
      </c>
      <c r="S7" s="927"/>
      <c r="T7" s="927"/>
      <c r="U7" s="928"/>
      <c r="W7" t="s">
        <v>559</v>
      </c>
    </row>
    <row r="8" spans="1:30" ht="45" customHeight="1" x14ac:dyDescent="0.2">
      <c r="B8" s="719" t="s">
        <v>129</v>
      </c>
      <c r="C8" s="46"/>
      <c r="D8" s="629" t="s">
        <v>384</v>
      </c>
      <c r="E8" s="817" t="s">
        <v>568</v>
      </c>
      <c r="F8" s="728" t="s">
        <v>432</v>
      </c>
      <c r="G8" s="818" t="s">
        <v>387</v>
      </c>
      <c r="H8" s="720"/>
      <c r="I8" s="629" t="s">
        <v>384</v>
      </c>
      <c r="J8" s="728" t="s">
        <v>538</v>
      </c>
      <c r="K8" s="728" t="s">
        <v>386</v>
      </c>
      <c r="L8" s="728" t="s">
        <v>432</v>
      </c>
      <c r="M8" s="818" t="s">
        <v>387</v>
      </c>
      <c r="N8" s="743"/>
      <c r="O8" s="622" t="s">
        <v>388</v>
      </c>
      <c r="R8" s="221" t="s">
        <v>129</v>
      </c>
      <c r="S8" s="222" t="s">
        <v>130</v>
      </c>
      <c r="T8" s="223" t="s">
        <v>131</v>
      </c>
      <c r="U8" s="224" t="s">
        <v>165</v>
      </c>
      <c r="W8" s="808" t="s">
        <v>551</v>
      </c>
      <c r="X8" s="808" t="s">
        <v>554</v>
      </c>
      <c r="Y8" s="808" t="s">
        <v>555</v>
      </c>
      <c r="Z8" s="808" t="s">
        <v>556</v>
      </c>
      <c r="AA8" s="808" t="s">
        <v>552</v>
      </c>
      <c r="AB8" s="808" t="s">
        <v>553</v>
      </c>
      <c r="AC8" s="808" t="s">
        <v>557</v>
      </c>
      <c r="AD8" s="808" t="s">
        <v>560</v>
      </c>
    </row>
    <row r="9" spans="1:30" x14ac:dyDescent="0.2">
      <c r="B9" s="721"/>
      <c r="C9" s="46"/>
      <c r="D9" s="633"/>
      <c r="E9" s="740"/>
      <c r="F9" s="741"/>
      <c r="G9" s="802"/>
      <c r="H9" s="720"/>
      <c r="I9" s="633"/>
      <c r="J9" s="741"/>
      <c r="K9" s="740"/>
      <c r="L9" s="741"/>
      <c r="M9" s="802"/>
      <c r="N9" s="743"/>
      <c r="O9" s="801"/>
      <c r="R9" s="221"/>
      <c r="S9" s="222"/>
      <c r="T9" s="223"/>
      <c r="U9" s="224"/>
    </row>
    <row r="10" spans="1:30" x14ac:dyDescent="0.2">
      <c r="B10" s="255" t="s">
        <v>133</v>
      </c>
      <c r="C10" s="46"/>
      <c r="D10" s="633" t="s">
        <v>385</v>
      </c>
      <c r="E10" s="730">
        <f t="shared" ref="E10:E35" si="0">S10</f>
        <v>0.3</v>
      </c>
      <c r="F10" s="730"/>
      <c r="G10" s="725">
        <f t="shared" ref="G10:G13" si="1">IF(F10&gt;0,(E10/$E$11)/F10,E10/$E$11)</f>
        <v>1</v>
      </c>
      <c r="I10" s="633" t="s">
        <v>241</v>
      </c>
      <c r="J10" s="640">
        <f>T10</f>
        <v>2</v>
      </c>
      <c r="K10" s="730">
        <f>S10/J10</f>
        <v>0.15</v>
      </c>
      <c r="L10" s="730"/>
      <c r="M10" s="731">
        <f t="shared" ref="M10:M13" si="2">IF(L10&gt;0,(K10/$K$11)/L10,(K10/$K$11))</f>
        <v>2.5</v>
      </c>
      <c r="O10" s="623">
        <f t="shared" ref="O10:O35" si="3">U10-M10</f>
        <v>0</v>
      </c>
      <c r="P10" s="601">
        <f>(K10*J10)/($K$11*$J$11)</f>
        <v>1</v>
      </c>
      <c r="Q10" s="601"/>
      <c r="R10" s="169" t="s">
        <v>133</v>
      </c>
      <c r="S10" s="170">
        <v>0.3</v>
      </c>
      <c r="T10" s="220">
        <v>2</v>
      </c>
      <c r="U10" s="225">
        <v>2.5</v>
      </c>
      <c r="V10" s="592"/>
      <c r="W10" s="809">
        <v>2</v>
      </c>
      <c r="X10" s="601">
        <f>J10</f>
        <v>2</v>
      </c>
      <c r="Y10" s="601">
        <f>X10*W10</f>
        <v>4</v>
      </c>
      <c r="Z10" s="601"/>
      <c r="AA10" s="601">
        <f>W10*G10</f>
        <v>2</v>
      </c>
      <c r="AB10" s="810">
        <f>Y10*M10</f>
        <v>10</v>
      </c>
      <c r="AC10" s="591">
        <f>$AA$42*AA10</f>
        <v>50.505050505050505</v>
      </c>
      <c r="AD10" s="601">
        <f>$AB$42*AB10</f>
        <v>50.505050505050491</v>
      </c>
    </row>
    <row r="11" spans="1:30" x14ac:dyDescent="0.2">
      <c r="B11" s="735" t="s">
        <v>135</v>
      </c>
      <c r="C11" s="46"/>
      <c r="D11" s="633" t="s">
        <v>385</v>
      </c>
      <c r="E11" s="739">
        <f t="shared" si="0"/>
        <v>0.3</v>
      </c>
      <c r="F11" s="739"/>
      <c r="G11" s="726">
        <f t="shared" si="1"/>
        <v>1</v>
      </c>
      <c r="I11" s="737" t="s">
        <v>241</v>
      </c>
      <c r="J11" s="738">
        <f>T11</f>
        <v>5</v>
      </c>
      <c r="K11" s="739">
        <f>S11/J11</f>
        <v>0.06</v>
      </c>
      <c r="L11" s="739"/>
      <c r="M11" s="726">
        <f t="shared" si="2"/>
        <v>1</v>
      </c>
      <c r="O11" s="623">
        <f t="shared" si="3"/>
        <v>0</v>
      </c>
      <c r="P11" s="601">
        <f t="shared" ref="P11:P13" si="4">(K11*J11)/($K$11*$J$11)</f>
        <v>1</v>
      </c>
      <c r="Q11" s="601"/>
      <c r="R11" s="618" t="s">
        <v>135</v>
      </c>
      <c r="S11" s="619">
        <v>0.3</v>
      </c>
      <c r="T11" s="620">
        <v>5</v>
      </c>
      <c r="U11" s="621">
        <v>1</v>
      </c>
      <c r="V11" s="592"/>
      <c r="W11" s="722">
        <v>7</v>
      </c>
      <c r="X11" s="601">
        <f>J11</f>
        <v>5</v>
      </c>
      <c r="Y11" s="601">
        <f>X11*W11</f>
        <v>35</v>
      </c>
      <c r="Z11" s="601"/>
      <c r="AA11" s="601">
        <f>W11*G11</f>
        <v>7</v>
      </c>
      <c r="AB11" s="810">
        <f>Y11*M11</f>
        <v>35</v>
      </c>
      <c r="AC11" s="591">
        <f>$AA$42*AA11</f>
        <v>176.76767676767676</v>
      </c>
      <c r="AD11" s="601">
        <f>$AB$42*AB11</f>
        <v>176.76767676767673</v>
      </c>
    </row>
    <row r="12" spans="1:30" x14ac:dyDescent="0.2">
      <c r="B12" s="255" t="s">
        <v>137</v>
      </c>
      <c r="C12" s="46"/>
      <c r="D12" s="633" t="s">
        <v>385</v>
      </c>
      <c r="E12" s="730">
        <f t="shared" si="0"/>
        <v>0.5</v>
      </c>
      <c r="F12" s="730"/>
      <c r="G12" s="725">
        <f t="shared" si="1"/>
        <v>1.6666666666666667</v>
      </c>
      <c r="I12" s="633" t="s">
        <v>241</v>
      </c>
      <c r="J12" s="640">
        <f>T12</f>
        <v>9</v>
      </c>
      <c r="K12" s="730">
        <f>S12/J12</f>
        <v>5.5555555555555552E-2</v>
      </c>
      <c r="L12" s="730"/>
      <c r="M12" s="725">
        <f t="shared" si="2"/>
        <v>0.92592592592592593</v>
      </c>
      <c r="O12" s="623">
        <f t="shared" si="3"/>
        <v>4.0740740740741188E-3</v>
      </c>
      <c r="P12" s="601">
        <f t="shared" si="4"/>
        <v>1.6666666666666667</v>
      </c>
      <c r="Q12" s="601"/>
      <c r="R12" s="169" t="s">
        <v>137</v>
      </c>
      <c r="S12" s="170">
        <v>0.5</v>
      </c>
      <c r="T12" s="604">
        <v>9</v>
      </c>
      <c r="U12" s="225">
        <v>0.93</v>
      </c>
      <c r="V12" s="592"/>
    </row>
    <row r="13" spans="1:30" x14ac:dyDescent="0.2">
      <c r="B13" s="255" t="s">
        <v>139</v>
      </c>
      <c r="C13" s="46"/>
      <c r="D13" s="633" t="s">
        <v>385</v>
      </c>
      <c r="E13" s="730">
        <f t="shared" si="0"/>
        <v>0.65</v>
      </c>
      <c r="F13" s="730"/>
      <c r="G13" s="725">
        <f t="shared" si="1"/>
        <v>2.166666666666667</v>
      </c>
      <c r="I13" s="633" t="s">
        <v>241</v>
      </c>
      <c r="J13" s="640">
        <f>T13</f>
        <v>17</v>
      </c>
      <c r="K13" s="730">
        <f>S13/J13</f>
        <v>3.8235294117647062E-2</v>
      </c>
      <c r="L13" s="730"/>
      <c r="M13" s="725">
        <f t="shared" si="2"/>
        <v>0.63725490196078438</v>
      </c>
      <c r="O13" s="623">
        <f t="shared" si="3"/>
        <v>2.7450980392156321E-3</v>
      </c>
      <c r="P13" s="601">
        <f t="shared" si="4"/>
        <v>2.166666666666667</v>
      </c>
      <c r="Q13" s="601"/>
      <c r="R13" s="169" t="s">
        <v>139</v>
      </c>
      <c r="S13" s="170">
        <v>0.65</v>
      </c>
      <c r="T13" s="220">
        <v>17</v>
      </c>
      <c r="U13" s="225">
        <v>0.64</v>
      </c>
      <c r="V13" s="592"/>
    </row>
    <row r="14" spans="1:30" x14ac:dyDescent="0.2">
      <c r="B14" s="255" t="s">
        <v>140</v>
      </c>
      <c r="C14" s="46"/>
      <c r="D14" s="633" t="s">
        <v>385</v>
      </c>
      <c r="E14" s="739">
        <f t="shared" si="0"/>
        <v>0.1</v>
      </c>
      <c r="F14" s="730"/>
      <c r="G14" s="726">
        <v>0</v>
      </c>
      <c r="I14" s="633" t="s">
        <v>385</v>
      </c>
      <c r="J14" s="640">
        <v>1</v>
      </c>
      <c r="K14" s="739">
        <f>S14</f>
        <v>0.1</v>
      </c>
      <c r="L14" s="730"/>
      <c r="M14" s="726">
        <v>0</v>
      </c>
      <c r="O14" s="623">
        <f t="shared" si="3"/>
        <v>0</v>
      </c>
      <c r="P14" s="601">
        <f>(K14*J14)/($K$11*$J$11)</f>
        <v>0.33333333333333337</v>
      </c>
      <c r="Q14" s="601"/>
      <c r="R14" s="169" t="s">
        <v>140</v>
      </c>
      <c r="S14" s="170">
        <v>0.1</v>
      </c>
      <c r="T14" s="231"/>
      <c r="U14" s="617">
        <v>0</v>
      </c>
      <c r="V14" s="592"/>
    </row>
    <row r="15" spans="1:30" x14ac:dyDescent="0.2">
      <c r="B15" s="255" t="s">
        <v>134</v>
      </c>
      <c r="C15" s="46"/>
      <c r="D15" s="633" t="s">
        <v>385</v>
      </c>
      <c r="E15" s="739">
        <f t="shared" si="0"/>
        <v>0.1</v>
      </c>
      <c r="F15" s="730"/>
      <c r="G15" s="726">
        <v>0</v>
      </c>
      <c r="I15" s="633" t="s">
        <v>385</v>
      </c>
      <c r="J15" s="640">
        <v>1</v>
      </c>
      <c r="K15" s="739">
        <f>S15</f>
        <v>0.1</v>
      </c>
      <c r="L15" s="730"/>
      <c r="M15" s="726">
        <v>0</v>
      </c>
      <c r="O15" s="623">
        <f t="shared" si="3"/>
        <v>0</v>
      </c>
      <c r="P15" s="601">
        <f>(K15*J15)/($K$11*$J$11)</f>
        <v>0.33333333333333337</v>
      </c>
      <c r="Q15" s="601"/>
      <c r="R15" s="169" t="s">
        <v>134</v>
      </c>
      <c r="S15" s="170">
        <v>0.1</v>
      </c>
      <c r="T15" s="232"/>
      <c r="U15" s="617">
        <v>0</v>
      </c>
      <c r="V15" s="592"/>
    </row>
    <row r="16" spans="1:30" x14ac:dyDescent="0.2">
      <c r="B16" s="255" t="s">
        <v>136</v>
      </c>
      <c r="C16" s="46"/>
      <c r="D16" s="633" t="s">
        <v>385</v>
      </c>
      <c r="E16" s="739">
        <f t="shared" si="0"/>
        <v>0.1</v>
      </c>
      <c r="F16" s="730"/>
      <c r="G16" s="726">
        <v>0</v>
      </c>
      <c r="I16" s="633" t="s">
        <v>385</v>
      </c>
      <c r="J16" s="640">
        <v>1</v>
      </c>
      <c r="K16" s="739">
        <f>S16</f>
        <v>0.1</v>
      </c>
      <c r="L16" s="730"/>
      <c r="M16" s="726">
        <v>0</v>
      </c>
      <c r="O16" s="672">
        <f t="shared" si="3"/>
        <v>1</v>
      </c>
      <c r="P16" s="601">
        <f>(K16*L16)/($K$11*$J$11)</f>
        <v>0</v>
      </c>
      <c r="Q16" s="601"/>
      <c r="R16" s="671" t="s">
        <v>136</v>
      </c>
      <c r="S16" s="812">
        <v>0.1</v>
      </c>
      <c r="T16" s="233"/>
      <c r="U16" s="225">
        <v>1</v>
      </c>
      <c r="V16" s="592"/>
    </row>
    <row r="17" spans="2:30" x14ac:dyDescent="0.2">
      <c r="B17" s="255" t="s">
        <v>229</v>
      </c>
      <c r="C17" s="46"/>
      <c r="D17" s="633" t="s">
        <v>385</v>
      </c>
      <c r="E17" s="730">
        <f t="shared" si="0"/>
        <v>0.3</v>
      </c>
      <c r="F17" s="730"/>
      <c r="G17" s="725">
        <f t="shared" ref="G17:G35" si="5">IF(F17&gt;0,(E17/$E$11)/F17,E17/$E$11)</f>
        <v>1</v>
      </c>
      <c r="I17" s="633" t="s">
        <v>241</v>
      </c>
      <c r="J17" s="640">
        <f>T17</f>
        <v>5</v>
      </c>
      <c r="K17" s="730">
        <f>S17/J17</f>
        <v>0.06</v>
      </c>
      <c r="L17" s="730"/>
      <c r="M17" s="725">
        <f t="shared" ref="M17:M28" si="6">IF(L17&gt;0,(K17/$K$11)/L17,(K17/$K$11))</f>
        <v>1</v>
      </c>
      <c r="O17" s="623">
        <f t="shared" si="3"/>
        <v>0</v>
      </c>
      <c r="P17" s="601">
        <f t="shared" ref="P17" si="7">(K17*J17)/($K$11*$J$11)</f>
        <v>1</v>
      </c>
      <c r="Q17" s="601"/>
      <c r="R17" s="169" t="s">
        <v>229</v>
      </c>
      <c r="S17" s="170">
        <v>0.3</v>
      </c>
      <c r="T17" s="220">
        <v>5</v>
      </c>
      <c r="U17" s="225">
        <v>1</v>
      </c>
      <c r="V17" s="592"/>
    </row>
    <row r="18" spans="2:30" x14ac:dyDescent="0.2">
      <c r="B18" s="255" t="s">
        <v>144</v>
      </c>
      <c r="C18" s="46"/>
      <c r="D18" s="633" t="s">
        <v>385</v>
      </c>
      <c r="E18" s="730">
        <f t="shared" si="0"/>
        <v>0.9</v>
      </c>
      <c r="F18" s="746">
        <v>0</v>
      </c>
      <c r="G18" s="725">
        <f t="shared" si="5"/>
        <v>3</v>
      </c>
      <c r="I18" s="633" t="s">
        <v>385</v>
      </c>
      <c r="J18" s="640">
        <v>1</v>
      </c>
      <c r="K18" s="730">
        <f t="shared" ref="K18:K24" si="8">S18</f>
        <v>0.9</v>
      </c>
      <c r="L18" s="746">
        <f>F18</f>
        <v>0</v>
      </c>
      <c r="M18" s="725">
        <f t="shared" si="6"/>
        <v>15.000000000000002</v>
      </c>
      <c r="N18" s="607"/>
      <c r="O18" s="623">
        <f t="shared" si="3"/>
        <v>2.6499999999999968</v>
      </c>
      <c r="P18" s="601" t="e">
        <f>(K18/L18)/($K$11*$J$11)</f>
        <v>#DIV/0!</v>
      </c>
      <c r="Q18" s="601"/>
      <c r="R18" s="169" t="s">
        <v>144</v>
      </c>
      <c r="S18" s="170">
        <v>0.9</v>
      </c>
      <c r="T18" s="231"/>
      <c r="U18" s="225">
        <v>17.649999999999999</v>
      </c>
      <c r="V18" s="592"/>
      <c r="W18">
        <v>18</v>
      </c>
      <c r="X18" s="601">
        <f t="shared" ref="X18:X19" si="9">J18</f>
        <v>1</v>
      </c>
      <c r="Y18" s="601">
        <f t="shared" ref="Y18:Y19" si="10">X18*W18</f>
        <v>18</v>
      </c>
      <c r="Z18" s="811">
        <f>F18</f>
        <v>0</v>
      </c>
      <c r="AA18" s="601">
        <f>IF(F18=0,W18*G18,W18*Z18*G18)</f>
        <v>54</v>
      </c>
      <c r="AB18" s="810">
        <f>IF(F18=0,Y18*M18,Y18*L18*M18)</f>
        <v>270.00000000000006</v>
      </c>
      <c r="AC18" s="591">
        <f t="shared" ref="AC18:AC19" si="11">$AA$42*AA18</f>
        <v>1363.6363636363637</v>
      </c>
      <c r="AD18" s="601">
        <f t="shared" ref="AD18:AD19" si="12">$AB$42*AB18</f>
        <v>1363.6363636363635</v>
      </c>
    </row>
    <row r="19" spans="2:30" x14ac:dyDescent="0.2">
      <c r="B19" s="255" t="s">
        <v>142</v>
      </c>
      <c r="C19" s="46"/>
      <c r="D19" s="633" t="s">
        <v>385</v>
      </c>
      <c r="E19" s="730">
        <f t="shared" si="0"/>
        <v>0.9</v>
      </c>
      <c r="F19" s="746">
        <f t="shared" ref="F19:F24" si="13">F18</f>
        <v>0</v>
      </c>
      <c r="G19" s="725">
        <f t="shared" si="5"/>
        <v>3</v>
      </c>
      <c r="I19" s="633" t="s">
        <v>385</v>
      </c>
      <c r="J19" s="640">
        <v>1</v>
      </c>
      <c r="K19" s="730">
        <f t="shared" si="8"/>
        <v>0.9</v>
      </c>
      <c r="L19" s="746">
        <f t="shared" ref="L19:L24" si="14">F19</f>
        <v>0</v>
      </c>
      <c r="M19" s="725">
        <f t="shared" si="6"/>
        <v>15.000000000000002</v>
      </c>
      <c r="N19" s="607"/>
      <c r="O19" s="623">
        <f t="shared" si="3"/>
        <v>2.6499999999999968</v>
      </c>
      <c r="P19" s="601" t="e">
        <f t="shared" ref="P19:P24" si="15">(K19/L19)/($K$11*$J$11)</f>
        <v>#DIV/0!</v>
      </c>
      <c r="Q19" s="601"/>
      <c r="R19" s="169" t="s">
        <v>142</v>
      </c>
      <c r="S19" s="170">
        <v>0.9</v>
      </c>
      <c r="T19" s="232"/>
      <c r="U19" s="225">
        <v>17.649999999999999</v>
      </c>
      <c r="V19" s="592"/>
      <c r="W19">
        <v>12</v>
      </c>
      <c r="X19" s="601">
        <f t="shared" si="9"/>
        <v>1</v>
      </c>
      <c r="Y19" s="601">
        <f t="shared" si="10"/>
        <v>12</v>
      </c>
      <c r="Z19" s="811">
        <f>F19</f>
        <v>0</v>
      </c>
      <c r="AA19" s="601">
        <f>IF(F19=0,W19*G19,W19*Z19*G19)</f>
        <v>36</v>
      </c>
      <c r="AB19" s="810">
        <f>IF(F19=0,Y19*M19,Y19*L19*M19)</f>
        <v>180.00000000000003</v>
      </c>
      <c r="AC19" s="591">
        <f t="shared" si="11"/>
        <v>909.09090909090912</v>
      </c>
      <c r="AD19" s="601">
        <f t="shared" si="12"/>
        <v>909.09090909090901</v>
      </c>
    </row>
    <row r="20" spans="2:30" x14ac:dyDescent="0.2">
      <c r="B20" s="255" t="s">
        <v>143</v>
      </c>
      <c r="C20" s="46"/>
      <c r="D20" s="633" t="s">
        <v>385</v>
      </c>
      <c r="E20" s="730">
        <f t="shared" si="0"/>
        <v>0.9</v>
      </c>
      <c r="F20" s="746">
        <f t="shared" si="13"/>
        <v>0</v>
      </c>
      <c r="G20" s="725">
        <f t="shared" si="5"/>
        <v>3</v>
      </c>
      <c r="I20" s="633" t="s">
        <v>385</v>
      </c>
      <c r="J20" s="640">
        <v>1</v>
      </c>
      <c r="K20" s="730">
        <f t="shared" si="8"/>
        <v>0.9</v>
      </c>
      <c r="L20" s="746">
        <f t="shared" si="14"/>
        <v>0</v>
      </c>
      <c r="M20" s="725">
        <f t="shared" si="6"/>
        <v>15.000000000000002</v>
      </c>
      <c r="N20" s="607"/>
      <c r="O20" s="623">
        <f t="shared" si="3"/>
        <v>2.6499999999999968</v>
      </c>
      <c r="P20" s="601" t="e">
        <f t="shared" si="15"/>
        <v>#DIV/0!</v>
      </c>
      <c r="Q20" s="601"/>
      <c r="R20" s="169" t="s">
        <v>143</v>
      </c>
      <c r="S20" s="170">
        <v>0.9</v>
      </c>
      <c r="T20" s="232"/>
      <c r="U20" s="225">
        <v>17.649999999999999</v>
      </c>
      <c r="V20" s="592"/>
    </row>
    <row r="21" spans="2:30" x14ac:dyDescent="0.2">
      <c r="B21" s="255" t="s">
        <v>145</v>
      </c>
      <c r="C21" s="46"/>
      <c r="D21" s="633" t="s">
        <v>385</v>
      </c>
      <c r="E21" s="730">
        <f t="shared" si="0"/>
        <v>0.9</v>
      </c>
      <c r="F21" s="746">
        <f t="shared" si="13"/>
        <v>0</v>
      </c>
      <c r="G21" s="725">
        <f t="shared" si="5"/>
        <v>3</v>
      </c>
      <c r="I21" s="633" t="s">
        <v>385</v>
      </c>
      <c r="J21" s="640">
        <v>1</v>
      </c>
      <c r="K21" s="730">
        <f t="shared" si="8"/>
        <v>0.9</v>
      </c>
      <c r="L21" s="746">
        <f t="shared" si="14"/>
        <v>0</v>
      </c>
      <c r="M21" s="725">
        <f t="shared" si="6"/>
        <v>15.000000000000002</v>
      </c>
      <c r="N21" s="607"/>
      <c r="O21" s="623">
        <f t="shared" si="3"/>
        <v>2.6499999999999968</v>
      </c>
      <c r="P21" s="601" t="e">
        <f t="shared" si="15"/>
        <v>#DIV/0!</v>
      </c>
      <c r="Q21" s="601"/>
      <c r="R21" s="169" t="s">
        <v>145</v>
      </c>
      <c r="S21" s="170">
        <v>0.9</v>
      </c>
      <c r="T21" s="232"/>
      <c r="U21" s="225">
        <v>17.649999999999999</v>
      </c>
      <c r="V21" s="592"/>
    </row>
    <row r="22" spans="2:30" x14ac:dyDescent="0.2">
      <c r="B22" s="255" t="s">
        <v>146</v>
      </c>
      <c r="C22" s="46"/>
      <c r="D22" s="633" t="s">
        <v>385</v>
      </c>
      <c r="E22" s="730">
        <f t="shared" si="0"/>
        <v>0.7</v>
      </c>
      <c r="F22" s="746">
        <f t="shared" si="13"/>
        <v>0</v>
      </c>
      <c r="G22" s="725">
        <f t="shared" si="5"/>
        <v>2.3333333333333335</v>
      </c>
      <c r="I22" s="633" t="s">
        <v>385</v>
      </c>
      <c r="J22" s="640">
        <v>1</v>
      </c>
      <c r="K22" s="730">
        <f t="shared" si="8"/>
        <v>0.7</v>
      </c>
      <c r="L22" s="746">
        <f t="shared" si="14"/>
        <v>0</v>
      </c>
      <c r="M22" s="725">
        <f t="shared" si="6"/>
        <v>11.666666666666666</v>
      </c>
      <c r="N22" s="607"/>
      <c r="O22" s="623">
        <f t="shared" si="3"/>
        <v>2.0633333333333344</v>
      </c>
      <c r="P22" s="601" t="e">
        <f t="shared" si="15"/>
        <v>#DIV/0!</v>
      </c>
      <c r="Q22" s="601"/>
      <c r="R22" s="169" t="s">
        <v>146</v>
      </c>
      <c r="S22" s="170">
        <v>0.7</v>
      </c>
      <c r="T22" s="232"/>
      <c r="U22" s="225">
        <v>13.73</v>
      </c>
      <c r="V22" s="592"/>
    </row>
    <row r="23" spans="2:30" x14ac:dyDescent="0.2">
      <c r="B23" s="255" t="s">
        <v>148</v>
      </c>
      <c r="C23" s="46"/>
      <c r="D23" s="633" t="s">
        <v>385</v>
      </c>
      <c r="E23" s="730">
        <f t="shared" si="0"/>
        <v>0.7</v>
      </c>
      <c r="F23" s="746">
        <f t="shared" si="13"/>
        <v>0</v>
      </c>
      <c r="G23" s="725">
        <f t="shared" si="5"/>
        <v>2.3333333333333335</v>
      </c>
      <c r="I23" s="633" t="s">
        <v>385</v>
      </c>
      <c r="J23" s="640">
        <v>1</v>
      </c>
      <c r="K23" s="730">
        <f t="shared" si="8"/>
        <v>0.7</v>
      </c>
      <c r="L23" s="746">
        <f t="shared" si="14"/>
        <v>0</v>
      </c>
      <c r="M23" s="725">
        <f t="shared" si="6"/>
        <v>11.666666666666666</v>
      </c>
      <c r="N23" s="607"/>
      <c r="O23" s="623">
        <f t="shared" si="3"/>
        <v>2.0633333333333344</v>
      </c>
      <c r="P23" s="601" t="e">
        <f t="shared" si="15"/>
        <v>#DIV/0!</v>
      </c>
      <c r="Q23" s="601"/>
      <c r="R23" s="169" t="s">
        <v>148</v>
      </c>
      <c r="S23" s="170">
        <v>0.7</v>
      </c>
      <c r="T23" s="232"/>
      <c r="U23" s="225">
        <v>13.73</v>
      </c>
      <c r="V23" s="592"/>
    </row>
    <row r="24" spans="2:30" x14ac:dyDescent="0.2">
      <c r="B24" s="255" t="s">
        <v>149</v>
      </c>
      <c r="C24" s="46"/>
      <c r="D24" s="633" t="s">
        <v>385</v>
      </c>
      <c r="E24" s="730">
        <f t="shared" si="0"/>
        <v>0.7</v>
      </c>
      <c r="F24" s="746">
        <f t="shared" si="13"/>
        <v>0</v>
      </c>
      <c r="G24" s="725">
        <f t="shared" si="5"/>
        <v>2.3333333333333335</v>
      </c>
      <c r="I24" s="633" t="s">
        <v>385</v>
      </c>
      <c r="J24" s="640">
        <v>1</v>
      </c>
      <c r="K24" s="730">
        <f t="shared" si="8"/>
        <v>0.7</v>
      </c>
      <c r="L24" s="746">
        <f t="shared" si="14"/>
        <v>0</v>
      </c>
      <c r="M24" s="725">
        <f t="shared" si="6"/>
        <v>11.666666666666666</v>
      </c>
      <c r="N24" s="607"/>
      <c r="O24" s="623">
        <f t="shared" si="3"/>
        <v>2.0633333333333344</v>
      </c>
      <c r="P24" s="601" t="e">
        <f t="shared" si="15"/>
        <v>#DIV/0!</v>
      </c>
      <c r="Q24" s="601"/>
      <c r="R24" s="169" t="s">
        <v>149</v>
      </c>
      <c r="S24" s="170">
        <v>0.7</v>
      </c>
      <c r="T24" s="233"/>
      <c r="U24" s="225">
        <v>13.73</v>
      </c>
      <c r="V24" s="592"/>
    </row>
    <row r="25" spans="2:30" x14ac:dyDescent="0.2">
      <c r="B25" s="255" t="s">
        <v>147</v>
      </c>
      <c r="C25" s="46"/>
      <c r="D25" s="633" t="s">
        <v>385</v>
      </c>
      <c r="E25" s="730">
        <f t="shared" si="0"/>
        <v>0.3</v>
      </c>
      <c r="F25" s="746"/>
      <c r="G25" s="725">
        <f t="shared" si="5"/>
        <v>1</v>
      </c>
      <c r="I25" s="633" t="s">
        <v>241</v>
      </c>
      <c r="J25" s="640">
        <f>T25</f>
        <v>5</v>
      </c>
      <c r="K25" s="730">
        <f>S25/J25</f>
        <v>0.06</v>
      </c>
      <c r="L25" s="746"/>
      <c r="M25" s="725">
        <f t="shared" si="6"/>
        <v>1</v>
      </c>
      <c r="O25" s="623">
        <f t="shared" si="3"/>
        <v>0</v>
      </c>
      <c r="P25" s="601">
        <f t="shared" ref="P25:P28" si="16">(K25*J25)/($K$11*$J$11)</f>
        <v>1</v>
      </c>
      <c r="Q25" s="601"/>
      <c r="R25" s="169" t="s">
        <v>147</v>
      </c>
      <c r="S25" s="170">
        <v>0.3</v>
      </c>
      <c r="T25" s="220">
        <v>5</v>
      </c>
      <c r="U25" s="225">
        <v>1</v>
      </c>
      <c r="V25" s="592"/>
    </row>
    <row r="26" spans="2:30" x14ac:dyDescent="0.2">
      <c r="B26" s="255" t="s">
        <v>152</v>
      </c>
      <c r="C26" s="46"/>
      <c r="D26" s="633" t="s">
        <v>385</v>
      </c>
      <c r="E26" s="730">
        <f t="shared" si="0"/>
        <v>0.3</v>
      </c>
      <c r="F26" s="746"/>
      <c r="G26" s="725">
        <f t="shared" si="5"/>
        <v>1</v>
      </c>
      <c r="I26" s="633" t="s">
        <v>241</v>
      </c>
      <c r="J26" s="640">
        <f>T26</f>
        <v>2</v>
      </c>
      <c r="K26" s="730">
        <f>S26/J26</f>
        <v>0.15</v>
      </c>
      <c r="L26" s="746"/>
      <c r="M26" s="725">
        <f t="shared" si="6"/>
        <v>2.5</v>
      </c>
      <c r="O26" s="623">
        <f t="shared" si="3"/>
        <v>0</v>
      </c>
      <c r="P26" s="601">
        <f t="shared" si="16"/>
        <v>1</v>
      </c>
      <c r="Q26" s="601"/>
      <c r="R26" s="169" t="s">
        <v>152</v>
      </c>
      <c r="S26" s="170">
        <v>0.3</v>
      </c>
      <c r="T26" s="220">
        <v>2</v>
      </c>
      <c r="U26" s="225">
        <v>2.5</v>
      </c>
      <c r="V26" s="592"/>
    </row>
    <row r="27" spans="2:30" x14ac:dyDescent="0.2">
      <c r="B27" s="255" t="s">
        <v>153</v>
      </c>
      <c r="C27" s="46"/>
      <c r="D27" s="633" t="s">
        <v>385</v>
      </c>
      <c r="E27" s="730">
        <f t="shared" si="0"/>
        <v>0.3</v>
      </c>
      <c r="F27" s="746"/>
      <c r="G27" s="725">
        <f t="shared" si="5"/>
        <v>1</v>
      </c>
      <c r="I27" s="633" t="s">
        <v>241</v>
      </c>
      <c r="J27" s="640">
        <f>T27</f>
        <v>5</v>
      </c>
      <c r="K27" s="730">
        <f>S27/J27</f>
        <v>0.06</v>
      </c>
      <c r="L27" s="746"/>
      <c r="M27" s="725">
        <f t="shared" si="6"/>
        <v>1</v>
      </c>
      <c r="O27" s="623">
        <f t="shared" si="3"/>
        <v>0</v>
      </c>
      <c r="P27" s="601">
        <f t="shared" si="16"/>
        <v>1</v>
      </c>
      <c r="Q27" s="601"/>
      <c r="R27" s="169" t="s">
        <v>153</v>
      </c>
      <c r="S27" s="170">
        <v>0.3</v>
      </c>
      <c r="T27" s="220">
        <v>5</v>
      </c>
      <c r="U27" s="225">
        <v>1</v>
      </c>
      <c r="V27" s="592"/>
    </row>
    <row r="28" spans="2:30" x14ac:dyDescent="0.2">
      <c r="B28" s="255" t="s">
        <v>154</v>
      </c>
      <c r="C28" s="46"/>
      <c r="D28" s="633" t="s">
        <v>385</v>
      </c>
      <c r="E28" s="730">
        <f t="shared" si="0"/>
        <v>0.5</v>
      </c>
      <c r="F28" s="746"/>
      <c r="G28" s="725">
        <f t="shared" si="5"/>
        <v>1.6666666666666667</v>
      </c>
      <c r="I28" s="633" t="s">
        <v>241</v>
      </c>
      <c r="J28" s="640">
        <f>T28</f>
        <v>9</v>
      </c>
      <c r="K28" s="730">
        <f>S28/J28</f>
        <v>5.5555555555555552E-2</v>
      </c>
      <c r="L28" s="746"/>
      <c r="M28" s="725">
        <f t="shared" si="6"/>
        <v>0.92592592592592593</v>
      </c>
      <c r="O28" s="623">
        <f t="shared" si="3"/>
        <v>4.0740740740741188E-3</v>
      </c>
      <c r="P28" s="601">
        <f t="shared" si="16"/>
        <v>1.6666666666666667</v>
      </c>
      <c r="Q28" s="601"/>
      <c r="R28" s="169" t="s">
        <v>154</v>
      </c>
      <c r="S28" s="170">
        <v>0.5</v>
      </c>
      <c r="T28" s="604">
        <v>9</v>
      </c>
      <c r="U28" s="225">
        <v>0.93</v>
      </c>
      <c r="V28" s="592"/>
    </row>
    <row r="29" spans="2:30" x14ac:dyDescent="0.2">
      <c r="B29" s="255" t="s">
        <v>155</v>
      </c>
      <c r="C29" s="46"/>
      <c r="D29" s="633" t="s">
        <v>385</v>
      </c>
      <c r="E29" s="739">
        <f t="shared" si="0"/>
        <v>0.1</v>
      </c>
      <c r="F29" s="746"/>
      <c r="G29" s="726">
        <v>0</v>
      </c>
      <c r="I29" s="633" t="s">
        <v>385</v>
      </c>
      <c r="J29" s="640">
        <v>1</v>
      </c>
      <c r="K29" s="739">
        <f>S29</f>
        <v>0.1</v>
      </c>
      <c r="L29" s="746"/>
      <c r="M29" s="726">
        <v>0</v>
      </c>
      <c r="O29" s="623">
        <f t="shared" si="3"/>
        <v>0</v>
      </c>
      <c r="Q29" s="601"/>
      <c r="R29" s="169" t="s">
        <v>155</v>
      </c>
      <c r="S29" s="170">
        <v>0.1</v>
      </c>
      <c r="T29" s="231"/>
      <c r="U29" s="617">
        <v>0</v>
      </c>
      <c r="V29" s="592"/>
    </row>
    <row r="30" spans="2:30" x14ac:dyDescent="0.2">
      <c r="B30" s="255" t="s">
        <v>156</v>
      </c>
      <c r="C30" s="46"/>
      <c r="D30" s="633" t="s">
        <v>385</v>
      </c>
      <c r="E30" s="739">
        <f t="shared" si="0"/>
        <v>0.1</v>
      </c>
      <c r="F30" s="746"/>
      <c r="G30" s="726">
        <v>0</v>
      </c>
      <c r="I30" s="633" t="s">
        <v>385</v>
      </c>
      <c r="J30" s="640">
        <v>1</v>
      </c>
      <c r="K30" s="739">
        <f>S30</f>
        <v>0.1</v>
      </c>
      <c r="L30" s="813"/>
      <c r="M30" s="726">
        <v>0</v>
      </c>
      <c r="O30" s="672">
        <f t="shared" si="3"/>
        <v>1</v>
      </c>
      <c r="Q30" s="601"/>
      <c r="R30" s="671" t="s">
        <v>156</v>
      </c>
      <c r="S30" s="812">
        <v>0.1</v>
      </c>
      <c r="T30" s="233"/>
      <c r="U30" s="225">
        <v>1</v>
      </c>
      <c r="V30" s="592"/>
    </row>
    <row r="31" spans="2:30" x14ac:dyDescent="0.2">
      <c r="B31" s="255" t="s">
        <v>230</v>
      </c>
      <c r="C31" s="46"/>
      <c r="D31" s="633" t="s">
        <v>385</v>
      </c>
      <c r="E31" s="730">
        <f t="shared" si="0"/>
        <v>0.3</v>
      </c>
      <c r="F31" s="746"/>
      <c r="G31" s="725">
        <f t="shared" si="5"/>
        <v>1</v>
      </c>
      <c r="I31" s="633" t="s">
        <v>241</v>
      </c>
      <c r="J31" s="640">
        <f>T31</f>
        <v>5</v>
      </c>
      <c r="K31" s="730">
        <f>S31/J31</f>
        <v>0.06</v>
      </c>
      <c r="L31" s="746"/>
      <c r="M31" s="725">
        <f t="shared" ref="M31:M35" si="17">IF(L31&gt;0,(K31/$K$11)/L31,(K31/$K$11))</f>
        <v>1</v>
      </c>
      <c r="O31" s="623">
        <f t="shared" si="3"/>
        <v>0</v>
      </c>
      <c r="P31" s="601">
        <f t="shared" ref="P31" si="18">(K31*J31)/($K$11*$J$11)</f>
        <v>1</v>
      </c>
      <c r="Q31" s="601"/>
      <c r="R31" s="169" t="s">
        <v>230</v>
      </c>
      <c r="S31" s="170">
        <v>0.3</v>
      </c>
      <c r="T31" s="220">
        <v>5</v>
      </c>
      <c r="U31" s="225">
        <v>1</v>
      </c>
      <c r="V31" s="592"/>
    </row>
    <row r="32" spans="2:30" x14ac:dyDescent="0.2">
      <c r="B32" s="255" t="s">
        <v>157</v>
      </c>
      <c r="C32" s="46"/>
      <c r="D32" s="633" t="s">
        <v>385</v>
      </c>
      <c r="E32" s="730">
        <f t="shared" si="0"/>
        <v>0.7</v>
      </c>
      <c r="F32" s="746">
        <f>F24</f>
        <v>0</v>
      </c>
      <c r="G32" s="725">
        <f t="shared" si="5"/>
        <v>2.3333333333333335</v>
      </c>
      <c r="I32" s="633" t="s">
        <v>385</v>
      </c>
      <c r="J32" s="640">
        <v>1</v>
      </c>
      <c r="K32" s="730">
        <f>S32</f>
        <v>0.7</v>
      </c>
      <c r="L32" s="746">
        <f t="shared" ref="L32:L35" si="19">F32</f>
        <v>0</v>
      </c>
      <c r="M32" s="725">
        <f t="shared" si="17"/>
        <v>11.666666666666666</v>
      </c>
      <c r="O32" s="623">
        <f t="shared" si="3"/>
        <v>2.0633333333333344</v>
      </c>
      <c r="P32" s="601" t="e">
        <f t="shared" ref="P32:P35" si="20">(K32/L32)/($K$11*$J$11)</f>
        <v>#DIV/0!</v>
      </c>
      <c r="Q32" s="601"/>
      <c r="R32" s="169" t="s">
        <v>157</v>
      </c>
      <c r="S32" s="170">
        <v>0.7</v>
      </c>
      <c r="T32" s="231"/>
      <c r="U32" s="225">
        <v>13.73</v>
      </c>
      <c r="V32" s="592"/>
    </row>
    <row r="33" spans="1:30" x14ac:dyDescent="0.2">
      <c r="B33" s="255" t="s">
        <v>150</v>
      </c>
      <c r="C33" s="46"/>
      <c r="D33" s="633" t="s">
        <v>385</v>
      </c>
      <c r="E33" s="730">
        <f t="shared" si="0"/>
        <v>0.9</v>
      </c>
      <c r="F33" s="746">
        <f>F32</f>
        <v>0</v>
      </c>
      <c r="G33" s="725">
        <f t="shared" si="5"/>
        <v>3</v>
      </c>
      <c r="I33" s="633" t="s">
        <v>385</v>
      </c>
      <c r="J33" s="640">
        <v>1</v>
      </c>
      <c r="K33" s="730">
        <f>S33</f>
        <v>0.9</v>
      </c>
      <c r="L33" s="746">
        <f t="shared" si="19"/>
        <v>0</v>
      </c>
      <c r="M33" s="725">
        <f t="shared" si="17"/>
        <v>15.000000000000002</v>
      </c>
      <c r="O33" s="623">
        <f t="shared" si="3"/>
        <v>2.6499999999999968</v>
      </c>
      <c r="P33" s="601" t="e">
        <f t="shared" si="20"/>
        <v>#DIV/0!</v>
      </c>
      <c r="Q33" s="601"/>
      <c r="R33" s="169" t="s">
        <v>150</v>
      </c>
      <c r="S33" s="170">
        <v>0.9</v>
      </c>
      <c r="T33" s="232"/>
      <c r="U33" s="225">
        <v>17.649999999999999</v>
      </c>
      <c r="V33" s="592"/>
    </row>
    <row r="34" spans="1:30" x14ac:dyDescent="0.2">
      <c r="B34" s="255" t="s">
        <v>151</v>
      </c>
      <c r="C34" s="46"/>
      <c r="D34" s="633" t="s">
        <v>385</v>
      </c>
      <c r="E34" s="730">
        <f t="shared" si="0"/>
        <v>0.9</v>
      </c>
      <c r="F34" s="746">
        <f>F33</f>
        <v>0</v>
      </c>
      <c r="G34" s="725">
        <f t="shared" si="5"/>
        <v>3</v>
      </c>
      <c r="I34" s="633" t="s">
        <v>385</v>
      </c>
      <c r="J34" s="640">
        <v>1</v>
      </c>
      <c r="K34" s="730">
        <f>S34</f>
        <v>0.9</v>
      </c>
      <c r="L34" s="746">
        <f t="shared" si="19"/>
        <v>0</v>
      </c>
      <c r="M34" s="725">
        <f t="shared" si="17"/>
        <v>15.000000000000002</v>
      </c>
      <c r="O34" s="623">
        <f t="shared" si="3"/>
        <v>2.6499999999999968</v>
      </c>
      <c r="P34" s="601" t="e">
        <f t="shared" si="20"/>
        <v>#DIV/0!</v>
      </c>
      <c r="Q34" s="601"/>
      <c r="R34" s="169" t="s">
        <v>151</v>
      </c>
      <c r="S34" s="170">
        <v>0.9</v>
      </c>
      <c r="T34" s="232"/>
      <c r="U34" s="225">
        <v>17.649999999999999</v>
      </c>
      <c r="V34" s="592"/>
    </row>
    <row r="35" spans="1:30" ht="13.5" thickBot="1" x14ac:dyDescent="0.25">
      <c r="B35" s="255" t="s">
        <v>159</v>
      </c>
      <c r="C35" s="46"/>
      <c r="D35" s="612" t="s">
        <v>385</v>
      </c>
      <c r="E35" s="625">
        <f t="shared" si="0"/>
        <v>0.7</v>
      </c>
      <c r="F35" s="748">
        <f>F34</f>
        <v>0</v>
      </c>
      <c r="G35" s="727">
        <f t="shared" si="5"/>
        <v>2.3333333333333335</v>
      </c>
      <c r="I35" s="612" t="s">
        <v>385</v>
      </c>
      <c r="J35" s="734">
        <v>1</v>
      </c>
      <c r="K35" s="625">
        <f>S35</f>
        <v>0.7</v>
      </c>
      <c r="L35" s="748">
        <f t="shared" si="19"/>
        <v>0</v>
      </c>
      <c r="M35" s="727">
        <f t="shared" si="17"/>
        <v>11.666666666666666</v>
      </c>
      <c r="O35" s="623">
        <f t="shared" si="3"/>
        <v>2.0633333333333344</v>
      </c>
      <c r="P35" s="601" t="e">
        <f t="shared" si="20"/>
        <v>#DIV/0!</v>
      </c>
      <c r="Q35" s="601"/>
      <c r="R35" s="172" t="s">
        <v>159</v>
      </c>
      <c r="S35" s="173">
        <v>0.7</v>
      </c>
      <c r="T35" s="234"/>
      <c r="U35" s="226">
        <v>13.73</v>
      </c>
      <c r="V35" s="592"/>
      <c r="AA35" s="590"/>
      <c r="AB35" s="590"/>
      <c r="AC35" s="590"/>
      <c r="AD35" s="590"/>
    </row>
    <row r="37" spans="1:30" x14ac:dyDescent="0.2">
      <c r="AA37" s="601">
        <f>SUM(AA10:AA35)</f>
        <v>99</v>
      </c>
      <c r="AB37" s="601">
        <f>SUM(AB10:AB35)</f>
        <v>495.00000000000011</v>
      </c>
      <c r="AC37" s="601">
        <f t="shared" ref="AC37:AD37" si="21">SUM(AC10:AC35)</f>
        <v>2500</v>
      </c>
      <c r="AD37" s="601">
        <f t="shared" si="21"/>
        <v>2500</v>
      </c>
    </row>
    <row r="39" spans="1:30" x14ac:dyDescent="0.2">
      <c r="A39" t="s">
        <v>510</v>
      </c>
      <c r="Y39" t="s">
        <v>558</v>
      </c>
      <c r="AA39" s="616">
        <v>2500</v>
      </c>
      <c r="AB39" s="616">
        <v>2500</v>
      </c>
    </row>
    <row r="42" spans="1:30" x14ac:dyDescent="0.2">
      <c r="Y42" t="s">
        <v>413</v>
      </c>
      <c r="AA42" s="601">
        <f>AA39/AA37</f>
        <v>25.252525252525253</v>
      </c>
      <c r="AB42" s="601">
        <f>AB39/AB37</f>
        <v>5.0505050505050493</v>
      </c>
    </row>
  </sheetData>
  <mergeCells count="3">
    <mergeCell ref="R7:U7"/>
    <mergeCell ref="I7:M7"/>
    <mergeCell ref="D7:G7"/>
  </mergeCells>
  <pageMargins left="0.7" right="0.7" top="0.75" bottom="0.75" header="0.3" footer="0.3"/>
  <pageSetup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42"/>
  <sheetViews>
    <sheetView workbookViewId="0">
      <selection activeCell="E18" sqref="E18"/>
    </sheetView>
  </sheetViews>
  <sheetFormatPr defaultRowHeight="12.75" x14ac:dyDescent="0.2"/>
  <cols>
    <col min="1" max="1" width="6.140625" customWidth="1"/>
    <col min="2" max="2" width="12.140625" bestFit="1" customWidth="1"/>
    <col min="3" max="3" width="4.28515625" customWidth="1"/>
    <col min="4" max="4" width="11.140625" bestFit="1" customWidth="1"/>
    <col min="5" max="5" width="11.140625" customWidth="1"/>
    <col min="7" max="7" width="6.140625" style="615" customWidth="1"/>
    <col min="8" max="8" width="11.28515625" bestFit="1" customWidth="1"/>
    <col min="10" max="10" width="9.85546875" customWidth="1"/>
    <col min="11" max="11" width="10.7109375" customWidth="1"/>
    <col min="13" max="13" width="6.85546875" bestFit="1" customWidth="1"/>
    <col min="14" max="14" width="13.5703125" hidden="1" customWidth="1"/>
    <col min="15" max="15" width="0" hidden="1" customWidth="1"/>
    <col min="16" max="16" width="8.85546875" hidden="1" customWidth="1"/>
    <col min="17" max="17" width="14.5703125" hidden="1" customWidth="1"/>
    <col min="18" max="20" width="8.85546875" hidden="1" customWidth="1"/>
    <col min="26" max="29" width="9.42578125" bestFit="1" customWidth="1"/>
  </cols>
  <sheetData>
    <row r="1" spans="1:29" x14ac:dyDescent="0.2">
      <c r="A1" t="s">
        <v>562</v>
      </c>
      <c r="K1" s="975" t="str">
        <f>'1. Storm Drainage Fee Calc Sum'!$J$1</f>
        <v>Internal</v>
      </c>
      <c r="L1" s="976"/>
    </row>
    <row r="2" spans="1:29" x14ac:dyDescent="0.2">
      <c r="A2" t="s">
        <v>406</v>
      </c>
      <c r="K2" s="977" t="str">
        <f>'1. Storm Drainage Fee Calc Sum'!$J$2</f>
        <v>Working Draft - v9</v>
      </c>
      <c r="L2" s="978"/>
    </row>
    <row r="3" spans="1:29" x14ac:dyDescent="0.2">
      <c r="A3" t="s">
        <v>408</v>
      </c>
      <c r="K3" s="979">
        <f>'1. Storm Drainage Fee Calc Sum'!$J$3</f>
        <v>41289</v>
      </c>
      <c r="L3" s="980"/>
    </row>
    <row r="4" spans="1:29" x14ac:dyDescent="0.2">
      <c r="A4" t="s">
        <v>430</v>
      </c>
    </row>
    <row r="6" spans="1:29" ht="13.5" thickBot="1" x14ac:dyDescent="0.25">
      <c r="I6" s="601">
        <f>IF(E21&gt;0,(D21/D11)*I11*(1/E21),(D21/D11)*I11)</f>
        <v>17.647058823529413</v>
      </c>
      <c r="N6" t="s">
        <v>422</v>
      </c>
    </row>
    <row r="7" spans="1:29" ht="13.5" thickBot="1" x14ac:dyDescent="0.25">
      <c r="C7" s="46"/>
      <c r="D7" s="46"/>
      <c r="E7" s="46"/>
      <c r="N7" t="s">
        <v>423</v>
      </c>
      <c r="Q7" s="926" t="s">
        <v>225</v>
      </c>
      <c r="R7" s="927"/>
      <c r="S7" s="927"/>
      <c r="T7" s="928"/>
      <c r="V7" t="s">
        <v>561</v>
      </c>
    </row>
    <row r="8" spans="1:29" ht="45" customHeight="1" x14ac:dyDescent="0.2">
      <c r="B8" s="719" t="s">
        <v>129</v>
      </c>
      <c r="C8" s="46"/>
      <c r="D8" s="723" t="s">
        <v>389</v>
      </c>
      <c r="E8" s="728" t="s">
        <v>432</v>
      </c>
      <c r="F8" s="626" t="s">
        <v>383</v>
      </c>
      <c r="G8" s="720"/>
      <c r="H8" s="629" t="s">
        <v>384</v>
      </c>
      <c r="I8" s="728" t="s">
        <v>538</v>
      </c>
      <c r="J8" s="729" t="s">
        <v>386</v>
      </c>
      <c r="K8" s="728" t="s">
        <v>432</v>
      </c>
      <c r="L8" s="626" t="s">
        <v>387</v>
      </c>
      <c r="M8" s="743"/>
      <c r="N8" s="622" t="s">
        <v>388</v>
      </c>
      <c r="Q8" s="221" t="s">
        <v>129</v>
      </c>
      <c r="R8" s="222" t="s">
        <v>130</v>
      </c>
      <c r="S8" s="223" t="s">
        <v>131</v>
      </c>
      <c r="T8" s="224" t="s">
        <v>165</v>
      </c>
      <c r="V8" s="808" t="s">
        <v>551</v>
      </c>
      <c r="W8" s="808" t="s">
        <v>554</v>
      </c>
      <c r="X8" s="808" t="s">
        <v>555</v>
      </c>
      <c r="Y8" s="808" t="s">
        <v>556</v>
      </c>
      <c r="Z8" s="808" t="s">
        <v>552</v>
      </c>
      <c r="AA8" s="808" t="s">
        <v>553</v>
      </c>
      <c r="AB8" s="808" t="s">
        <v>557</v>
      </c>
      <c r="AC8" s="808" t="s">
        <v>560</v>
      </c>
    </row>
    <row r="9" spans="1:29" x14ac:dyDescent="0.2">
      <c r="B9" s="721"/>
      <c r="C9" s="46"/>
      <c r="D9" s="800"/>
      <c r="E9" s="741"/>
      <c r="F9" s="802"/>
      <c r="G9" s="720"/>
      <c r="H9" s="633"/>
      <c r="I9" s="741"/>
      <c r="J9" s="740"/>
      <c r="K9" s="741"/>
      <c r="L9" s="802"/>
      <c r="M9" s="743"/>
      <c r="N9" s="801"/>
      <c r="Q9" s="221"/>
      <c r="R9" s="222"/>
      <c r="S9" s="223"/>
      <c r="T9" s="224"/>
    </row>
    <row r="10" spans="1:29" x14ac:dyDescent="0.2">
      <c r="B10" s="255" t="s">
        <v>133</v>
      </c>
      <c r="C10" s="46"/>
      <c r="D10" s="724">
        <f t="shared" ref="D10:D35" si="0">R10</f>
        <v>0.3</v>
      </c>
      <c r="E10" s="730"/>
      <c r="F10" s="725">
        <f t="shared" ref="F10:F13" si="1">IF(E10&gt;0,(D10/$D$11)/E10,D10/$D$11)</f>
        <v>1</v>
      </c>
      <c r="H10" s="633" t="s">
        <v>241</v>
      </c>
      <c r="I10" s="640">
        <f>S10</f>
        <v>2</v>
      </c>
      <c r="J10" s="730">
        <f>R10/I10</f>
        <v>0.15</v>
      </c>
      <c r="K10" s="730"/>
      <c r="L10" s="731">
        <f t="shared" ref="L10:L13" si="2">IF(K10&gt;0,(J10/$J$11)/K10,(J10/$J$11))</f>
        <v>2.5</v>
      </c>
      <c r="N10" s="623">
        <f t="shared" ref="N10:N35" si="3">T10-L10</f>
        <v>0</v>
      </c>
      <c r="O10" s="601">
        <f>(J10*I10)/($J$11*$I$11)</f>
        <v>1</v>
      </c>
      <c r="P10" s="601"/>
      <c r="Q10" s="169" t="s">
        <v>133</v>
      </c>
      <c r="R10" s="170">
        <v>0.3</v>
      </c>
      <c r="S10" s="220">
        <v>2</v>
      </c>
      <c r="T10" s="225">
        <v>2.5</v>
      </c>
      <c r="U10" s="592"/>
      <c r="V10" s="809">
        <v>2</v>
      </c>
      <c r="W10" s="601">
        <f>I10</f>
        <v>2</v>
      </c>
      <c r="X10" s="601">
        <f>W10*V10</f>
        <v>4</v>
      </c>
      <c r="Y10" s="601"/>
      <c r="Z10" s="601">
        <f>V10*F10</f>
        <v>2</v>
      </c>
      <c r="AA10" s="810">
        <f>X10*L10</f>
        <v>10</v>
      </c>
      <c r="AB10" s="591">
        <f>$Z$42*Z10</f>
        <v>50.505050505050512</v>
      </c>
      <c r="AC10" s="601">
        <f>$AA$42*AA10</f>
        <v>50.505050505050505</v>
      </c>
    </row>
    <row r="11" spans="1:29" x14ac:dyDescent="0.2">
      <c r="B11" s="735" t="s">
        <v>135</v>
      </c>
      <c r="C11" s="46"/>
      <c r="D11" s="736">
        <f t="shared" si="0"/>
        <v>0.3</v>
      </c>
      <c r="E11" s="739"/>
      <c r="F11" s="726">
        <f t="shared" si="1"/>
        <v>1</v>
      </c>
      <c r="H11" s="807" t="s">
        <v>241</v>
      </c>
      <c r="I11" s="738">
        <f>S11</f>
        <v>5</v>
      </c>
      <c r="J11" s="739">
        <f>R11/I11</f>
        <v>0.06</v>
      </c>
      <c r="K11" s="739"/>
      <c r="L11" s="726">
        <f t="shared" si="2"/>
        <v>1</v>
      </c>
      <c r="N11" s="623">
        <f t="shared" si="3"/>
        <v>0</v>
      </c>
      <c r="O11" s="601">
        <f t="shared" ref="O11:O13" si="4">(J11*I11)/($J$11*$I$11)</f>
        <v>1</v>
      </c>
      <c r="P11" s="601"/>
      <c r="Q11" s="618" t="s">
        <v>135</v>
      </c>
      <c r="R11" s="619">
        <v>0.3</v>
      </c>
      <c r="S11" s="620">
        <v>5</v>
      </c>
      <c r="T11" s="621">
        <v>1</v>
      </c>
      <c r="U11" s="592"/>
      <c r="V11" s="722">
        <v>7</v>
      </c>
      <c r="W11" s="601">
        <f>I11</f>
        <v>5</v>
      </c>
      <c r="X11" s="601">
        <f>W11*V11</f>
        <v>35</v>
      </c>
      <c r="Y11" s="601"/>
      <c r="Z11" s="601">
        <f>V11*F11</f>
        <v>7</v>
      </c>
      <c r="AA11" s="810">
        <f>X11*L11</f>
        <v>35</v>
      </c>
      <c r="AB11" s="591">
        <f>$Z$42*Z11</f>
        <v>176.76767676767679</v>
      </c>
      <c r="AC11" s="601">
        <f>$AA$42*AA11</f>
        <v>176.76767676767676</v>
      </c>
    </row>
    <row r="12" spans="1:29" x14ac:dyDescent="0.2">
      <c r="B12" s="255" t="s">
        <v>137</v>
      </c>
      <c r="C12" s="46"/>
      <c r="D12" s="724">
        <f t="shared" si="0"/>
        <v>0.5</v>
      </c>
      <c r="E12" s="730"/>
      <c r="F12" s="725">
        <f t="shared" si="1"/>
        <v>1.6666666666666667</v>
      </c>
      <c r="H12" s="633" t="s">
        <v>241</v>
      </c>
      <c r="I12" s="640">
        <f>S12</f>
        <v>9</v>
      </c>
      <c r="J12" s="730">
        <f>R12/I12</f>
        <v>5.5555555555555552E-2</v>
      </c>
      <c r="K12" s="730"/>
      <c r="L12" s="725">
        <f t="shared" si="2"/>
        <v>0.92592592592592593</v>
      </c>
      <c r="N12" s="623">
        <f t="shared" si="3"/>
        <v>4.0740740740741188E-3</v>
      </c>
      <c r="O12" s="601">
        <f t="shared" si="4"/>
        <v>1.6666666666666667</v>
      </c>
      <c r="P12" s="601"/>
      <c r="Q12" s="169" t="s">
        <v>137</v>
      </c>
      <c r="R12" s="170">
        <v>0.5</v>
      </c>
      <c r="S12" s="604">
        <v>9</v>
      </c>
      <c r="T12" s="225">
        <v>0.93</v>
      </c>
      <c r="U12" s="592"/>
    </row>
    <row r="13" spans="1:29" x14ac:dyDescent="0.2">
      <c r="B13" s="255" t="s">
        <v>139</v>
      </c>
      <c r="C13" s="46"/>
      <c r="D13" s="724">
        <f t="shared" si="0"/>
        <v>0.65</v>
      </c>
      <c r="E13" s="730"/>
      <c r="F13" s="725">
        <f t="shared" si="1"/>
        <v>2.166666666666667</v>
      </c>
      <c r="H13" s="633" t="s">
        <v>241</v>
      </c>
      <c r="I13" s="640">
        <f>S13</f>
        <v>17</v>
      </c>
      <c r="J13" s="730">
        <f>R13/I13</f>
        <v>3.8235294117647062E-2</v>
      </c>
      <c r="K13" s="730"/>
      <c r="L13" s="725">
        <f t="shared" si="2"/>
        <v>0.63725490196078438</v>
      </c>
      <c r="N13" s="623">
        <f t="shared" si="3"/>
        <v>2.7450980392156321E-3</v>
      </c>
      <c r="O13" s="601">
        <f t="shared" si="4"/>
        <v>2.166666666666667</v>
      </c>
      <c r="P13" s="601"/>
      <c r="Q13" s="169" t="s">
        <v>139</v>
      </c>
      <c r="R13" s="170">
        <v>0.65</v>
      </c>
      <c r="S13" s="220">
        <v>17</v>
      </c>
      <c r="T13" s="225">
        <v>0.64</v>
      </c>
      <c r="U13" s="592"/>
    </row>
    <row r="14" spans="1:29" x14ac:dyDescent="0.2">
      <c r="B14" s="255" t="s">
        <v>140</v>
      </c>
      <c r="C14" s="46"/>
      <c r="D14" s="724">
        <f t="shared" si="0"/>
        <v>0.1</v>
      </c>
      <c r="E14" s="730"/>
      <c r="F14" s="726">
        <v>0</v>
      </c>
      <c r="H14" s="633" t="s">
        <v>385</v>
      </c>
      <c r="I14" s="640">
        <v>1</v>
      </c>
      <c r="J14" s="730">
        <f>R14</f>
        <v>0.1</v>
      </c>
      <c r="K14" s="730"/>
      <c r="L14" s="726">
        <v>0</v>
      </c>
      <c r="N14" s="623">
        <f t="shared" si="3"/>
        <v>0</v>
      </c>
      <c r="O14" s="601">
        <f>(J14*I14)/($J$11*$I$11)</f>
        <v>0.33333333333333337</v>
      </c>
      <c r="P14" s="601"/>
      <c r="Q14" s="169" t="s">
        <v>140</v>
      </c>
      <c r="R14" s="170">
        <v>0.1</v>
      </c>
      <c r="S14" s="231"/>
      <c r="T14" s="617">
        <v>0</v>
      </c>
      <c r="U14" s="592"/>
    </row>
    <row r="15" spans="1:29" x14ac:dyDescent="0.2">
      <c r="B15" s="255" t="s">
        <v>134</v>
      </c>
      <c r="C15" s="46"/>
      <c r="D15" s="724">
        <f t="shared" si="0"/>
        <v>0.1</v>
      </c>
      <c r="E15" s="730"/>
      <c r="F15" s="726">
        <v>0</v>
      </c>
      <c r="H15" s="633" t="s">
        <v>385</v>
      </c>
      <c r="I15" s="640">
        <v>1</v>
      </c>
      <c r="J15" s="730">
        <f>R15</f>
        <v>0.1</v>
      </c>
      <c r="K15" s="730"/>
      <c r="L15" s="726">
        <v>0</v>
      </c>
      <c r="N15" s="623">
        <f t="shared" si="3"/>
        <v>0</v>
      </c>
      <c r="O15" s="601">
        <f>(J15*I15)/($J$11*$I$11)</f>
        <v>0.33333333333333337</v>
      </c>
      <c r="P15" s="601"/>
      <c r="Q15" s="169" t="s">
        <v>134</v>
      </c>
      <c r="R15" s="170">
        <v>0.1</v>
      </c>
      <c r="S15" s="232"/>
      <c r="T15" s="617">
        <v>0</v>
      </c>
      <c r="U15" s="592"/>
    </row>
    <row r="16" spans="1:29" x14ac:dyDescent="0.2">
      <c r="B16" s="722" t="s">
        <v>136</v>
      </c>
      <c r="C16" s="46"/>
      <c r="D16" s="724">
        <f t="shared" si="0"/>
        <v>0.1</v>
      </c>
      <c r="E16" s="732">
        <v>0</v>
      </c>
      <c r="F16" s="742">
        <f>IF(E16&gt;0,(D16/$D$11)/E16,D16/$D$11)</f>
        <v>0.33333333333333337</v>
      </c>
      <c r="H16" s="633" t="s">
        <v>385</v>
      </c>
      <c r="I16" s="640">
        <v>1</v>
      </c>
      <c r="J16" s="732">
        <f>R16</f>
        <v>0.1</v>
      </c>
      <c r="K16" s="732"/>
      <c r="L16" s="733">
        <f>IF(K16&gt;0,(J16/$J$11)/K16,(J16/$J$11))</f>
        <v>1.6666666666666667</v>
      </c>
      <c r="N16" s="672">
        <f t="shared" si="3"/>
        <v>-0.66666666666666674</v>
      </c>
      <c r="O16" s="601">
        <f>(J16*K16)/($J$11*$I$11)</f>
        <v>0</v>
      </c>
      <c r="P16" s="601"/>
      <c r="Q16" s="671" t="s">
        <v>136</v>
      </c>
      <c r="R16" s="170">
        <v>0.1</v>
      </c>
      <c r="S16" s="233"/>
      <c r="T16" s="225">
        <v>1</v>
      </c>
      <c r="U16" s="592"/>
    </row>
    <row r="17" spans="2:29" x14ac:dyDescent="0.2">
      <c r="B17" s="255" t="s">
        <v>229</v>
      </c>
      <c r="C17" s="46"/>
      <c r="D17" s="724">
        <f t="shared" si="0"/>
        <v>0.3</v>
      </c>
      <c r="E17" s="730"/>
      <c r="F17" s="725">
        <f t="shared" ref="F17:F35" si="5">IF(E17&gt;0,(D17/$D$11)/E17,D17/$D$11)</f>
        <v>1</v>
      </c>
      <c r="H17" s="633" t="s">
        <v>241</v>
      </c>
      <c r="I17" s="640">
        <f>S17</f>
        <v>5</v>
      </c>
      <c r="J17" s="730">
        <f>R17/I17</f>
        <v>0.06</v>
      </c>
      <c r="K17" s="730"/>
      <c r="L17" s="725">
        <f t="shared" ref="L17:L28" si="6">IF(K17&gt;0,(J17/$J$11)/K17,(J17/$J$11))</f>
        <v>1</v>
      </c>
      <c r="N17" s="623">
        <f t="shared" si="3"/>
        <v>0</v>
      </c>
      <c r="O17" s="601">
        <f t="shared" ref="O17" si="7">(J17*I17)/($J$11*$I$11)</f>
        <v>1</v>
      </c>
      <c r="P17" s="601"/>
      <c r="Q17" s="169" t="s">
        <v>229</v>
      </c>
      <c r="R17" s="170">
        <v>0.3</v>
      </c>
      <c r="S17" s="220">
        <v>5</v>
      </c>
      <c r="T17" s="225">
        <v>1</v>
      </c>
      <c r="U17" s="592"/>
    </row>
    <row r="18" spans="2:29" x14ac:dyDescent="0.2">
      <c r="B18" s="255" t="s">
        <v>144</v>
      </c>
      <c r="C18" s="46"/>
      <c r="D18" s="724">
        <f t="shared" si="0"/>
        <v>0.9</v>
      </c>
      <c r="E18" s="746">
        <v>0.85</v>
      </c>
      <c r="F18" s="725">
        <f t="shared" si="5"/>
        <v>3.5294117647058822</v>
      </c>
      <c r="H18" s="633" t="s">
        <v>385</v>
      </c>
      <c r="I18" s="640">
        <v>1</v>
      </c>
      <c r="J18" s="730">
        <f t="shared" ref="J18:J24" si="8">R18</f>
        <v>0.9</v>
      </c>
      <c r="K18" s="746">
        <f>E18</f>
        <v>0.85</v>
      </c>
      <c r="L18" s="725">
        <f t="shared" si="6"/>
        <v>17.647058823529413</v>
      </c>
      <c r="M18" s="607"/>
      <c r="N18" s="623">
        <f t="shared" si="3"/>
        <v>2.9411764705855603E-3</v>
      </c>
      <c r="O18" s="601">
        <f>(J18/K18)/($J$11*$I$11)</f>
        <v>3.5294117647058827</v>
      </c>
      <c r="P18" s="601"/>
      <c r="Q18" s="169" t="s">
        <v>144</v>
      </c>
      <c r="R18" s="170">
        <v>0.9</v>
      </c>
      <c r="S18" s="231"/>
      <c r="T18" s="225">
        <v>17.649999999999999</v>
      </c>
      <c r="U18" s="592"/>
      <c r="V18">
        <v>18</v>
      </c>
      <c r="W18" s="601">
        <f t="shared" ref="W18:W19" si="9">I18</f>
        <v>1</v>
      </c>
      <c r="X18" s="601">
        <f t="shared" ref="X18:X19" si="10">W18*V18</f>
        <v>18</v>
      </c>
      <c r="Y18" s="811">
        <f>E18</f>
        <v>0.85</v>
      </c>
      <c r="Z18" s="601">
        <f>IF(E18=0,V18*F18,V18*Y18*F18)</f>
        <v>53.999999999999993</v>
      </c>
      <c r="AA18" s="810">
        <f>IF(E18=0,X18*L18,X18*K18*L18)</f>
        <v>270</v>
      </c>
      <c r="AB18" s="591">
        <f t="shared" ref="AB18:AB19" si="11">$Z$42*Z18</f>
        <v>1363.6363636363637</v>
      </c>
      <c r="AC18" s="601">
        <f t="shared" ref="AC18:AC19" si="12">$AA$42*AA18</f>
        <v>1363.6363636363635</v>
      </c>
    </row>
    <row r="19" spans="2:29" x14ac:dyDescent="0.2">
      <c r="B19" s="255" t="s">
        <v>142</v>
      </c>
      <c r="C19" s="46"/>
      <c r="D19" s="724">
        <f t="shared" si="0"/>
        <v>0.9</v>
      </c>
      <c r="E19" s="746">
        <f t="shared" ref="E19:E24" si="13">E18</f>
        <v>0.85</v>
      </c>
      <c r="F19" s="725">
        <f t="shared" si="5"/>
        <v>3.5294117647058822</v>
      </c>
      <c r="H19" s="633" t="s">
        <v>385</v>
      </c>
      <c r="I19" s="640">
        <v>1</v>
      </c>
      <c r="J19" s="730">
        <f t="shared" si="8"/>
        <v>0.9</v>
      </c>
      <c r="K19" s="746">
        <f t="shared" ref="K19:K24" si="14">E19</f>
        <v>0.85</v>
      </c>
      <c r="L19" s="725">
        <f t="shared" si="6"/>
        <v>17.647058823529413</v>
      </c>
      <c r="M19" s="607"/>
      <c r="N19" s="623">
        <f t="shared" si="3"/>
        <v>2.9411764705855603E-3</v>
      </c>
      <c r="O19" s="601">
        <f t="shared" ref="O19:O24" si="15">(J19/K19)/($J$11*$I$11)</f>
        <v>3.5294117647058827</v>
      </c>
      <c r="P19" s="601"/>
      <c r="Q19" s="169" t="s">
        <v>142</v>
      </c>
      <c r="R19" s="170">
        <v>0.9</v>
      </c>
      <c r="S19" s="232"/>
      <c r="T19" s="225">
        <v>17.649999999999999</v>
      </c>
      <c r="U19" s="592"/>
      <c r="V19">
        <v>12</v>
      </c>
      <c r="W19" s="601">
        <f t="shared" si="9"/>
        <v>1</v>
      </c>
      <c r="X19" s="601">
        <f t="shared" si="10"/>
        <v>12</v>
      </c>
      <c r="Y19" s="811">
        <f>E19</f>
        <v>0.85</v>
      </c>
      <c r="Z19" s="601">
        <f>IF(E19=0,V19*F19,V19*Y19*F19)</f>
        <v>35.999999999999993</v>
      </c>
      <c r="AA19" s="810">
        <f>IF(E19=0,X19*L19,X19*K19*L19)</f>
        <v>180</v>
      </c>
      <c r="AB19" s="591">
        <f t="shared" si="11"/>
        <v>909.09090909090901</v>
      </c>
      <c r="AC19" s="601">
        <f t="shared" si="12"/>
        <v>909.09090909090901</v>
      </c>
    </row>
    <row r="20" spans="2:29" x14ac:dyDescent="0.2">
      <c r="B20" s="255" t="s">
        <v>143</v>
      </c>
      <c r="C20" s="46"/>
      <c r="D20" s="724">
        <f t="shared" si="0"/>
        <v>0.9</v>
      </c>
      <c r="E20" s="746">
        <f t="shared" si="13"/>
        <v>0.85</v>
      </c>
      <c r="F20" s="725">
        <f t="shared" si="5"/>
        <v>3.5294117647058822</v>
      </c>
      <c r="H20" s="633" t="s">
        <v>385</v>
      </c>
      <c r="I20" s="640">
        <v>1</v>
      </c>
      <c r="J20" s="730">
        <f t="shared" si="8"/>
        <v>0.9</v>
      </c>
      <c r="K20" s="746">
        <f t="shared" si="14"/>
        <v>0.85</v>
      </c>
      <c r="L20" s="725">
        <f t="shared" si="6"/>
        <v>17.647058823529413</v>
      </c>
      <c r="M20" s="607"/>
      <c r="N20" s="623">
        <f t="shared" si="3"/>
        <v>2.9411764705855603E-3</v>
      </c>
      <c r="O20" s="601">
        <f t="shared" si="15"/>
        <v>3.5294117647058827</v>
      </c>
      <c r="P20" s="601"/>
      <c r="Q20" s="169" t="s">
        <v>143</v>
      </c>
      <c r="R20" s="170">
        <v>0.9</v>
      </c>
      <c r="S20" s="232"/>
      <c r="T20" s="225">
        <v>17.649999999999999</v>
      </c>
      <c r="U20" s="592"/>
    </row>
    <row r="21" spans="2:29" x14ac:dyDescent="0.2">
      <c r="B21" s="255" t="s">
        <v>145</v>
      </c>
      <c r="C21" s="46"/>
      <c r="D21" s="724">
        <f t="shared" si="0"/>
        <v>0.9</v>
      </c>
      <c r="E21" s="746">
        <f t="shared" si="13"/>
        <v>0.85</v>
      </c>
      <c r="F21" s="725">
        <f t="shared" si="5"/>
        <v>3.5294117647058822</v>
      </c>
      <c r="H21" s="633" t="s">
        <v>385</v>
      </c>
      <c r="I21" s="640">
        <v>1</v>
      </c>
      <c r="J21" s="730">
        <f t="shared" si="8"/>
        <v>0.9</v>
      </c>
      <c r="K21" s="746">
        <f t="shared" si="14"/>
        <v>0.85</v>
      </c>
      <c r="L21" s="725">
        <f t="shared" si="6"/>
        <v>17.647058823529413</v>
      </c>
      <c r="M21" s="607"/>
      <c r="N21" s="623">
        <f t="shared" si="3"/>
        <v>2.9411764705855603E-3</v>
      </c>
      <c r="O21" s="601">
        <f t="shared" si="15"/>
        <v>3.5294117647058827</v>
      </c>
      <c r="P21" s="601"/>
      <c r="Q21" s="169" t="s">
        <v>145</v>
      </c>
      <c r="R21" s="170">
        <v>0.9</v>
      </c>
      <c r="S21" s="232"/>
      <c r="T21" s="225">
        <v>17.649999999999999</v>
      </c>
      <c r="U21" s="592"/>
    </row>
    <row r="22" spans="2:29" x14ac:dyDescent="0.2">
      <c r="B22" s="255" t="s">
        <v>146</v>
      </c>
      <c r="C22" s="46"/>
      <c r="D22" s="724">
        <f t="shared" si="0"/>
        <v>0.7</v>
      </c>
      <c r="E22" s="746">
        <f t="shared" si="13"/>
        <v>0.85</v>
      </c>
      <c r="F22" s="725">
        <f t="shared" si="5"/>
        <v>2.7450980392156867</v>
      </c>
      <c r="H22" s="633" t="s">
        <v>385</v>
      </c>
      <c r="I22" s="640">
        <v>1</v>
      </c>
      <c r="J22" s="730">
        <f t="shared" si="8"/>
        <v>0.7</v>
      </c>
      <c r="K22" s="746">
        <f t="shared" si="14"/>
        <v>0.85</v>
      </c>
      <c r="L22" s="725">
        <f t="shared" si="6"/>
        <v>13.725490196078431</v>
      </c>
      <c r="M22" s="607"/>
      <c r="N22" s="623">
        <f t="shared" si="3"/>
        <v>4.5098039215698549E-3</v>
      </c>
      <c r="O22" s="601">
        <f t="shared" si="15"/>
        <v>2.7450980392156863</v>
      </c>
      <c r="P22" s="601"/>
      <c r="Q22" s="169" t="s">
        <v>146</v>
      </c>
      <c r="R22" s="170">
        <v>0.7</v>
      </c>
      <c r="S22" s="232"/>
      <c r="T22" s="225">
        <v>13.73</v>
      </c>
      <c r="U22" s="592"/>
    </row>
    <row r="23" spans="2:29" x14ac:dyDescent="0.2">
      <c r="B23" s="255" t="s">
        <v>148</v>
      </c>
      <c r="C23" s="46"/>
      <c r="D23" s="724">
        <f t="shared" si="0"/>
        <v>0.7</v>
      </c>
      <c r="E23" s="746">
        <f t="shared" si="13"/>
        <v>0.85</v>
      </c>
      <c r="F23" s="725">
        <f t="shared" si="5"/>
        <v>2.7450980392156867</v>
      </c>
      <c r="H23" s="633" t="s">
        <v>385</v>
      </c>
      <c r="I23" s="640">
        <v>1</v>
      </c>
      <c r="J23" s="730">
        <f t="shared" si="8"/>
        <v>0.7</v>
      </c>
      <c r="K23" s="746">
        <f t="shared" si="14"/>
        <v>0.85</v>
      </c>
      <c r="L23" s="725">
        <f t="shared" si="6"/>
        <v>13.725490196078431</v>
      </c>
      <c r="M23" s="607"/>
      <c r="N23" s="623">
        <f t="shared" si="3"/>
        <v>4.5098039215698549E-3</v>
      </c>
      <c r="O23" s="601">
        <f t="shared" si="15"/>
        <v>2.7450980392156863</v>
      </c>
      <c r="P23" s="601"/>
      <c r="Q23" s="169" t="s">
        <v>148</v>
      </c>
      <c r="R23" s="170">
        <v>0.7</v>
      </c>
      <c r="S23" s="232"/>
      <c r="T23" s="225">
        <v>13.73</v>
      </c>
      <c r="U23" s="592"/>
    </row>
    <row r="24" spans="2:29" x14ac:dyDescent="0.2">
      <c r="B24" s="255" t="s">
        <v>149</v>
      </c>
      <c r="C24" s="46"/>
      <c r="D24" s="724">
        <f t="shared" si="0"/>
        <v>0.7</v>
      </c>
      <c r="E24" s="746">
        <f t="shared" si="13"/>
        <v>0.85</v>
      </c>
      <c r="F24" s="725">
        <f t="shared" si="5"/>
        <v>2.7450980392156867</v>
      </c>
      <c r="H24" s="633" t="s">
        <v>385</v>
      </c>
      <c r="I24" s="640">
        <v>1</v>
      </c>
      <c r="J24" s="730">
        <f t="shared" si="8"/>
        <v>0.7</v>
      </c>
      <c r="K24" s="746">
        <f t="shared" si="14"/>
        <v>0.85</v>
      </c>
      <c r="L24" s="725">
        <f t="shared" si="6"/>
        <v>13.725490196078431</v>
      </c>
      <c r="M24" s="607"/>
      <c r="N24" s="623">
        <f t="shared" si="3"/>
        <v>4.5098039215698549E-3</v>
      </c>
      <c r="O24" s="601">
        <f t="shared" si="15"/>
        <v>2.7450980392156863</v>
      </c>
      <c r="P24" s="601"/>
      <c r="Q24" s="169" t="s">
        <v>149</v>
      </c>
      <c r="R24" s="170">
        <v>0.7</v>
      </c>
      <c r="S24" s="233"/>
      <c r="T24" s="225">
        <v>13.73</v>
      </c>
      <c r="U24" s="592"/>
    </row>
    <row r="25" spans="2:29" x14ac:dyDescent="0.2">
      <c r="B25" s="255" t="s">
        <v>147</v>
      </c>
      <c r="C25" s="46"/>
      <c r="D25" s="724">
        <f t="shared" si="0"/>
        <v>0.3</v>
      </c>
      <c r="E25" s="746"/>
      <c r="F25" s="725">
        <f t="shared" si="5"/>
        <v>1</v>
      </c>
      <c r="H25" s="633" t="s">
        <v>241</v>
      </c>
      <c r="I25" s="640">
        <f>S25</f>
        <v>5</v>
      </c>
      <c r="J25" s="730">
        <f>R25/I25</f>
        <v>0.06</v>
      </c>
      <c r="K25" s="746"/>
      <c r="L25" s="725">
        <f t="shared" si="6"/>
        <v>1</v>
      </c>
      <c r="N25" s="623">
        <f t="shared" si="3"/>
        <v>0</v>
      </c>
      <c r="O25" s="601">
        <f t="shared" ref="O25:O28" si="16">(J25*I25)/($J$11*$I$11)</f>
        <v>1</v>
      </c>
      <c r="P25" s="601"/>
      <c r="Q25" s="169" t="s">
        <v>147</v>
      </c>
      <c r="R25" s="170">
        <v>0.3</v>
      </c>
      <c r="S25" s="220">
        <v>5</v>
      </c>
      <c r="T25" s="225">
        <v>1</v>
      </c>
      <c r="U25" s="592"/>
    </row>
    <row r="26" spans="2:29" x14ac:dyDescent="0.2">
      <c r="B26" s="255" t="s">
        <v>152</v>
      </c>
      <c r="C26" s="46"/>
      <c r="D26" s="724">
        <f t="shared" si="0"/>
        <v>0.3</v>
      </c>
      <c r="E26" s="746"/>
      <c r="F26" s="725">
        <f t="shared" si="5"/>
        <v>1</v>
      </c>
      <c r="H26" s="633" t="s">
        <v>241</v>
      </c>
      <c r="I26" s="640">
        <f>S26</f>
        <v>2</v>
      </c>
      <c r="J26" s="730">
        <f>R26/I26</f>
        <v>0.15</v>
      </c>
      <c r="K26" s="746"/>
      <c r="L26" s="725">
        <f t="shared" si="6"/>
        <v>2.5</v>
      </c>
      <c r="N26" s="623">
        <f t="shared" si="3"/>
        <v>0</v>
      </c>
      <c r="O26" s="601">
        <f t="shared" si="16"/>
        <v>1</v>
      </c>
      <c r="P26" s="601"/>
      <c r="Q26" s="169" t="s">
        <v>152</v>
      </c>
      <c r="R26" s="170">
        <v>0.3</v>
      </c>
      <c r="S26" s="220">
        <v>2</v>
      </c>
      <c r="T26" s="225">
        <v>2.5</v>
      </c>
      <c r="U26" s="592"/>
    </row>
    <row r="27" spans="2:29" x14ac:dyDescent="0.2">
      <c r="B27" s="255" t="s">
        <v>153</v>
      </c>
      <c r="C27" s="46"/>
      <c r="D27" s="724">
        <f t="shared" si="0"/>
        <v>0.3</v>
      </c>
      <c r="E27" s="746"/>
      <c r="F27" s="725">
        <f t="shared" si="5"/>
        <v>1</v>
      </c>
      <c r="H27" s="633" t="s">
        <v>241</v>
      </c>
      <c r="I27" s="640">
        <f>S27</f>
        <v>5</v>
      </c>
      <c r="J27" s="730">
        <f>R27/I27</f>
        <v>0.06</v>
      </c>
      <c r="K27" s="746"/>
      <c r="L27" s="725">
        <f t="shared" si="6"/>
        <v>1</v>
      </c>
      <c r="N27" s="623">
        <f t="shared" si="3"/>
        <v>0</v>
      </c>
      <c r="O27" s="601">
        <f t="shared" si="16"/>
        <v>1</v>
      </c>
      <c r="P27" s="601"/>
      <c r="Q27" s="169" t="s">
        <v>153</v>
      </c>
      <c r="R27" s="170">
        <v>0.3</v>
      </c>
      <c r="S27" s="220">
        <v>5</v>
      </c>
      <c r="T27" s="225">
        <v>1</v>
      </c>
      <c r="U27" s="592"/>
    </row>
    <row r="28" spans="2:29" x14ac:dyDescent="0.2">
      <c r="B28" s="255" t="s">
        <v>154</v>
      </c>
      <c r="C28" s="46"/>
      <c r="D28" s="724">
        <f t="shared" si="0"/>
        <v>0.5</v>
      </c>
      <c r="E28" s="746"/>
      <c r="F28" s="725">
        <f t="shared" si="5"/>
        <v>1.6666666666666667</v>
      </c>
      <c r="H28" s="633" t="s">
        <v>241</v>
      </c>
      <c r="I28" s="640">
        <f>S28</f>
        <v>9</v>
      </c>
      <c r="J28" s="730">
        <f>R28/I28</f>
        <v>5.5555555555555552E-2</v>
      </c>
      <c r="K28" s="746"/>
      <c r="L28" s="725">
        <f t="shared" si="6"/>
        <v>0.92592592592592593</v>
      </c>
      <c r="N28" s="623">
        <f t="shared" si="3"/>
        <v>4.0740740740741188E-3</v>
      </c>
      <c r="O28" s="601">
        <f t="shared" si="16"/>
        <v>1.6666666666666667</v>
      </c>
      <c r="P28" s="601"/>
      <c r="Q28" s="169" t="s">
        <v>154</v>
      </c>
      <c r="R28" s="170">
        <v>0.5</v>
      </c>
      <c r="S28" s="604">
        <v>9</v>
      </c>
      <c r="T28" s="225">
        <v>0.93</v>
      </c>
      <c r="U28" s="592"/>
    </row>
    <row r="29" spans="2:29" x14ac:dyDescent="0.2">
      <c r="B29" s="255" t="s">
        <v>155</v>
      </c>
      <c r="C29" s="46"/>
      <c r="D29" s="724">
        <f t="shared" si="0"/>
        <v>0.1</v>
      </c>
      <c r="E29" s="746"/>
      <c r="F29" s="726">
        <v>0</v>
      </c>
      <c r="H29" s="633" t="s">
        <v>385</v>
      </c>
      <c r="I29" s="640">
        <v>1</v>
      </c>
      <c r="J29" s="730">
        <f>R29</f>
        <v>0.1</v>
      </c>
      <c r="K29" s="746"/>
      <c r="L29" s="726">
        <v>0</v>
      </c>
      <c r="N29" s="623">
        <f t="shared" si="3"/>
        <v>0</v>
      </c>
      <c r="P29" s="601"/>
      <c r="Q29" s="169" t="s">
        <v>155</v>
      </c>
      <c r="R29" s="170">
        <v>0.1</v>
      </c>
      <c r="S29" s="231"/>
      <c r="T29" s="617">
        <v>0</v>
      </c>
      <c r="U29" s="592"/>
    </row>
    <row r="30" spans="2:29" x14ac:dyDescent="0.2">
      <c r="B30" s="722" t="s">
        <v>156</v>
      </c>
      <c r="C30" s="46"/>
      <c r="D30" s="724">
        <f t="shared" si="0"/>
        <v>0.1</v>
      </c>
      <c r="E30" s="747"/>
      <c r="F30" s="742">
        <f t="shared" si="5"/>
        <v>0.33333333333333337</v>
      </c>
      <c r="H30" s="633" t="s">
        <v>385</v>
      </c>
      <c r="I30" s="640">
        <v>1</v>
      </c>
      <c r="J30" s="732">
        <f>R30</f>
        <v>0.1</v>
      </c>
      <c r="K30" s="747"/>
      <c r="L30" s="733">
        <f t="shared" ref="L30:L35" si="17">IF(K30&gt;0,(J30/$J$11)/K30,(J30/$J$11))</f>
        <v>1.6666666666666667</v>
      </c>
      <c r="N30" s="672">
        <f t="shared" si="3"/>
        <v>-0.66666666666666674</v>
      </c>
      <c r="P30" s="601"/>
      <c r="Q30" s="671" t="s">
        <v>156</v>
      </c>
      <c r="R30" s="170">
        <v>0.1</v>
      </c>
      <c r="S30" s="233"/>
      <c r="T30" s="225">
        <v>1</v>
      </c>
      <c r="U30" s="592"/>
    </row>
    <row r="31" spans="2:29" x14ac:dyDescent="0.2">
      <c r="B31" s="255" t="s">
        <v>230</v>
      </c>
      <c r="C31" s="46"/>
      <c r="D31" s="724">
        <f t="shared" si="0"/>
        <v>0.3</v>
      </c>
      <c r="E31" s="746"/>
      <c r="F31" s="725">
        <f t="shared" si="5"/>
        <v>1</v>
      </c>
      <c r="H31" s="633" t="s">
        <v>241</v>
      </c>
      <c r="I31" s="640">
        <f>S31</f>
        <v>5</v>
      </c>
      <c r="J31" s="730">
        <f>R31/I31</f>
        <v>0.06</v>
      </c>
      <c r="K31" s="746"/>
      <c r="L31" s="725">
        <f t="shared" si="17"/>
        <v>1</v>
      </c>
      <c r="N31" s="623">
        <f t="shared" si="3"/>
        <v>0</v>
      </c>
      <c r="O31" s="601">
        <f t="shared" ref="O31" si="18">(J31*I31)/($J$11*$I$11)</f>
        <v>1</v>
      </c>
      <c r="P31" s="601"/>
      <c r="Q31" s="169" t="s">
        <v>230</v>
      </c>
      <c r="R31" s="170">
        <v>0.3</v>
      </c>
      <c r="S31" s="220">
        <v>5</v>
      </c>
      <c r="T31" s="225">
        <v>1</v>
      </c>
      <c r="U31" s="592"/>
    </row>
    <row r="32" spans="2:29" x14ac:dyDescent="0.2">
      <c r="B32" s="255" t="s">
        <v>157</v>
      </c>
      <c r="C32" s="46"/>
      <c r="D32" s="724">
        <f t="shared" si="0"/>
        <v>0.7</v>
      </c>
      <c r="E32" s="746">
        <f>E24</f>
        <v>0.85</v>
      </c>
      <c r="F32" s="725">
        <f t="shared" si="5"/>
        <v>2.7450980392156867</v>
      </c>
      <c r="H32" s="633" t="s">
        <v>385</v>
      </c>
      <c r="I32" s="640">
        <v>1</v>
      </c>
      <c r="J32" s="730">
        <f>R32</f>
        <v>0.7</v>
      </c>
      <c r="K32" s="746">
        <f t="shared" ref="K32:K35" si="19">E32</f>
        <v>0.85</v>
      </c>
      <c r="L32" s="725">
        <f t="shared" si="17"/>
        <v>13.725490196078431</v>
      </c>
      <c r="N32" s="623">
        <f t="shared" si="3"/>
        <v>4.5098039215698549E-3</v>
      </c>
      <c r="O32" s="601">
        <f t="shared" ref="O32:O35" si="20">(J32/K32)/($J$11*$I$11)</f>
        <v>2.7450980392156863</v>
      </c>
      <c r="P32" s="601"/>
      <c r="Q32" s="169" t="s">
        <v>157</v>
      </c>
      <c r="R32" s="170">
        <v>0.7</v>
      </c>
      <c r="S32" s="231"/>
      <c r="T32" s="225">
        <v>13.73</v>
      </c>
      <c r="U32" s="592"/>
    </row>
    <row r="33" spans="1:29" x14ac:dyDescent="0.2">
      <c r="B33" s="255" t="s">
        <v>150</v>
      </c>
      <c r="C33" s="46"/>
      <c r="D33" s="724">
        <f t="shared" si="0"/>
        <v>0.9</v>
      </c>
      <c r="E33" s="746">
        <f>E32</f>
        <v>0.85</v>
      </c>
      <c r="F33" s="725">
        <f t="shared" si="5"/>
        <v>3.5294117647058822</v>
      </c>
      <c r="H33" s="633" t="s">
        <v>385</v>
      </c>
      <c r="I33" s="640">
        <v>1</v>
      </c>
      <c r="J33" s="730">
        <f>R33</f>
        <v>0.9</v>
      </c>
      <c r="K33" s="746">
        <f t="shared" si="19"/>
        <v>0.85</v>
      </c>
      <c r="L33" s="725">
        <f t="shared" si="17"/>
        <v>17.647058823529413</v>
      </c>
      <c r="N33" s="623">
        <f t="shared" si="3"/>
        <v>2.9411764705855603E-3</v>
      </c>
      <c r="O33" s="601">
        <f t="shared" si="20"/>
        <v>3.5294117647058827</v>
      </c>
      <c r="P33" s="601"/>
      <c r="Q33" s="169" t="s">
        <v>150</v>
      </c>
      <c r="R33" s="170">
        <v>0.9</v>
      </c>
      <c r="S33" s="232"/>
      <c r="T33" s="225">
        <v>17.649999999999999</v>
      </c>
      <c r="U33" s="592"/>
    </row>
    <row r="34" spans="1:29" x14ac:dyDescent="0.2">
      <c r="B34" s="255" t="s">
        <v>151</v>
      </c>
      <c r="C34" s="46"/>
      <c r="D34" s="724">
        <f t="shared" si="0"/>
        <v>0.9</v>
      </c>
      <c r="E34" s="746">
        <f>E33</f>
        <v>0.85</v>
      </c>
      <c r="F34" s="725">
        <f t="shared" si="5"/>
        <v>3.5294117647058822</v>
      </c>
      <c r="H34" s="633" t="s">
        <v>385</v>
      </c>
      <c r="I34" s="640">
        <v>1</v>
      </c>
      <c r="J34" s="730">
        <f>R34</f>
        <v>0.9</v>
      </c>
      <c r="K34" s="746">
        <f t="shared" si="19"/>
        <v>0.85</v>
      </c>
      <c r="L34" s="725">
        <f t="shared" si="17"/>
        <v>17.647058823529413</v>
      </c>
      <c r="N34" s="623">
        <f t="shared" si="3"/>
        <v>2.9411764705855603E-3</v>
      </c>
      <c r="O34" s="601">
        <f t="shared" si="20"/>
        <v>3.5294117647058827</v>
      </c>
      <c r="P34" s="601"/>
      <c r="Q34" s="169" t="s">
        <v>151</v>
      </c>
      <c r="R34" s="170">
        <v>0.9</v>
      </c>
      <c r="S34" s="232"/>
      <c r="T34" s="225">
        <v>17.649999999999999</v>
      </c>
      <c r="U34" s="592"/>
    </row>
    <row r="35" spans="1:29" ht="13.5" thickBot="1" x14ac:dyDescent="0.25">
      <c r="B35" s="255" t="s">
        <v>159</v>
      </c>
      <c r="C35" s="46"/>
      <c r="D35" s="641">
        <f t="shared" si="0"/>
        <v>0.7</v>
      </c>
      <c r="E35" s="748">
        <f>E34</f>
        <v>0.85</v>
      </c>
      <c r="F35" s="727">
        <f t="shared" si="5"/>
        <v>2.7450980392156867</v>
      </c>
      <c r="H35" s="612" t="s">
        <v>385</v>
      </c>
      <c r="I35" s="734">
        <v>1</v>
      </c>
      <c r="J35" s="625">
        <f>R35</f>
        <v>0.7</v>
      </c>
      <c r="K35" s="748">
        <f t="shared" si="19"/>
        <v>0.85</v>
      </c>
      <c r="L35" s="727">
        <f t="shared" si="17"/>
        <v>13.725490196078431</v>
      </c>
      <c r="N35" s="623">
        <f t="shared" si="3"/>
        <v>4.5098039215698549E-3</v>
      </c>
      <c r="O35" s="601">
        <f t="shared" si="20"/>
        <v>2.7450980392156863</v>
      </c>
      <c r="P35" s="601"/>
      <c r="Q35" s="172" t="s">
        <v>159</v>
      </c>
      <c r="R35" s="173">
        <v>0.7</v>
      </c>
      <c r="S35" s="234"/>
      <c r="T35" s="226">
        <v>13.73</v>
      </c>
      <c r="U35" s="592"/>
      <c r="Z35" s="590"/>
      <c r="AA35" s="590"/>
      <c r="AB35" s="590"/>
      <c r="AC35" s="590"/>
    </row>
    <row r="37" spans="1:29" x14ac:dyDescent="0.2">
      <c r="Z37" s="601">
        <f>SUM(Z10:Z35)</f>
        <v>98.999999999999986</v>
      </c>
      <c r="AA37" s="601">
        <f>SUM(AA10:AA35)</f>
        <v>495</v>
      </c>
      <c r="AB37" s="601">
        <f t="shared" ref="AB37:AC37" si="21">SUM(AB10:AB35)</f>
        <v>2500</v>
      </c>
      <c r="AC37" s="601">
        <f t="shared" si="21"/>
        <v>2500</v>
      </c>
    </row>
    <row r="39" spans="1:29" x14ac:dyDescent="0.2">
      <c r="A39" t="s">
        <v>510</v>
      </c>
      <c r="X39" t="s">
        <v>558</v>
      </c>
      <c r="Z39" s="616">
        <v>2500</v>
      </c>
      <c r="AA39" s="616">
        <v>2500</v>
      </c>
    </row>
    <row r="42" spans="1:29" x14ac:dyDescent="0.2">
      <c r="X42" t="s">
        <v>413</v>
      </c>
      <c r="Z42" s="601">
        <f>Z39/Z37</f>
        <v>25.252525252525256</v>
      </c>
      <c r="AA42" s="601">
        <f>AA39/AA37</f>
        <v>5.0505050505050502</v>
      </c>
    </row>
  </sheetData>
  <mergeCells count="4">
    <mergeCell ref="K1:L1"/>
    <mergeCell ref="K2:L2"/>
    <mergeCell ref="K3:L3"/>
    <mergeCell ref="Q7:T7"/>
  </mergeCells>
  <pageMargins left="0.7" right="0.7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27"/>
  <sheetViews>
    <sheetView workbookViewId="0">
      <pane xSplit="3" ySplit="9" topLeftCell="D78" activePane="bottomRight" state="frozen"/>
      <selection pane="topRight" activeCell="D1" sqref="D1"/>
      <selection pane="bottomLeft" activeCell="A10" sqref="A10"/>
      <selection pane="bottomRight" activeCell="M88" sqref="M88"/>
    </sheetView>
  </sheetViews>
  <sheetFormatPr defaultRowHeight="12.75" x14ac:dyDescent="0.2"/>
  <cols>
    <col min="1" max="1" width="5.85546875" customWidth="1"/>
    <col min="2" max="2" width="13.7109375" bestFit="1" customWidth="1"/>
    <col min="3" max="3" width="35" bestFit="1" customWidth="1"/>
    <col min="4" max="4" width="12.42578125" bestFit="1" customWidth="1"/>
    <col min="5" max="5" width="11.7109375" customWidth="1"/>
    <col min="6" max="7" width="12.42578125" bestFit="1" customWidth="1"/>
    <col min="8" max="8" width="11.42578125" bestFit="1" customWidth="1"/>
    <col min="9" max="9" width="12.42578125" bestFit="1" customWidth="1"/>
    <col min="10" max="10" width="11.42578125" bestFit="1" customWidth="1"/>
    <col min="11" max="11" width="12.42578125" bestFit="1" customWidth="1"/>
    <col min="12" max="12" width="11.42578125" bestFit="1" customWidth="1"/>
    <col min="13" max="13" width="14.140625" bestFit="1" customWidth="1"/>
    <col min="14" max="14" width="14.5703125" customWidth="1"/>
    <col min="15" max="15" width="16.140625" customWidth="1"/>
    <col min="16" max="16" width="14.28515625" bestFit="1" customWidth="1"/>
  </cols>
  <sheetData>
    <row r="1" spans="1:16" x14ac:dyDescent="0.2">
      <c r="A1" t="s">
        <v>424</v>
      </c>
      <c r="O1" s="648" t="str">
        <f>'1. Storm Drainage Fee Calc Sum'!$J$1</f>
        <v>Internal</v>
      </c>
    </row>
    <row r="2" spans="1:16" x14ac:dyDescent="0.2">
      <c r="A2" t="s">
        <v>406</v>
      </c>
      <c r="B2" s="581" t="s">
        <v>354</v>
      </c>
      <c r="O2" s="649" t="str">
        <f>'1. Storm Drainage Fee Calc Sum'!$J$2</f>
        <v>Working Draft - v9</v>
      </c>
    </row>
    <row r="3" spans="1:16" x14ac:dyDescent="0.2">
      <c r="A3" t="s">
        <v>408</v>
      </c>
      <c r="O3" s="650">
        <f>'1. Storm Drainage Fee Calc Sum'!$J$3</f>
        <v>41289</v>
      </c>
    </row>
    <row r="4" spans="1:16" x14ac:dyDescent="0.2">
      <c r="A4" t="s">
        <v>431</v>
      </c>
    </row>
    <row r="6" spans="1:16" x14ac:dyDescent="0.2">
      <c r="G6" s="981" t="s">
        <v>427</v>
      </c>
      <c r="H6" s="981"/>
      <c r="I6" s="981"/>
      <c r="J6" s="981"/>
      <c r="K6" s="981"/>
      <c r="L6" s="981"/>
      <c r="M6" s="981"/>
      <c r="N6" s="981"/>
      <c r="O6" s="981"/>
    </row>
    <row r="8" spans="1:16" x14ac:dyDescent="0.2">
      <c r="G8" s="582" t="s">
        <v>203</v>
      </c>
      <c r="H8" s="582" t="s">
        <v>203</v>
      </c>
      <c r="I8" s="582" t="s">
        <v>203</v>
      </c>
      <c r="J8" s="582" t="s">
        <v>203</v>
      </c>
      <c r="K8" s="582" t="s">
        <v>203</v>
      </c>
      <c r="L8" s="582" t="s">
        <v>203</v>
      </c>
      <c r="M8" s="582" t="s">
        <v>203</v>
      </c>
      <c r="N8" s="582" t="s">
        <v>203</v>
      </c>
      <c r="O8" s="583"/>
    </row>
    <row r="9" spans="1:16" x14ac:dyDescent="0.2">
      <c r="B9" s="584" t="s">
        <v>355</v>
      </c>
      <c r="C9" s="584" t="s">
        <v>356</v>
      </c>
      <c r="D9" s="582"/>
      <c r="E9" s="582"/>
      <c r="G9" s="584">
        <v>30</v>
      </c>
      <c r="H9" s="584">
        <v>31</v>
      </c>
      <c r="I9" s="584">
        <v>32</v>
      </c>
      <c r="J9" s="584">
        <v>33</v>
      </c>
      <c r="K9" s="584">
        <v>34</v>
      </c>
      <c r="L9" s="584">
        <v>35</v>
      </c>
      <c r="M9" s="584">
        <v>36</v>
      </c>
      <c r="N9" s="584">
        <v>39</v>
      </c>
      <c r="O9" s="584" t="s">
        <v>357</v>
      </c>
      <c r="P9" t="s">
        <v>428</v>
      </c>
    </row>
    <row r="10" spans="1:16" x14ac:dyDescent="0.2">
      <c r="G10" s="585"/>
      <c r="H10" s="585"/>
      <c r="I10" s="585"/>
      <c r="J10" s="585"/>
      <c r="K10" s="585"/>
      <c r="L10" s="585"/>
      <c r="M10" s="585"/>
      <c r="N10" s="585"/>
    </row>
    <row r="11" spans="1:16" x14ac:dyDescent="0.2">
      <c r="C11" t="s">
        <v>426</v>
      </c>
      <c r="G11" s="586">
        <f>'5. Vacant Land + Dev Summary'!BV43</f>
        <v>13271.507112499999</v>
      </c>
      <c r="H11" s="586">
        <f>'5. Vacant Land + Dev Summary'!BW43</f>
        <v>3089.2517874999999</v>
      </c>
      <c r="I11" s="586">
        <f>'5. Vacant Land + Dev Summary'!BX43</f>
        <v>5081.0974791666667</v>
      </c>
      <c r="J11" s="586">
        <f>'5. Vacant Land + Dev Summary'!BY43</f>
        <v>2349.2892166666666</v>
      </c>
      <c r="K11" s="586">
        <f>'5. Vacant Land + Dev Summary'!BZ43</f>
        <v>2344.5503249999997</v>
      </c>
      <c r="L11" s="586">
        <f>'5. Vacant Land + Dev Summary'!CA43</f>
        <v>3991.8457916666666</v>
      </c>
      <c r="M11" s="586">
        <f>'5. Vacant Land + Dev Summary'!CB43</f>
        <v>17501.131020833334</v>
      </c>
      <c r="N11" s="586">
        <f>'5. Vacant Land + Dev Summary'!CE43</f>
        <v>7698.2073846666663</v>
      </c>
      <c r="O11" s="586">
        <f>SUM(G11:N11)</f>
        <v>55326.880118000008</v>
      </c>
      <c r="P11" s="669" t="s">
        <v>425</v>
      </c>
    </row>
    <row r="12" spans="1:16" x14ac:dyDescent="0.2">
      <c r="G12" s="586"/>
      <c r="H12" s="586"/>
      <c r="I12" s="586"/>
      <c r="J12" s="586"/>
      <c r="K12" s="586"/>
      <c r="L12" s="586"/>
      <c r="M12" s="586"/>
      <c r="N12" s="586"/>
      <c r="O12" s="586"/>
    </row>
    <row r="13" spans="1:16" x14ac:dyDescent="0.2">
      <c r="G13" s="586"/>
      <c r="H13" s="586"/>
      <c r="I13" s="586"/>
      <c r="J13" s="586"/>
      <c r="K13" s="586"/>
      <c r="L13" s="586"/>
      <c r="M13" s="586"/>
      <c r="N13" s="586"/>
      <c r="O13" s="586"/>
    </row>
    <row r="14" spans="1:16" x14ac:dyDescent="0.2">
      <c r="B14" t="str">
        <f>'Future Improve'!A8</f>
        <v>FCOC 1</v>
      </c>
      <c r="C14" t="str">
        <f>'Future Improve'!B8</f>
        <v>French Camp Road Crossing</v>
      </c>
      <c r="G14" s="587">
        <f>G11</f>
        <v>13271.507112499999</v>
      </c>
      <c r="H14" s="587">
        <f t="shared" ref="H14:M14" si="0">H11</f>
        <v>3089.2517874999999</v>
      </c>
      <c r="I14" s="587">
        <f t="shared" si="0"/>
        <v>5081.0974791666667</v>
      </c>
      <c r="J14" s="587">
        <f t="shared" si="0"/>
        <v>2349.2892166666666</v>
      </c>
      <c r="K14" s="587">
        <f t="shared" si="0"/>
        <v>2344.5503249999997</v>
      </c>
      <c r="L14" s="587">
        <f t="shared" si="0"/>
        <v>3991.8457916666666</v>
      </c>
      <c r="M14" s="587">
        <f t="shared" si="0"/>
        <v>17501.131020833334</v>
      </c>
      <c r="N14" s="587"/>
      <c r="O14" s="586">
        <f t="shared" ref="O14:O29" si="1">SUM(G14:N14)</f>
        <v>47628.67273333334</v>
      </c>
    </row>
    <row r="15" spans="1:16" x14ac:dyDescent="0.2">
      <c r="B15" t="str">
        <f>'Future Improve'!A9</f>
        <v>FCOC 2</v>
      </c>
      <c r="C15" t="str">
        <f>'Future Improve'!B9</f>
        <v>Roth Road Crossing</v>
      </c>
      <c r="G15" s="586"/>
      <c r="H15" s="586">
        <f t="shared" ref="H15:M15" si="2">H11</f>
        <v>3089.2517874999999</v>
      </c>
      <c r="I15" s="586">
        <f t="shared" si="2"/>
        <v>5081.0974791666667</v>
      </c>
      <c r="J15" s="586">
        <f t="shared" si="2"/>
        <v>2349.2892166666666</v>
      </c>
      <c r="K15" s="586">
        <f t="shared" si="2"/>
        <v>2344.5503249999997</v>
      </c>
      <c r="L15" s="586">
        <f t="shared" si="2"/>
        <v>3991.8457916666666</v>
      </c>
      <c r="M15" s="586">
        <f t="shared" si="2"/>
        <v>17501.131020833334</v>
      </c>
      <c r="N15" s="586"/>
      <c r="O15" s="586">
        <f t="shared" si="1"/>
        <v>34357.16562083333</v>
      </c>
    </row>
    <row r="16" spans="1:16" x14ac:dyDescent="0.2">
      <c r="B16" t="str">
        <f>'Future Improve'!A10</f>
        <v>FCOC 3</v>
      </c>
      <c r="C16" t="str">
        <f>'Future Improve'!B10</f>
        <v>Union Pacific Railroad Crossing</v>
      </c>
      <c r="G16" s="586"/>
      <c r="H16" s="586"/>
      <c r="I16" s="586"/>
      <c r="J16" s="586">
        <f>J11</f>
        <v>2349.2892166666666</v>
      </c>
      <c r="K16" s="586">
        <f>K11</f>
        <v>2344.5503249999997</v>
      </c>
      <c r="L16" s="586">
        <f>L11</f>
        <v>3991.8457916666666</v>
      </c>
      <c r="M16" s="586">
        <f>M11</f>
        <v>17501.131020833334</v>
      </c>
      <c r="N16" s="586"/>
      <c r="O16" s="586">
        <f t="shared" si="1"/>
        <v>26186.816354166665</v>
      </c>
    </row>
    <row r="17" spans="2:15" x14ac:dyDescent="0.2">
      <c r="B17" t="str">
        <f>'Future Improve'!A11</f>
        <v>FCOC 4</v>
      </c>
      <c r="C17" t="str">
        <f>'Future Improve'!B11</f>
        <v>Farm Road Crossing (4'x8' Box Culvert)</v>
      </c>
      <c r="G17" s="586"/>
      <c r="H17" s="586"/>
      <c r="I17" s="586"/>
      <c r="J17" s="586"/>
      <c r="K17" s="586"/>
      <c r="L17" s="586">
        <f>L11</f>
        <v>3991.8457916666666</v>
      </c>
      <c r="M17" s="586">
        <f>M11</f>
        <v>17501.131020833334</v>
      </c>
      <c r="N17" s="586"/>
      <c r="O17" s="586">
        <f t="shared" si="1"/>
        <v>21492.976812500001</v>
      </c>
    </row>
    <row r="18" spans="2:15" x14ac:dyDescent="0.2">
      <c r="B18" t="str">
        <f>'Future Improve'!A12</f>
        <v>Drain 3A</v>
      </c>
      <c r="C18" t="str">
        <f>'Future Improve'!B12</f>
        <v>Connect DR3A to Lat Rga (48" &amp; 2,000')</v>
      </c>
      <c r="G18" s="586"/>
      <c r="H18" s="586">
        <f>H11</f>
        <v>3089.2517874999999</v>
      </c>
      <c r="I18" s="586"/>
      <c r="J18" s="586"/>
      <c r="K18" s="586"/>
      <c r="L18" s="586"/>
      <c r="M18" s="586"/>
      <c r="N18" s="586"/>
      <c r="O18" s="586">
        <f t="shared" si="1"/>
        <v>3089.2517874999999</v>
      </c>
    </row>
    <row r="19" spans="2:15" x14ac:dyDescent="0.2">
      <c r="B19" t="str">
        <f>'Future Improve'!A13</f>
        <v>Drain 3</v>
      </c>
      <c r="C19" t="str">
        <f>'Future Improve'!B13</f>
        <v>Monterey Place Improvement</v>
      </c>
      <c r="G19" s="586"/>
      <c r="H19" s="586"/>
      <c r="I19" s="586">
        <f>I11</f>
        <v>5081.0974791666667</v>
      </c>
      <c r="J19" s="586"/>
      <c r="K19" s="586"/>
      <c r="L19" s="586"/>
      <c r="M19" s="586"/>
      <c r="N19" s="586"/>
      <c r="O19" s="586">
        <f t="shared" si="1"/>
        <v>5081.0974791666667</v>
      </c>
    </row>
    <row r="20" spans="2:15" x14ac:dyDescent="0.2">
      <c r="B20" t="str">
        <f>'Future Improve'!A14</f>
        <v>Drain 5</v>
      </c>
      <c r="C20" t="str">
        <f>'Future Improve'!B14</f>
        <v>Interceptor, Upstream of Golf Course</v>
      </c>
      <c r="G20" s="586"/>
      <c r="H20" s="586"/>
      <c r="I20" s="586"/>
      <c r="J20" s="586"/>
      <c r="K20" s="586">
        <f>K11</f>
        <v>2344.5503249999997</v>
      </c>
      <c r="L20" s="586"/>
      <c r="M20" s="586"/>
      <c r="N20" s="586"/>
      <c r="O20" s="586">
        <f t="shared" si="1"/>
        <v>2344.5503249999997</v>
      </c>
    </row>
    <row r="21" spans="2:15" x14ac:dyDescent="0.2">
      <c r="B21" t="str">
        <f>'Future Improve'!A15</f>
        <v>South PS</v>
      </c>
      <c r="C21" t="str">
        <f>'Future Improve'!B15</f>
        <v>South Drain Pump Station</v>
      </c>
      <c r="G21" s="586"/>
      <c r="H21" s="586"/>
      <c r="I21" s="586"/>
      <c r="J21" s="586"/>
      <c r="K21" s="586"/>
      <c r="L21" s="586"/>
      <c r="M21" s="586">
        <f>M11</f>
        <v>17501.131020833334</v>
      </c>
      <c r="N21" s="586"/>
      <c r="O21" s="586">
        <f t="shared" si="1"/>
        <v>17501.131020833334</v>
      </c>
    </row>
    <row r="22" spans="2:15" x14ac:dyDescent="0.2">
      <c r="B22" t="str">
        <f>'Future Improve'!A16</f>
        <v>Austin PS</v>
      </c>
      <c r="C22" t="str">
        <f>'Future Improve'!B16</f>
        <v>Austin Road Pump Station (to Lat Y)</v>
      </c>
      <c r="G22" s="586"/>
      <c r="H22" s="586"/>
      <c r="I22" s="586"/>
      <c r="J22" s="586"/>
      <c r="K22" s="586"/>
      <c r="L22" s="586"/>
      <c r="M22" s="586">
        <f>M11</f>
        <v>17501.131020833334</v>
      </c>
      <c r="N22" s="586"/>
      <c r="O22" s="586">
        <f t="shared" si="1"/>
        <v>17501.131020833334</v>
      </c>
    </row>
    <row r="23" spans="2:15" x14ac:dyDescent="0.2">
      <c r="B23" t="str">
        <f>'Future Improve'!A17</f>
        <v>Force Main</v>
      </c>
      <c r="C23" t="str">
        <f>'Future Improve'!B17</f>
        <v>48" Force Main (1,400')</v>
      </c>
      <c r="G23" s="586"/>
      <c r="H23" s="586"/>
      <c r="I23" s="586"/>
      <c r="J23" s="586"/>
      <c r="K23" s="586"/>
      <c r="L23" s="586"/>
      <c r="M23" s="586">
        <f>M11</f>
        <v>17501.131020833334</v>
      </c>
      <c r="N23" s="586"/>
      <c r="O23" s="586">
        <f t="shared" si="1"/>
        <v>17501.131020833334</v>
      </c>
    </row>
    <row r="24" spans="2:15" x14ac:dyDescent="0.2">
      <c r="B24" t="str">
        <f>'Future Improve'!A18</f>
        <v>66" RCP1</v>
      </c>
      <c r="C24" t="str">
        <f>'Future Improve'!B18</f>
        <v>Bella Vista to South Pump Station</v>
      </c>
      <c r="G24" s="586"/>
      <c r="H24" s="586"/>
      <c r="I24" s="586"/>
      <c r="J24" s="586"/>
      <c r="K24" s="586"/>
      <c r="L24" s="586"/>
      <c r="M24" s="586">
        <f>M11</f>
        <v>17501.131020833334</v>
      </c>
      <c r="N24" s="586"/>
      <c r="O24" s="586">
        <f t="shared" si="1"/>
        <v>17501.131020833334</v>
      </c>
    </row>
    <row r="25" spans="2:15" x14ac:dyDescent="0.2">
      <c r="B25" t="str">
        <f>'Future Improve'!A19</f>
        <v>Lat Ya</v>
      </c>
      <c r="C25" t="str">
        <f>'Future Improve'!B19</f>
        <v>Dual-Use Drain at Woodward (60" RCP)</v>
      </c>
      <c r="G25" s="586"/>
      <c r="H25" s="586"/>
      <c r="I25" s="586"/>
      <c r="J25" s="586"/>
      <c r="K25" s="586"/>
      <c r="L25" s="586"/>
      <c r="M25" s="586">
        <f>M11</f>
        <v>17501.131020833334</v>
      </c>
      <c r="N25" s="586"/>
      <c r="O25" s="586">
        <f t="shared" si="1"/>
        <v>17501.131020833334</v>
      </c>
    </row>
    <row r="26" spans="2:15" x14ac:dyDescent="0.2">
      <c r="B26" t="str">
        <f>'Future Improve'!A20</f>
        <v>66" RCP2</v>
      </c>
      <c r="C26" t="str">
        <f>'Future Improve'!B20</f>
        <v>Woodward - Union to Main St</v>
      </c>
      <c r="G26" s="586"/>
      <c r="H26" s="586"/>
      <c r="I26" s="586"/>
      <c r="J26" s="586"/>
      <c r="K26" s="586"/>
      <c r="L26" s="586"/>
      <c r="M26" s="586">
        <f>M11</f>
        <v>17501.131020833334</v>
      </c>
      <c r="N26" s="586"/>
      <c r="O26" s="586">
        <f t="shared" si="1"/>
        <v>17501.131020833334</v>
      </c>
    </row>
    <row r="27" spans="2:15" x14ac:dyDescent="0.2">
      <c r="B27" t="str">
        <f>'Future Improve'!A21</f>
        <v>42" RCP</v>
      </c>
      <c r="C27" t="str">
        <f>'Future Improve'!B21</f>
        <v>Lat Tbb to Austin Rd End</v>
      </c>
      <c r="G27" s="586"/>
      <c r="H27" s="586"/>
      <c r="I27" s="586"/>
      <c r="J27" s="586"/>
      <c r="K27" s="586"/>
      <c r="L27" s="586"/>
      <c r="M27" s="586">
        <f>M11</f>
        <v>17501.131020833334</v>
      </c>
      <c r="N27" s="586"/>
      <c r="O27" s="586">
        <f t="shared" si="1"/>
        <v>17501.131020833334</v>
      </c>
    </row>
    <row r="28" spans="2:15" x14ac:dyDescent="0.2">
      <c r="B28" t="str">
        <f>'Future Improve'!A22</f>
        <v>Jux Box</v>
      </c>
      <c r="C28" t="str">
        <f>'Future Improve'!B22</f>
        <v>Two Junction Boxes at Woodward-Ya</v>
      </c>
      <c r="G28" s="586"/>
      <c r="H28" s="586"/>
      <c r="I28" s="586"/>
      <c r="J28" s="586"/>
      <c r="K28" s="586"/>
      <c r="L28" s="586"/>
      <c r="M28" s="586">
        <f>M11</f>
        <v>17501.131020833334</v>
      </c>
      <c r="N28" s="586"/>
      <c r="O28" s="586">
        <f t="shared" si="1"/>
        <v>17501.131020833334</v>
      </c>
    </row>
    <row r="29" spans="2:15" x14ac:dyDescent="0.2">
      <c r="B29" t="str">
        <f>'Future Improve'!A23</f>
        <v>Lat X</v>
      </c>
      <c r="C29" t="str">
        <f>'Future Improve'!B23</f>
        <v>Connect Woodward to Lateral X</v>
      </c>
      <c r="G29" s="586"/>
      <c r="H29" s="586"/>
      <c r="I29" s="586"/>
      <c r="J29" s="586"/>
      <c r="K29" s="586"/>
      <c r="L29" s="586"/>
      <c r="M29" s="586">
        <f>M11</f>
        <v>17501.131020833334</v>
      </c>
      <c r="N29" s="586"/>
      <c r="O29" s="586">
        <f t="shared" si="1"/>
        <v>17501.131020833334</v>
      </c>
    </row>
    <row r="30" spans="2:15" x14ac:dyDescent="0.2">
      <c r="G30" s="586"/>
      <c r="H30" s="586"/>
      <c r="I30" s="586"/>
      <c r="J30" s="586"/>
      <c r="K30" s="586"/>
      <c r="L30" s="586"/>
      <c r="M30" s="586"/>
      <c r="N30" s="586"/>
      <c r="O30" s="586"/>
    </row>
    <row r="31" spans="2:15" x14ac:dyDescent="0.2">
      <c r="C31" s="588" t="s">
        <v>113</v>
      </c>
      <c r="G31" s="586"/>
      <c r="H31" s="586"/>
      <c r="I31" s="586"/>
      <c r="J31" s="586"/>
      <c r="K31" s="586"/>
      <c r="L31" s="586"/>
      <c r="M31" s="586"/>
      <c r="N31" s="586"/>
      <c r="O31" s="586"/>
    </row>
    <row r="32" spans="2:15" x14ac:dyDescent="0.2">
      <c r="C32" t="s">
        <v>18</v>
      </c>
      <c r="G32" s="586"/>
      <c r="H32" s="586"/>
      <c r="I32" s="586"/>
      <c r="J32" s="586"/>
      <c r="K32" s="586"/>
      <c r="L32" s="586"/>
      <c r="M32" s="586"/>
      <c r="N32" s="586">
        <f>N11</f>
        <v>7698.2073846666663</v>
      </c>
      <c r="O32" s="586">
        <f>SUM(G32:N32)</f>
        <v>7698.2073846666663</v>
      </c>
    </row>
    <row r="36" spans="2:15" x14ac:dyDescent="0.2">
      <c r="G36" s="969" t="s">
        <v>358</v>
      </c>
      <c r="H36" s="970"/>
      <c r="I36" s="970"/>
      <c r="J36" s="970"/>
      <c r="K36" s="970"/>
      <c r="L36" s="970"/>
      <c r="M36" s="970"/>
      <c r="N36" s="970"/>
      <c r="O36" s="971"/>
    </row>
    <row r="38" spans="2:15" x14ac:dyDescent="0.2">
      <c r="G38" s="582" t="s">
        <v>203</v>
      </c>
      <c r="H38" s="582" t="s">
        <v>203</v>
      </c>
      <c r="I38" s="582" t="s">
        <v>203</v>
      </c>
      <c r="J38" s="582" t="s">
        <v>203</v>
      </c>
      <c r="K38" s="582" t="s">
        <v>203</v>
      </c>
      <c r="L38" s="582" t="s">
        <v>203</v>
      </c>
      <c r="M38" s="582" t="s">
        <v>203</v>
      </c>
      <c r="N38" s="582" t="s">
        <v>203</v>
      </c>
      <c r="O38" s="583"/>
    </row>
    <row r="39" spans="2:15" x14ac:dyDescent="0.2">
      <c r="B39" s="584" t="s">
        <v>355</v>
      </c>
      <c r="C39" s="584" t="s">
        <v>356</v>
      </c>
      <c r="D39" s="582"/>
      <c r="E39" s="582"/>
      <c r="G39" s="584">
        <v>30</v>
      </c>
      <c r="H39" s="584">
        <v>31</v>
      </c>
      <c r="I39" s="584">
        <v>32</v>
      </c>
      <c r="J39" s="584">
        <v>33</v>
      </c>
      <c r="K39" s="584">
        <v>34</v>
      </c>
      <c r="L39" s="584">
        <v>35</v>
      </c>
      <c r="M39" s="584">
        <v>36</v>
      </c>
      <c r="N39" s="584">
        <v>39</v>
      </c>
      <c r="O39" s="590" t="s">
        <v>357</v>
      </c>
    </row>
    <row r="40" spans="2:15" x14ac:dyDescent="0.2">
      <c r="G40" s="585"/>
      <c r="H40" s="585"/>
      <c r="I40" s="585"/>
      <c r="J40" s="585"/>
      <c r="K40" s="585"/>
      <c r="L40" s="585"/>
      <c r="M40" s="585"/>
      <c r="N40" s="585"/>
    </row>
    <row r="42" spans="2:15" x14ac:dyDescent="0.2">
      <c r="B42" t="str">
        <f t="shared" ref="B42:C45" si="3">B14</f>
        <v>FCOC 1</v>
      </c>
      <c r="C42" t="str">
        <f t="shared" si="3"/>
        <v>French Camp Road Crossing</v>
      </c>
      <c r="G42" s="592">
        <f t="shared" ref="G42:M56" si="4">IF(G14&gt;0,G14/$O14,0)</f>
        <v>0.27864532750692883</v>
      </c>
      <c r="H42" s="592">
        <f t="shared" si="4"/>
        <v>6.486117731636809E-2</v>
      </c>
      <c r="I42" s="592">
        <f t="shared" si="4"/>
        <v>0.10668148381154902</v>
      </c>
      <c r="J42" s="592">
        <f t="shared" si="4"/>
        <v>4.932510359505559E-2</v>
      </c>
      <c r="K42" s="592">
        <f t="shared" si="4"/>
        <v>4.9225606981047484E-2</v>
      </c>
      <c r="L42" s="592">
        <f t="shared" si="4"/>
        <v>8.3811820959540165E-2</v>
      </c>
      <c r="M42" s="592">
        <f t="shared" si="4"/>
        <v>0.36744947982951065</v>
      </c>
      <c r="N42" s="591"/>
      <c r="O42" s="592">
        <f>SUM(G42:N42)</f>
        <v>0.99999999999999978</v>
      </c>
    </row>
    <row r="43" spans="2:15" x14ac:dyDescent="0.2">
      <c r="B43" t="str">
        <f t="shared" si="3"/>
        <v>FCOC 2</v>
      </c>
      <c r="C43" t="str">
        <f t="shared" si="3"/>
        <v>Roth Road Crossing</v>
      </c>
      <c r="G43" s="591">
        <f t="shared" si="4"/>
        <v>0</v>
      </c>
      <c r="H43" s="592">
        <f t="shared" si="4"/>
        <v>8.9915792868162397E-2</v>
      </c>
      <c r="I43" s="592">
        <f t="shared" si="4"/>
        <v>0.14789047313278997</v>
      </c>
      <c r="J43" s="592">
        <f t="shared" si="4"/>
        <v>6.8378435013920824E-2</v>
      </c>
      <c r="K43" s="592">
        <f t="shared" si="4"/>
        <v>6.8240504786527642E-2</v>
      </c>
      <c r="L43" s="592">
        <f t="shared" si="4"/>
        <v>0.11618670281829392</v>
      </c>
      <c r="M43" s="592">
        <f t="shared" si="4"/>
        <v>0.50938809138030539</v>
      </c>
      <c r="N43" s="591"/>
      <c r="O43" s="592">
        <f t="shared" ref="O43:O57" si="5">SUM(G43:N43)</f>
        <v>1</v>
      </c>
    </row>
    <row r="44" spans="2:15" x14ac:dyDescent="0.2">
      <c r="B44" t="str">
        <f t="shared" si="3"/>
        <v>FCOC 3</v>
      </c>
      <c r="C44" t="str">
        <f t="shared" si="3"/>
        <v>Union Pacific Railroad Crossing</v>
      </c>
      <c r="G44" s="591">
        <f t="shared" si="4"/>
        <v>0</v>
      </c>
      <c r="H44" s="591">
        <f t="shared" si="4"/>
        <v>0</v>
      </c>
      <c r="I44" s="591">
        <f t="shared" si="4"/>
        <v>0</v>
      </c>
      <c r="J44" s="592">
        <f t="shared" si="4"/>
        <v>8.9712670104430764E-2</v>
      </c>
      <c r="K44" s="592">
        <f t="shared" si="4"/>
        <v>8.9531705316555257E-2</v>
      </c>
      <c r="L44" s="592">
        <f t="shared" si="4"/>
        <v>0.15243723168477147</v>
      </c>
      <c r="M44" s="592">
        <f t="shared" si="4"/>
        <v>0.66831839289424255</v>
      </c>
      <c r="N44" s="591"/>
      <c r="O44" s="592">
        <f t="shared" si="5"/>
        <v>1</v>
      </c>
    </row>
    <row r="45" spans="2:15" x14ac:dyDescent="0.2">
      <c r="B45" t="str">
        <f t="shared" si="3"/>
        <v>FCOC 4</v>
      </c>
      <c r="C45" t="str">
        <f t="shared" si="3"/>
        <v>Farm Road Crossing (4'x8' Box Culvert)</v>
      </c>
      <c r="G45" s="591">
        <f t="shared" si="4"/>
        <v>0</v>
      </c>
      <c r="H45" s="591">
        <f t="shared" si="4"/>
        <v>0</v>
      </c>
      <c r="I45" s="591">
        <f t="shared" si="4"/>
        <v>0</v>
      </c>
      <c r="J45" s="591">
        <f t="shared" si="4"/>
        <v>0</v>
      </c>
      <c r="K45" s="591">
        <f t="shared" si="4"/>
        <v>0</v>
      </c>
      <c r="L45" s="592">
        <f t="shared" si="4"/>
        <v>0.18572791598346988</v>
      </c>
      <c r="M45" s="592">
        <f t="shared" si="4"/>
        <v>0.81427208401653006</v>
      </c>
      <c r="N45" s="591"/>
      <c r="O45" s="592">
        <f t="shared" si="5"/>
        <v>1</v>
      </c>
    </row>
    <row r="46" spans="2:15" x14ac:dyDescent="0.2">
      <c r="B46" t="s">
        <v>333</v>
      </c>
      <c r="C46" t="s">
        <v>336</v>
      </c>
      <c r="G46" s="591">
        <f t="shared" si="4"/>
        <v>0</v>
      </c>
      <c r="H46" s="592">
        <f t="shared" si="4"/>
        <v>1</v>
      </c>
      <c r="I46" s="591">
        <f t="shared" si="4"/>
        <v>0</v>
      </c>
      <c r="J46" s="591">
        <f t="shared" si="4"/>
        <v>0</v>
      </c>
      <c r="K46" s="591">
        <f t="shared" si="4"/>
        <v>0</v>
      </c>
      <c r="L46" s="591">
        <f t="shared" si="4"/>
        <v>0</v>
      </c>
      <c r="M46" s="591">
        <f t="shared" si="4"/>
        <v>0</v>
      </c>
      <c r="N46" s="591"/>
      <c r="O46" s="592">
        <f t="shared" ref="O46" si="6">SUM(G46:N46)</f>
        <v>1</v>
      </c>
    </row>
    <row r="47" spans="2:15" x14ac:dyDescent="0.2">
      <c r="B47" t="str">
        <f t="shared" ref="B47:C55" si="7">B19</f>
        <v>Drain 3</v>
      </c>
      <c r="C47" t="str">
        <f t="shared" si="7"/>
        <v>Monterey Place Improvement</v>
      </c>
      <c r="G47" s="591">
        <f t="shared" si="4"/>
        <v>0</v>
      </c>
      <c r="H47" s="591">
        <f t="shared" si="4"/>
        <v>0</v>
      </c>
      <c r="I47" s="592">
        <f t="shared" si="4"/>
        <v>1</v>
      </c>
      <c r="J47" s="591">
        <f t="shared" si="4"/>
        <v>0</v>
      </c>
      <c r="K47" s="591">
        <f t="shared" si="4"/>
        <v>0</v>
      </c>
      <c r="L47" s="591">
        <f t="shared" si="4"/>
        <v>0</v>
      </c>
      <c r="M47" s="591">
        <f t="shared" si="4"/>
        <v>0</v>
      </c>
      <c r="N47" s="591"/>
      <c r="O47" s="592">
        <f t="shared" si="5"/>
        <v>1</v>
      </c>
    </row>
    <row r="48" spans="2:15" x14ac:dyDescent="0.2">
      <c r="B48" t="str">
        <f t="shared" si="7"/>
        <v>Drain 5</v>
      </c>
      <c r="C48" t="str">
        <f t="shared" si="7"/>
        <v>Interceptor, Upstream of Golf Course</v>
      </c>
      <c r="G48" s="591">
        <f t="shared" si="4"/>
        <v>0</v>
      </c>
      <c r="H48" s="591">
        <f t="shared" si="4"/>
        <v>0</v>
      </c>
      <c r="I48" s="591">
        <f t="shared" si="4"/>
        <v>0</v>
      </c>
      <c r="J48" s="591">
        <f t="shared" si="4"/>
        <v>0</v>
      </c>
      <c r="K48" s="592">
        <f t="shared" si="4"/>
        <v>1</v>
      </c>
      <c r="L48" s="591">
        <f t="shared" si="4"/>
        <v>0</v>
      </c>
      <c r="M48" s="591">
        <f t="shared" si="4"/>
        <v>0</v>
      </c>
      <c r="N48" s="591"/>
      <c r="O48" s="592">
        <f t="shared" si="5"/>
        <v>1</v>
      </c>
    </row>
    <row r="49" spans="2:15" x14ac:dyDescent="0.2">
      <c r="B49" t="str">
        <f t="shared" si="7"/>
        <v>South PS</v>
      </c>
      <c r="C49" t="str">
        <f t="shared" si="7"/>
        <v>South Drain Pump Station</v>
      </c>
      <c r="G49" s="591">
        <f t="shared" si="4"/>
        <v>0</v>
      </c>
      <c r="H49" s="591">
        <f t="shared" si="4"/>
        <v>0</v>
      </c>
      <c r="I49" s="591">
        <f t="shared" si="4"/>
        <v>0</v>
      </c>
      <c r="J49" s="591">
        <f t="shared" si="4"/>
        <v>0</v>
      </c>
      <c r="K49" s="591">
        <f t="shared" si="4"/>
        <v>0</v>
      </c>
      <c r="L49" s="591">
        <f t="shared" si="4"/>
        <v>0</v>
      </c>
      <c r="M49" s="592">
        <f t="shared" si="4"/>
        <v>1</v>
      </c>
      <c r="N49" s="591"/>
      <c r="O49" s="592">
        <f t="shared" si="5"/>
        <v>1</v>
      </c>
    </row>
    <row r="50" spans="2:15" x14ac:dyDescent="0.2">
      <c r="B50" t="str">
        <f t="shared" si="7"/>
        <v>Austin PS</v>
      </c>
      <c r="C50" t="str">
        <f t="shared" si="7"/>
        <v>Austin Road Pump Station (to Lat Y)</v>
      </c>
      <c r="G50" s="591">
        <f t="shared" si="4"/>
        <v>0</v>
      </c>
      <c r="H50" s="591">
        <f t="shared" si="4"/>
        <v>0</v>
      </c>
      <c r="I50" s="591">
        <f t="shared" si="4"/>
        <v>0</v>
      </c>
      <c r="J50" s="591">
        <f t="shared" si="4"/>
        <v>0</v>
      </c>
      <c r="K50" s="591">
        <f t="shared" si="4"/>
        <v>0</v>
      </c>
      <c r="L50" s="591">
        <f t="shared" si="4"/>
        <v>0</v>
      </c>
      <c r="M50" s="592">
        <f t="shared" si="4"/>
        <v>1</v>
      </c>
      <c r="N50" s="591"/>
      <c r="O50" s="592">
        <f t="shared" si="5"/>
        <v>1</v>
      </c>
    </row>
    <row r="51" spans="2:15" x14ac:dyDescent="0.2">
      <c r="B51" t="str">
        <f t="shared" si="7"/>
        <v>Force Main</v>
      </c>
      <c r="C51" t="str">
        <f t="shared" si="7"/>
        <v>48" Force Main (1,400')</v>
      </c>
      <c r="G51" s="591">
        <f t="shared" si="4"/>
        <v>0</v>
      </c>
      <c r="H51" s="591">
        <f t="shared" si="4"/>
        <v>0</v>
      </c>
      <c r="I51" s="591">
        <f t="shared" si="4"/>
        <v>0</v>
      </c>
      <c r="J51" s="591">
        <f t="shared" si="4"/>
        <v>0</v>
      </c>
      <c r="K51" s="591">
        <f t="shared" si="4"/>
        <v>0</v>
      </c>
      <c r="L51" s="591">
        <f t="shared" si="4"/>
        <v>0</v>
      </c>
      <c r="M51" s="592">
        <f t="shared" si="4"/>
        <v>1</v>
      </c>
      <c r="N51" s="591"/>
      <c r="O51" s="592">
        <f t="shared" si="5"/>
        <v>1</v>
      </c>
    </row>
    <row r="52" spans="2:15" x14ac:dyDescent="0.2">
      <c r="B52" t="str">
        <f t="shared" si="7"/>
        <v>66" RCP1</v>
      </c>
      <c r="C52" t="str">
        <f t="shared" si="7"/>
        <v>Bella Vista to South Pump Station</v>
      </c>
      <c r="G52" s="591">
        <f t="shared" si="4"/>
        <v>0</v>
      </c>
      <c r="H52" s="591">
        <f t="shared" si="4"/>
        <v>0</v>
      </c>
      <c r="I52" s="591">
        <f t="shared" si="4"/>
        <v>0</v>
      </c>
      <c r="J52" s="591">
        <f t="shared" si="4"/>
        <v>0</v>
      </c>
      <c r="K52" s="591">
        <f t="shared" si="4"/>
        <v>0</v>
      </c>
      <c r="L52" s="591">
        <f t="shared" si="4"/>
        <v>0</v>
      </c>
      <c r="M52" s="592">
        <f t="shared" si="4"/>
        <v>1</v>
      </c>
      <c r="N52" s="591"/>
      <c r="O52" s="592">
        <f t="shared" si="5"/>
        <v>1</v>
      </c>
    </row>
    <row r="53" spans="2:15" x14ac:dyDescent="0.2">
      <c r="B53" t="str">
        <f t="shared" si="7"/>
        <v>Lat Ya</v>
      </c>
      <c r="C53" t="str">
        <f t="shared" si="7"/>
        <v>Dual-Use Drain at Woodward (60" RCP)</v>
      </c>
      <c r="G53" s="591">
        <f t="shared" si="4"/>
        <v>0</v>
      </c>
      <c r="H53" s="591">
        <f t="shared" si="4"/>
        <v>0</v>
      </c>
      <c r="I53" s="591">
        <f t="shared" si="4"/>
        <v>0</v>
      </c>
      <c r="J53" s="591">
        <f t="shared" si="4"/>
        <v>0</v>
      </c>
      <c r="K53" s="591">
        <f t="shared" si="4"/>
        <v>0</v>
      </c>
      <c r="L53" s="591">
        <f t="shared" si="4"/>
        <v>0</v>
      </c>
      <c r="M53" s="592">
        <f t="shared" si="4"/>
        <v>1</v>
      </c>
      <c r="N53" s="591"/>
      <c r="O53" s="592">
        <f t="shared" si="5"/>
        <v>1</v>
      </c>
    </row>
    <row r="54" spans="2:15" x14ac:dyDescent="0.2">
      <c r="B54" t="str">
        <f t="shared" si="7"/>
        <v>66" RCP2</v>
      </c>
      <c r="C54" t="str">
        <f t="shared" si="7"/>
        <v>Woodward - Union to Main St</v>
      </c>
      <c r="G54" s="591">
        <f t="shared" si="4"/>
        <v>0</v>
      </c>
      <c r="H54" s="591">
        <f t="shared" si="4"/>
        <v>0</v>
      </c>
      <c r="I54" s="591">
        <f t="shared" si="4"/>
        <v>0</v>
      </c>
      <c r="J54" s="591">
        <f t="shared" si="4"/>
        <v>0</v>
      </c>
      <c r="K54" s="591">
        <f t="shared" si="4"/>
        <v>0</v>
      </c>
      <c r="L54" s="591">
        <f t="shared" si="4"/>
        <v>0</v>
      </c>
      <c r="M54" s="592">
        <f t="shared" si="4"/>
        <v>1</v>
      </c>
      <c r="N54" s="591"/>
      <c r="O54" s="592">
        <f t="shared" si="5"/>
        <v>1</v>
      </c>
    </row>
    <row r="55" spans="2:15" x14ac:dyDescent="0.2">
      <c r="B55" t="str">
        <f t="shared" si="7"/>
        <v>42" RCP</v>
      </c>
      <c r="C55" t="str">
        <f t="shared" si="7"/>
        <v>Lat Tbb to Austin Rd End</v>
      </c>
      <c r="G55" s="591">
        <f t="shared" si="4"/>
        <v>0</v>
      </c>
      <c r="H55" s="591">
        <f t="shared" si="4"/>
        <v>0</v>
      </c>
      <c r="I55" s="591">
        <f t="shared" si="4"/>
        <v>0</v>
      </c>
      <c r="J55" s="591">
        <f t="shared" si="4"/>
        <v>0</v>
      </c>
      <c r="K55" s="591">
        <f t="shared" si="4"/>
        <v>0</v>
      </c>
      <c r="L55" s="591">
        <f t="shared" si="4"/>
        <v>0</v>
      </c>
      <c r="M55" s="592">
        <f t="shared" si="4"/>
        <v>1</v>
      </c>
      <c r="N55" s="591"/>
      <c r="O55" s="592">
        <f t="shared" si="5"/>
        <v>1</v>
      </c>
    </row>
    <row r="56" spans="2:15" x14ac:dyDescent="0.2">
      <c r="B56" t="s">
        <v>338</v>
      </c>
      <c r="C56" t="s">
        <v>339</v>
      </c>
      <c r="G56" s="591">
        <f t="shared" si="4"/>
        <v>0</v>
      </c>
      <c r="H56" s="591">
        <f t="shared" si="4"/>
        <v>0</v>
      </c>
      <c r="I56" s="591">
        <f t="shared" si="4"/>
        <v>0</v>
      </c>
      <c r="J56" s="591">
        <f t="shared" si="4"/>
        <v>0</v>
      </c>
      <c r="K56" s="591">
        <f t="shared" si="4"/>
        <v>0</v>
      </c>
      <c r="L56" s="591">
        <f t="shared" si="4"/>
        <v>0</v>
      </c>
      <c r="M56" s="592">
        <f t="shared" si="4"/>
        <v>1</v>
      </c>
      <c r="N56" s="591"/>
      <c r="O56" s="592">
        <f t="shared" ref="O56" si="8">SUM(G56:N56)</f>
        <v>1</v>
      </c>
    </row>
    <row r="57" spans="2:15" x14ac:dyDescent="0.2">
      <c r="B57" t="str">
        <f t="shared" ref="B57:C57" si="9">B29</f>
        <v>Lat X</v>
      </c>
      <c r="C57" t="str">
        <f t="shared" si="9"/>
        <v>Connect Woodward to Lateral X</v>
      </c>
      <c r="G57" s="591">
        <f t="shared" ref="G57:M57" si="10">IF(G29&gt;0,G29/$O29,0)</f>
        <v>0</v>
      </c>
      <c r="H57" s="591">
        <f t="shared" si="10"/>
        <v>0</v>
      </c>
      <c r="I57" s="591">
        <f t="shared" si="10"/>
        <v>0</v>
      </c>
      <c r="J57" s="591">
        <f t="shared" si="10"/>
        <v>0</v>
      </c>
      <c r="K57" s="591">
        <f t="shared" si="10"/>
        <v>0</v>
      </c>
      <c r="L57" s="591">
        <f t="shared" si="10"/>
        <v>0</v>
      </c>
      <c r="M57" s="592">
        <f t="shared" si="10"/>
        <v>1</v>
      </c>
      <c r="N57" s="591"/>
      <c r="O57" s="592">
        <f t="shared" si="5"/>
        <v>1</v>
      </c>
    </row>
    <row r="58" spans="2:15" x14ac:dyDescent="0.2">
      <c r="G58" s="591"/>
      <c r="H58" s="591"/>
      <c r="I58" s="591"/>
      <c r="J58" s="591"/>
      <c r="K58" s="591"/>
      <c r="L58" s="591"/>
      <c r="M58" s="591"/>
      <c r="N58" s="591"/>
      <c r="O58" s="592"/>
    </row>
    <row r="59" spans="2:15" x14ac:dyDescent="0.2">
      <c r="C59" s="588" t="s">
        <v>113</v>
      </c>
      <c r="G59" s="591"/>
      <c r="H59" s="591"/>
      <c r="I59" s="591"/>
      <c r="J59" s="591"/>
      <c r="K59" s="591"/>
      <c r="L59" s="591"/>
      <c r="M59" s="591"/>
      <c r="N59" s="591"/>
      <c r="O59" s="592"/>
    </row>
    <row r="60" spans="2:15" x14ac:dyDescent="0.2">
      <c r="C60" t="s">
        <v>18</v>
      </c>
      <c r="G60" s="591">
        <f t="shared" ref="G60:N60" si="11">IF(G32&gt;0,G32/$O32,0)</f>
        <v>0</v>
      </c>
      <c r="H60" s="591">
        <f t="shared" si="11"/>
        <v>0</v>
      </c>
      <c r="I60" s="591">
        <f t="shared" si="11"/>
        <v>0</v>
      </c>
      <c r="J60" s="591">
        <f t="shared" si="11"/>
        <v>0</v>
      </c>
      <c r="K60" s="591">
        <f t="shared" si="11"/>
        <v>0</v>
      </c>
      <c r="L60" s="591">
        <f t="shared" si="11"/>
        <v>0</v>
      </c>
      <c r="M60" s="591">
        <f t="shared" si="11"/>
        <v>0</v>
      </c>
      <c r="N60" s="592">
        <f t="shared" si="11"/>
        <v>1</v>
      </c>
      <c r="O60" s="592">
        <f t="shared" ref="O60" si="12">SUM(G60:N60)</f>
        <v>1</v>
      </c>
    </row>
    <row r="61" spans="2:15" x14ac:dyDescent="0.2">
      <c r="G61" s="591"/>
      <c r="H61" s="591"/>
      <c r="I61" s="591"/>
      <c r="J61" s="591"/>
      <c r="K61" s="591"/>
      <c r="L61" s="591"/>
      <c r="M61" s="591"/>
      <c r="N61" s="591"/>
      <c r="O61" s="592"/>
    </row>
    <row r="65" spans="2:16" x14ac:dyDescent="0.2">
      <c r="G65" s="969" t="s">
        <v>359</v>
      </c>
      <c r="H65" s="970"/>
      <c r="I65" s="970"/>
      <c r="J65" s="970"/>
      <c r="K65" s="970"/>
      <c r="L65" s="970"/>
      <c r="M65" s="970"/>
      <c r="N65" s="970"/>
      <c r="O65" s="971"/>
    </row>
    <row r="66" spans="2:16" x14ac:dyDescent="0.2">
      <c r="F66" s="582" t="s">
        <v>360</v>
      </c>
    </row>
    <row r="67" spans="2:16" x14ac:dyDescent="0.2">
      <c r="D67" t="s">
        <v>119</v>
      </c>
      <c r="E67" s="716" t="s">
        <v>508</v>
      </c>
      <c r="F67" s="582" t="s">
        <v>507</v>
      </c>
      <c r="G67" s="582" t="s">
        <v>203</v>
      </c>
      <c r="H67" s="582" t="s">
        <v>203</v>
      </c>
      <c r="I67" s="582" t="s">
        <v>203</v>
      </c>
      <c r="J67" s="582" t="s">
        <v>203</v>
      </c>
      <c r="K67" s="582" t="s">
        <v>203</v>
      </c>
      <c r="L67" s="582" t="s">
        <v>203</v>
      </c>
      <c r="M67" s="582" t="s">
        <v>203</v>
      </c>
      <c r="N67" s="582" t="s">
        <v>203</v>
      </c>
      <c r="O67" s="583"/>
    </row>
    <row r="68" spans="2:16" x14ac:dyDescent="0.2">
      <c r="B68" s="584" t="s">
        <v>355</v>
      </c>
      <c r="C68" s="584" t="s">
        <v>356</v>
      </c>
      <c r="D68" s="584"/>
      <c r="E68" s="584"/>
      <c r="F68" s="584" t="s">
        <v>361</v>
      </c>
      <c r="G68" s="584">
        <v>30</v>
      </c>
      <c r="H68" s="584">
        <v>31</v>
      </c>
      <c r="I68" s="584">
        <v>32</v>
      </c>
      <c r="J68" s="584">
        <v>33</v>
      </c>
      <c r="K68" s="584">
        <v>34</v>
      </c>
      <c r="L68" s="584">
        <v>35</v>
      </c>
      <c r="M68" s="584">
        <v>36</v>
      </c>
      <c r="N68" s="584">
        <v>39</v>
      </c>
      <c r="O68" s="584" t="s">
        <v>357</v>
      </c>
    </row>
    <row r="69" spans="2:16" x14ac:dyDescent="0.2">
      <c r="D69" s="608"/>
      <c r="E69" s="608"/>
      <c r="G69" s="585"/>
      <c r="H69" s="585"/>
      <c r="I69" s="585"/>
      <c r="J69" s="585"/>
      <c r="K69" s="585"/>
      <c r="L69" s="585"/>
      <c r="M69" s="585"/>
      <c r="N69" s="585"/>
    </row>
    <row r="70" spans="2:16" x14ac:dyDescent="0.2">
      <c r="C70" s="588" t="s">
        <v>376</v>
      </c>
      <c r="D70" s="711"/>
      <c r="E70" s="711"/>
    </row>
    <row r="71" spans="2:16" x14ac:dyDescent="0.2">
      <c r="B71" t="str">
        <f t="shared" ref="B71:C74" si="13">B42</f>
        <v>FCOC 1</v>
      </c>
      <c r="C71" t="str">
        <f t="shared" si="13"/>
        <v>French Camp Road Crossing</v>
      </c>
      <c r="D71" s="713">
        <f>'Future Improve'!C8</f>
        <v>1500000</v>
      </c>
      <c r="E71" s="717">
        <f>D71*0.5</f>
        <v>750000</v>
      </c>
      <c r="F71" s="595">
        <f>D71-E71</f>
        <v>750000</v>
      </c>
      <c r="G71" s="593">
        <f t="shared" ref="G71:N77" si="14">IF(G42&gt;0,$F71*G42,"")</f>
        <v>208983.99563019662</v>
      </c>
      <c r="H71" s="593">
        <f t="shared" si="14"/>
        <v>48645.882987276069</v>
      </c>
      <c r="I71" s="593">
        <f t="shared" si="14"/>
        <v>80011.112858661756</v>
      </c>
      <c r="J71" s="593">
        <f t="shared" si="14"/>
        <v>36993.827696291693</v>
      </c>
      <c r="K71" s="593">
        <f t="shared" si="14"/>
        <v>36919.205235785616</v>
      </c>
      <c r="L71" s="593">
        <f t="shared" si="14"/>
        <v>62858.865719655121</v>
      </c>
      <c r="M71" s="593">
        <f t="shared" si="14"/>
        <v>275587.10987213301</v>
      </c>
      <c r="N71" s="593" t="str">
        <f t="shared" si="14"/>
        <v/>
      </c>
      <c r="O71" s="593">
        <f t="shared" ref="O71:O77" si="15">SUM(G71:N71)</f>
        <v>749999.99999999988</v>
      </c>
      <c r="P71" s="600" t="s">
        <v>362</v>
      </c>
    </row>
    <row r="72" spans="2:16" x14ac:dyDescent="0.2">
      <c r="B72" t="str">
        <f t="shared" si="13"/>
        <v>FCOC 2</v>
      </c>
      <c r="C72" t="str">
        <f t="shared" si="13"/>
        <v>Roth Road Crossing</v>
      </c>
      <c r="D72" s="713">
        <f>'Future Improve'!C9</f>
        <v>1000000</v>
      </c>
      <c r="E72" s="717">
        <f t="shared" ref="E72:E75" si="16">D72*0.5</f>
        <v>500000</v>
      </c>
      <c r="F72" s="595">
        <f t="shared" ref="F72:F77" si="17">D72-E72</f>
        <v>500000</v>
      </c>
      <c r="G72" s="593" t="str">
        <f t="shared" si="14"/>
        <v/>
      </c>
      <c r="H72" s="593">
        <f t="shared" si="14"/>
        <v>44957.896434081202</v>
      </c>
      <c r="I72" s="593">
        <f t="shared" si="14"/>
        <v>73945.236566394989</v>
      </c>
      <c r="J72" s="593">
        <f t="shared" si="14"/>
        <v>34189.217506960413</v>
      </c>
      <c r="K72" s="593">
        <f t="shared" si="14"/>
        <v>34120.252393263821</v>
      </c>
      <c r="L72" s="593">
        <f t="shared" si="14"/>
        <v>58093.351409146962</v>
      </c>
      <c r="M72" s="593">
        <f t="shared" si="14"/>
        <v>254694.04569015271</v>
      </c>
      <c r="N72" s="593" t="str">
        <f t="shared" si="14"/>
        <v/>
      </c>
      <c r="O72" s="593">
        <f t="shared" si="15"/>
        <v>500000.00000000012</v>
      </c>
      <c r="P72" s="600" t="s">
        <v>362</v>
      </c>
    </row>
    <row r="73" spans="2:16" x14ac:dyDescent="0.2">
      <c r="B73" t="str">
        <f t="shared" si="13"/>
        <v>FCOC 3</v>
      </c>
      <c r="C73" t="str">
        <f t="shared" si="13"/>
        <v>Union Pacific Railroad Crossing</v>
      </c>
      <c r="D73" s="713">
        <f>'Future Improve'!C10</f>
        <v>850000</v>
      </c>
      <c r="E73" s="717">
        <f t="shared" si="16"/>
        <v>425000</v>
      </c>
      <c r="F73" s="595">
        <f t="shared" si="17"/>
        <v>425000</v>
      </c>
      <c r="G73" s="593" t="str">
        <f t="shared" si="14"/>
        <v/>
      </c>
      <c r="H73" s="593" t="str">
        <f t="shared" si="14"/>
        <v/>
      </c>
      <c r="I73" s="593" t="str">
        <f t="shared" si="14"/>
        <v/>
      </c>
      <c r="J73" s="593">
        <f t="shared" si="14"/>
        <v>38127.884794383077</v>
      </c>
      <c r="K73" s="593">
        <f t="shared" si="14"/>
        <v>38050.974759535988</v>
      </c>
      <c r="L73" s="593">
        <f t="shared" si="14"/>
        <v>64785.823466027876</v>
      </c>
      <c r="M73" s="593">
        <f t="shared" si="14"/>
        <v>284035.31698005309</v>
      </c>
      <c r="N73" s="593" t="str">
        <f t="shared" si="14"/>
        <v/>
      </c>
      <c r="O73" s="593">
        <f t="shared" si="15"/>
        <v>425000</v>
      </c>
      <c r="P73" s="600" t="s">
        <v>362</v>
      </c>
    </row>
    <row r="74" spans="2:16" x14ac:dyDescent="0.2">
      <c r="B74" t="str">
        <f t="shared" si="13"/>
        <v>FCOC 4</v>
      </c>
      <c r="C74" t="str">
        <f t="shared" si="13"/>
        <v>Farm Road Crossing (4'x8' Box Culvert)</v>
      </c>
      <c r="D74" s="713">
        <f>'Future Improve'!C11</f>
        <v>450000</v>
      </c>
      <c r="E74" s="717">
        <f t="shared" si="16"/>
        <v>225000</v>
      </c>
      <c r="F74" s="595">
        <f t="shared" si="17"/>
        <v>225000</v>
      </c>
      <c r="G74" s="593" t="str">
        <f t="shared" si="14"/>
        <v/>
      </c>
      <c r="H74" s="593" t="str">
        <f t="shared" si="14"/>
        <v/>
      </c>
      <c r="I74" s="593" t="str">
        <f t="shared" si="14"/>
        <v/>
      </c>
      <c r="J74" s="593" t="str">
        <f t="shared" si="14"/>
        <v/>
      </c>
      <c r="K74" s="593" t="str">
        <f t="shared" si="14"/>
        <v/>
      </c>
      <c r="L74" s="593">
        <f t="shared" si="14"/>
        <v>41788.781096280727</v>
      </c>
      <c r="M74" s="593">
        <f t="shared" si="14"/>
        <v>183211.21890371927</v>
      </c>
      <c r="N74" s="593" t="str">
        <f t="shared" si="14"/>
        <v/>
      </c>
      <c r="O74" s="593">
        <f t="shared" si="15"/>
        <v>225000</v>
      </c>
      <c r="P74" s="600" t="s">
        <v>362</v>
      </c>
    </row>
    <row r="75" spans="2:16" x14ac:dyDescent="0.2">
      <c r="B75" t="s">
        <v>333</v>
      </c>
      <c r="C75" t="s">
        <v>336</v>
      </c>
      <c r="D75" s="713">
        <f>'Future Improve'!C12</f>
        <v>600000</v>
      </c>
      <c r="E75" s="717">
        <f t="shared" si="16"/>
        <v>300000</v>
      </c>
      <c r="F75" s="595">
        <f t="shared" si="17"/>
        <v>300000</v>
      </c>
      <c r="G75" s="593" t="str">
        <f t="shared" si="14"/>
        <v/>
      </c>
      <c r="H75" s="593">
        <f t="shared" si="14"/>
        <v>300000</v>
      </c>
      <c r="I75" s="593" t="str">
        <f t="shared" si="14"/>
        <v/>
      </c>
      <c r="J75" s="593" t="str">
        <f t="shared" si="14"/>
        <v/>
      </c>
      <c r="K75" s="593" t="str">
        <f t="shared" si="14"/>
        <v/>
      </c>
      <c r="L75" s="593" t="str">
        <f t="shared" si="14"/>
        <v/>
      </c>
      <c r="M75" s="593" t="str">
        <f t="shared" si="14"/>
        <v/>
      </c>
      <c r="N75" s="593" t="str">
        <f t="shared" si="14"/>
        <v/>
      </c>
      <c r="O75" s="593">
        <f t="shared" ref="O75" si="18">SUM(G75:N75)</f>
        <v>300000</v>
      </c>
      <c r="P75" s="600" t="s">
        <v>362</v>
      </c>
    </row>
    <row r="76" spans="2:16" x14ac:dyDescent="0.2">
      <c r="B76" t="str">
        <f>B47</f>
        <v>Drain 3</v>
      </c>
      <c r="C76" t="str">
        <f>C47</f>
        <v>Monterey Place Improvement</v>
      </c>
      <c r="D76" s="713">
        <f>'Future Improve'!C13</f>
        <v>400000</v>
      </c>
      <c r="E76" s="713">
        <v>0</v>
      </c>
      <c r="F76" s="595">
        <f t="shared" si="17"/>
        <v>400000</v>
      </c>
      <c r="G76" s="593" t="str">
        <f t="shared" si="14"/>
        <v/>
      </c>
      <c r="H76" s="593" t="str">
        <f t="shared" si="14"/>
        <v/>
      </c>
      <c r="I76" s="593">
        <f t="shared" si="14"/>
        <v>400000</v>
      </c>
      <c r="J76" s="593" t="str">
        <f t="shared" si="14"/>
        <v/>
      </c>
      <c r="K76" s="593" t="str">
        <f t="shared" si="14"/>
        <v/>
      </c>
      <c r="L76" s="593" t="str">
        <f t="shared" si="14"/>
        <v/>
      </c>
      <c r="M76" s="593" t="str">
        <f t="shared" si="14"/>
        <v/>
      </c>
      <c r="N76" s="593" t="str">
        <f t="shared" si="14"/>
        <v/>
      </c>
      <c r="O76" s="593">
        <f t="shared" si="15"/>
        <v>400000</v>
      </c>
      <c r="P76" s="600" t="s">
        <v>362</v>
      </c>
    </row>
    <row r="77" spans="2:16" x14ac:dyDescent="0.2">
      <c r="B77" t="str">
        <f>B48</f>
        <v>Drain 5</v>
      </c>
      <c r="C77" t="str">
        <f>C48</f>
        <v>Interceptor, Upstream of Golf Course</v>
      </c>
      <c r="D77" s="715">
        <f>'Future Improve'!C14</f>
        <v>700000</v>
      </c>
      <c r="E77" s="715">
        <v>0</v>
      </c>
      <c r="F77" s="594">
        <f t="shared" si="17"/>
        <v>700000</v>
      </c>
      <c r="G77" s="594" t="str">
        <f t="shared" si="14"/>
        <v/>
      </c>
      <c r="H77" s="594" t="str">
        <f t="shared" si="14"/>
        <v/>
      </c>
      <c r="I77" s="594" t="str">
        <f t="shared" si="14"/>
        <v/>
      </c>
      <c r="J77" s="594" t="str">
        <f t="shared" si="14"/>
        <v/>
      </c>
      <c r="K77" s="594">
        <f t="shared" si="14"/>
        <v>700000</v>
      </c>
      <c r="L77" s="594" t="str">
        <f t="shared" si="14"/>
        <v/>
      </c>
      <c r="M77" s="594" t="str">
        <f t="shared" si="14"/>
        <v/>
      </c>
      <c r="N77" s="594" t="str">
        <f t="shared" si="14"/>
        <v/>
      </c>
      <c r="O77" s="594">
        <f t="shared" si="15"/>
        <v>700000</v>
      </c>
      <c r="P77" s="600" t="s">
        <v>362</v>
      </c>
    </row>
    <row r="78" spans="2:16" x14ac:dyDescent="0.2">
      <c r="D78" s="713">
        <f t="shared" ref="D78:E78" si="19">SUM(D71:D77)</f>
        <v>5500000</v>
      </c>
      <c r="E78" s="713">
        <f t="shared" si="19"/>
        <v>2200000</v>
      </c>
      <c r="F78" s="593">
        <f>SUM(F71:F77)</f>
        <v>3300000</v>
      </c>
      <c r="G78" s="593">
        <f t="shared" ref="G78:O78" si="20">SUM(G71:G77)</f>
        <v>208983.99563019662</v>
      </c>
      <c r="H78" s="593">
        <f t="shared" si="20"/>
        <v>393603.77942135726</v>
      </c>
      <c r="I78" s="593">
        <f t="shared" si="20"/>
        <v>553956.34942505672</v>
      </c>
      <c r="J78" s="593">
        <f t="shared" si="20"/>
        <v>109310.92999763519</v>
      </c>
      <c r="K78" s="593">
        <f t="shared" si="20"/>
        <v>809090.43238858541</v>
      </c>
      <c r="L78" s="593">
        <f t="shared" si="20"/>
        <v>227526.8216911107</v>
      </c>
      <c r="M78" s="593">
        <f t="shared" si="20"/>
        <v>997527.69144605799</v>
      </c>
      <c r="N78" s="593">
        <f t="shared" si="20"/>
        <v>0</v>
      </c>
      <c r="O78" s="593">
        <f t="shared" si="20"/>
        <v>3300000</v>
      </c>
      <c r="P78" s="600"/>
    </row>
    <row r="79" spans="2:16" x14ac:dyDescent="0.2">
      <c r="D79" s="608"/>
      <c r="E79" s="608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600"/>
    </row>
    <row r="80" spans="2:16" x14ac:dyDescent="0.2">
      <c r="C80" s="588" t="s">
        <v>363</v>
      </c>
      <c r="D80" s="711"/>
      <c r="E80" s="711"/>
      <c r="F80" s="593"/>
      <c r="G80" s="593"/>
      <c r="H80" s="593"/>
      <c r="I80" s="593"/>
      <c r="J80" s="593"/>
      <c r="K80" s="593"/>
      <c r="L80" s="593"/>
      <c r="M80" s="593"/>
      <c r="N80" s="593"/>
      <c r="O80" s="593"/>
    </row>
    <row r="81" spans="2:16" x14ac:dyDescent="0.2">
      <c r="B81" t="str">
        <f>B49</f>
        <v>South PS</v>
      </c>
      <c r="C81" t="str">
        <f>C49</f>
        <v>South Drain Pump Station</v>
      </c>
      <c r="D81" s="595">
        <f>'Future Improve'!C15</f>
        <v>1250000</v>
      </c>
      <c r="E81" s="713">
        <v>0</v>
      </c>
      <c r="F81" s="595">
        <f>'Future Improve'!D15</f>
        <v>1250000</v>
      </c>
      <c r="G81" s="593" t="str">
        <f t="shared" ref="G81:N82" si="21">IF(G49&gt;0,$F81*G49,"")</f>
        <v/>
      </c>
      <c r="H81" s="593" t="str">
        <f t="shared" si="21"/>
        <v/>
      </c>
      <c r="I81" s="593" t="str">
        <f t="shared" si="21"/>
        <v/>
      </c>
      <c r="J81" s="593" t="str">
        <f t="shared" si="21"/>
        <v/>
      </c>
      <c r="K81" s="593" t="str">
        <f t="shared" si="21"/>
        <v/>
      </c>
      <c r="L81" s="593" t="str">
        <f t="shared" si="21"/>
        <v/>
      </c>
      <c r="M81" s="593">
        <f t="shared" si="21"/>
        <v>1250000</v>
      </c>
      <c r="N81" s="593" t="str">
        <f t="shared" si="21"/>
        <v/>
      </c>
      <c r="O81" s="593">
        <f>SUM(G81:N81)</f>
        <v>1250000</v>
      </c>
      <c r="P81" s="600" t="s">
        <v>364</v>
      </c>
    </row>
    <row r="82" spans="2:16" x14ac:dyDescent="0.2">
      <c r="B82" t="str">
        <f>B50</f>
        <v>Austin PS</v>
      </c>
      <c r="C82" t="str">
        <f>C50</f>
        <v>Austin Road Pump Station (to Lat Y)</v>
      </c>
      <c r="D82" s="594">
        <f>'Future Improve'!C16</f>
        <v>500000</v>
      </c>
      <c r="E82" s="715">
        <v>0</v>
      </c>
      <c r="F82" s="594">
        <f>'Future Improve'!D16</f>
        <v>500000</v>
      </c>
      <c r="G82" s="594" t="str">
        <f t="shared" si="21"/>
        <v/>
      </c>
      <c r="H82" s="594" t="str">
        <f t="shared" si="21"/>
        <v/>
      </c>
      <c r="I82" s="594" t="str">
        <f t="shared" si="21"/>
        <v/>
      </c>
      <c r="J82" s="594" t="str">
        <f t="shared" si="21"/>
        <v/>
      </c>
      <c r="K82" s="594" t="str">
        <f t="shared" si="21"/>
        <v/>
      </c>
      <c r="L82" s="594" t="str">
        <f t="shared" si="21"/>
        <v/>
      </c>
      <c r="M82" s="594">
        <f t="shared" si="21"/>
        <v>500000</v>
      </c>
      <c r="N82" s="594" t="str">
        <f t="shared" si="21"/>
        <v/>
      </c>
      <c r="O82" s="594">
        <f>SUM(G82:N82)</f>
        <v>500000</v>
      </c>
      <c r="P82" s="600" t="s">
        <v>364</v>
      </c>
    </row>
    <row r="83" spans="2:16" x14ac:dyDescent="0.2">
      <c r="C83" t="s">
        <v>365</v>
      </c>
      <c r="D83" s="713">
        <f>SUM(D80:D82)</f>
        <v>1750000</v>
      </c>
      <c r="E83" s="713">
        <f>SUM(E80:E82)</f>
        <v>0</v>
      </c>
      <c r="F83" s="593">
        <f>SUM(F80:F82)</f>
        <v>1750000</v>
      </c>
      <c r="G83" s="593">
        <f t="shared" ref="G83:O83" si="22">SUM(G80:G82)</f>
        <v>0</v>
      </c>
      <c r="H83" s="593">
        <f t="shared" si="22"/>
        <v>0</v>
      </c>
      <c r="I83" s="593">
        <f t="shared" si="22"/>
        <v>0</v>
      </c>
      <c r="J83" s="593">
        <f t="shared" si="22"/>
        <v>0</v>
      </c>
      <c r="K83" s="593">
        <f t="shared" si="22"/>
        <v>0</v>
      </c>
      <c r="L83" s="593">
        <f t="shared" si="22"/>
        <v>0</v>
      </c>
      <c r="M83" s="593">
        <f t="shared" si="22"/>
        <v>1750000</v>
      </c>
      <c r="N83" s="593">
        <f t="shared" si="22"/>
        <v>0</v>
      </c>
      <c r="O83" s="593">
        <f t="shared" si="22"/>
        <v>1750000</v>
      </c>
    </row>
    <row r="84" spans="2:16" x14ac:dyDescent="0.2">
      <c r="D84" s="608"/>
      <c r="E84" s="608"/>
      <c r="F84" s="593"/>
      <c r="G84" s="593"/>
      <c r="H84" s="593"/>
      <c r="I84" s="593"/>
      <c r="J84" s="593"/>
      <c r="K84" s="593"/>
      <c r="L84" s="593"/>
      <c r="M84" s="593"/>
      <c r="N84" s="593"/>
      <c r="O84" s="593"/>
    </row>
    <row r="85" spans="2:16" x14ac:dyDescent="0.2">
      <c r="C85" s="588" t="s">
        <v>366</v>
      </c>
      <c r="D85" s="711"/>
      <c r="E85" s="711"/>
      <c r="F85" s="593"/>
      <c r="G85" s="593"/>
      <c r="H85" s="593"/>
      <c r="I85" s="593"/>
      <c r="J85" s="593"/>
      <c r="K85" s="593"/>
      <c r="L85" s="593"/>
      <c r="M85" s="593"/>
      <c r="N85" s="593"/>
      <c r="O85" s="593"/>
    </row>
    <row r="86" spans="2:16" x14ac:dyDescent="0.2">
      <c r="B86" t="str">
        <f t="shared" ref="B86:C92" si="23">B51</f>
        <v>Force Main</v>
      </c>
      <c r="C86" t="str">
        <f t="shared" si="23"/>
        <v>48" Force Main (1,400')</v>
      </c>
      <c r="D86" s="595">
        <f>'Future Improve'!C17</f>
        <v>408000</v>
      </c>
      <c r="E86" s="713">
        <v>0</v>
      </c>
      <c r="F86" s="595">
        <f>'Future Improve'!D17</f>
        <v>408000</v>
      </c>
      <c r="G86" s="593" t="str">
        <f t="shared" ref="G86:N92" si="24">IF(G51&gt;0,$F86*G51,"")</f>
        <v/>
      </c>
      <c r="H86" s="593" t="str">
        <f t="shared" si="24"/>
        <v/>
      </c>
      <c r="I86" s="593" t="str">
        <f t="shared" si="24"/>
        <v/>
      </c>
      <c r="J86" s="593" t="str">
        <f t="shared" si="24"/>
        <v/>
      </c>
      <c r="K86" s="593" t="str">
        <f t="shared" si="24"/>
        <v/>
      </c>
      <c r="L86" s="593" t="str">
        <f t="shared" si="24"/>
        <v/>
      </c>
      <c r="M86" s="593">
        <f t="shared" si="24"/>
        <v>408000</v>
      </c>
      <c r="N86" s="593" t="str">
        <f t="shared" si="24"/>
        <v/>
      </c>
      <c r="O86" s="593">
        <f t="shared" ref="O86:O92" si="25">SUM(G86:N86)</f>
        <v>408000</v>
      </c>
      <c r="P86" s="600" t="s">
        <v>362</v>
      </c>
    </row>
    <row r="87" spans="2:16" x14ac:dyDescent="0.2">
      <c r="B87" t="str">
        <f t="shared" si="23"/>
        <v>66" RCP1</v>
      </c>
      <c r="C87" t="str">
        <f t="shared" si="23"/>
        <v>Bella Vista to South Pump Station</v>
      </c>
      <c r="D87" s="595">
        <f>'Future Improve'!C18</f>
        <v>724500</v>
      </c>
      <c r="E87" s="713">
        <v>0</v>
      </c>
      <c r="F87" s="595">
        <f>'Future Improve'!D18</f>
        <v>724500</v>
      </c>
      <c r="G87" s="593" t="str">
        <f t="shared" si="24"/>
        <v/>
      </c>
      <c r="H87" s="593" t="str">
        <f t="shared" si="24"/>
        <v/>
      </c>
      <c r="I87" s="593" t="str">
        <f t="shared" si="24"/>
        <v/>
      </c>
      <c r="J87" s="593" t="str">
        <f t="shared" si="24"/>
        <v/>
      </c>
      <c r="K87" s="593" t="str">
        <f t="shared" si="24"/>
        <v/>
      </c>
      <c r="L87" s="593" t="str">
        <f t="shared" si="24"/>
        <v/>
      </c>
      <c r="M87" s="593">
        <f t="shared" si="24"/>
        <v>724500</v>
      </c>
      <c r="N87" s="593" t="str">
        <f t="shared" si="24"/>
        <v/>
      </c>
      <c r="O87" s="593">
        <f t="shared" si="25"/>
        <v>724500</v>
      </c>
      <c r="P87" s="600" t="s">
        <v>362</v>
      </c>
    </row>
    <row r="88" spans="2:16" x14ac:dyDescent="0.2">
      <c r="B88" t="str">
        <f t="shared" si="23"/>
        <v>Lat Ya</v>
      </c>
      <c r="C88" t="str">
        <f t="shared" si="23"/>
        <v>Dual-Use Drain at Woodward (60" RCP)</v>
      </c>
      <c r="D88" s="595">
        <f>'Future Improve'!C19</f>
        <v>0</v>
      </c>
      <c r="E88" s="713">
        <v>0</v>
      </c>
      <c r="F88" s="595">
        <f>'Future Improve'!D19</f>
        <v>0</v>
      </c>
      <c r="G88" s="593" t="str">
        <f t="shared" si="24"/>
        <v/>
      </c>
      <c r="H88" s="593" t="str">
        <f t="shared" si="24"/>
        <v/>
      </c>
      <c r="I88" s="593" t="str">
        <f t="shared" si="24"/>
        <v/>
      </c>
      <c r="J88" s="593" t="str">
        <f t="shared" si="24"/>
        <v/>
      </c>
      <c r="K88" s="593" t="str">
        <f t="shared" si="24"/>
        <v/>
      </c>
      <c r="L88" s="593" t="str">
        <f t="shared" si="24"/>
        <v/>
      </c>
      <c r="M88" s="593">
        <f t="shared" si="24"/>
        <v>0</v>
      </c>
      <c r="N88" s="593" t="str">
        <f t="shared" si="24"/>
        <v/>
      </c>
      <c r="O88" s="593">
        <f t="shared" si="25"/>
        <v>0</v>
      </c>
      <c r="P88" s="600" t="s">
        <v>362</v>
      </c>
    </row>
    <row r="89" spans="2:16" x14ac:dyDescent="0.2">
      <c r="B89" t="str">
        <f t="shared" si="23"/>
        <v>66" RCP2</v>
      </c>
      <c r="C89" t="str">
        <f t="shared" si="23"/>
        <v>Woodward - Union to Main St</v>
      </c>
      <c r="D89" s="595">
        <f>'Future Improve'!C20</f>
        <v>1459773.6746070276</v>
      </c>
      <c r="E89" s="713">
        <v>0</v>
      </c>
      <c r="F89" s="595">
        <f>'Future Improve'!D20</f>
        <v>1459773.6746070276</v>
      </c>
      <c r="G89" s="593" t="str">
        <f t="shared" si="24"/>
        <v/>
      </c>
      <c r="H89" s="593" t="str">
        <f t="shared" si="24"/>
        <v/>
      </c>
      <c r="I89" s="593" t="str">
        <f t="shared" si="24"/>
        <v/>
      </c>
      <c r="J89" s="593" t="str">
        <f t="shared" si="24"/>
        <v/>
      </c>
      <c r="K89" s="593" t="str">
        <f t="shared" si="24"/>
        <v/>
      </c>
      <c r="L89" s="593" t="str">
        <f t="shared" si="24"/>
        <v/>
      </c>
      <c r="M89" s="593">
        <f t="shared" si="24"/>
        <v>1459773.6746070276</v>
      </c>
      <c r="N89" s="593" t="str">
        <f t="shared" si="24"/>
        <v/>
      </c>
      <c r="O89" s="593">
        <f t="shared" si="25"/>
        <v>1459773.6746070276</v>
      </c>
      <c r="P89" s="600" t="s">
        <v>362</v>
      </c>
    </row>
    <row r="90" spans="2:16" x14ac:dyDescent="0.2">
      <c r="B90" t="str">
        <f t="shared" si="23"/>
        <v>42" RCP</v>
      </c>
      <c r="C90" t="str">
        <f t="shared" si="23"/>
        <v>Lat Tbb to Austin Rd End</v>
      </c>
      <c r="D90" s="595">
        <f>'Future Improve'!C21</f>
        <v>1160000</v>
      </c>
      <c r="E90" s="713">
        <v>0</v>
      </c>
      <c r="F90" s="595">
        <f>'Future Improve'!D21</f>
        <v>1160000</v>
      </c>
      <c r="G90" s="593" t="str">
        <f t="shared" si="24"/>
        <v/>
      </c>
      <c r="H90" s="593" t="str">
        <f t="shared" si="24"/>
        <v/>
      </c>
      <c r="I90" s="593" t="str">
        <f t="shared" si="24"/>
        <v/>
      </c>
      <c r="J90" s="593" t="str">
        <f t="shared" si="24"/>
        <v/>
      </c>
      <c r="K90" s="593" t="str">
        <f t="shared" si="24"/>
        <v/>
      </c>
      <c r="L90" s="593" t="str">
        <f t="shared" si="24"/>
        <v/>
      </c>
      <c r="M90" s="593">
        <f t="shared" si="24"/>
        <v>1160000</v>
      </c>
      <c r="N90" s="593" t="str">
        <f t="shared" si="24"/>
        <v/>
      </c>
      <c r="O90" s="593">
        <f t="shared" si="25"/>
        <v>1160000</v>
      </c>
      <c r="P90" s="600" t="s">
        <v>362</v>
      </c>
    </row>
    <row r="91" spans="2:16" x14ac:dyDescent="0.2">
      <c r="B91" t="str">
        <f t="shared" si="23"/>
        <v>Jux Box</v>
      </c>
      <c r="C91" t="str">
        <f t="shared" si="23"/>
        <v>Two Junction Boxes at Woodward-Ya</v>
      </c>
      <c r="D91" s="595">
        <f>'Future Improve'!C22</f>
        <v>150000</v>
      </c>
      <c r="E91" s="713">
        <v>0</v>
      </c>
      <c r="F91" s="595">
        <f>'Future Improve'!D22</f>
        <v>150000</v>
      </c>
      <c r="G91" s="593" t="str">
        <f t="shared" si="24"/>
        <v/>
      </c>
      <c r="H91" s="593" t="str">
        <f t="shared" si="24"/>
        <v/>
      </c>
      <c r="I91" s="593" t="str">
        <f t="shared" si="24"/>
        <v/>
      </c>
      <c r="J91" s="593" t="str">
        <f t="shared" si="24"/>
        <v/>
      </c>
      <c r="K91" s="593" t="str">
        <f t="shared" si="24"/>
        <v/>
      </c>
      <c r="L91" s="593" t="str">
        <f t="shared" si="24"/>
        <v/>
      </c>
      <c r="M91" s="593">
        <f t="shared" si="24"/>
        <v>150000</v>
      </c>
      <c r="N91" s="593" t="str">
        <f t="shared" si="24"/>
        <v/>
      </c>
      <c r="O91" s="593">
        <f t="shared" ref="O91" si="26">SUM(G91:N91)</f>
        <v>150000</v>
      </c>
      <c r="P91" s="600" t="s">
        <v>362</v>
      </c>
    </row>
    <row r="92" spans="2:16" x14ac:dyDescent="0.2">
      <c r="B92" t="str">
        <f t="shared" si="23"/>
        <v>Lat X</v>
      </c>
      <c r="C92" t="str">
        <f t="shared" si="23"/>
        <v>Connect Woodward to Lateral X</v>
      </c>
      <c r="D92" s="594">
        <f>'Future Improve'!C23</f>
        <v>825000</v>
      </c>
      <c r="E92" s="715">
        <f>D92*0.5</f>
        <v>412500</v>
      </c>
      <c r="F92" s="594">
        <f>D92-E92</f>
        <v>412500</v>
      </c>
      <c r="G92" s="594" t="str">
        <f t="shared" si="24"/>
        <v/>
      </c>
      <c r="H92" s="594" t="str">
        <f t="shared" si="24"/>
        <v/>
      </c>
      <c r="I92" s="594" t="str">
        <f t="shared" si="24"/>
        <v/>
      </c>
      <c r="J92" s="594" t="str">
        <f t="shared" si="24"/>
        <v/>
      </c>
      <c r="K92" s="594" t="str">
        <f t="shared" si="24"/>
        <v/>
      </c>
      <c r="L92" s="594" t="str">
        <f t="shared" si="24"/>
        <v/>
      </c>
      <c r="M92" s="594">
        <f t="shared" si="24"/>
        <v>412500</v>
      </c>
      <c r="N92" s="594" t="str">
        <f t="shared" si="24"/>
        <v/>
      </c>
      <c r="O92" s="594">
        <f t="shared" si="25"/>
        <v>412500</v>
      </c>
      <c r="P92" s="600" t="s">
        <v>362</v>
      </c>
    </row>
    <row r="93" spans="2:16" x14ac:dyDescent="0.2">
      <c r="C93" t="s">
        <v>367</v>
      </c>
      <c r="D93" s="714">
        <f>SUM(D85:D92)</f>
        <v>4727273.6746070273</v>
      </c>
      <c r="E93" s="714">
        <f>SUM(E85:E92)</f>
        <v>412500</v>
      </c>
      <c r="F93" s="595">
        <f>SUM(F85:F92)</f>
        <v>4314773.6746070273</v>
      </c>
      <c r="G93" s="595">
        <f t="shared" ref="G93:O93" si="27">SUM(G85:G92)</f>
        <v>0</v>
      </c>
      <c r="H93" s="595">
        <f t="shared" si="27"/>
        <v>0</v>
      </c>
      <c r="I93" s="595">
        <f t="shared" si="27"/>
        <v>0</v>
      </c>
      <c r="J93" s="595">
        <f t="shared" si="27"/>
        <v>0</v>
      </c>
      <c r="K93" s="595">
        <f t="shared" si="27"/>
        <v>0</v>
      </c>
      <c r="L93" s="595">
        <f t="shared" si="27"/>
        <v>0</v>
      </c>
      <c r="M93" s="595">
        <f t="shared" si="27"/>
        <v>4314773.6746070273</v>
      </c>
      <c r="N93" s="595">
        <f t="shared" si="27"/>
        <v>0</v>
      </c>
      <c r="O93" s="595">
        <f t="shared" si="27"/>
        <v>4314773.6746070273</v>
      </c>
    </row>
    <row r="94" spans="2:16" x14ac:dyDescent="0.2">
      <c r="D94" s="608"/>
      <c r="E94" s="608"/>
      <c r="F94" s="593"/>
      <c r="G94" s="595"/>
      <c r="H94" s="595"/>
      <c r="I94" s="595"/>
      <c r="J94" s="595"/>
      <c r="K94" s="595"/>
      <c r="L94" s="595"/>
      <c r="M94" s="595"/>
      <c r="N94" s="595"/>
      <c r="O94" s="595"/>
    </row>
    <row r="95" spans="2:16" x14ac:dyDescent="0.2">
      <c r="C95" s="588" t="s">
        <v>371</v>
      </c>
      <c r="D95" s="711"/>
      <c r="E95" s="711"/>
      <c r="O95" s="593"/>
    </row>
    <row r="96" spans="2:16" x14ac:dyDescent="0.2">
      <c r="B96" t="s">
        <v>278</v>
      </c>
      <c r="C96" t="s">
        <v>372</v>
      </c>
      <c r="D96" s="713">
        <f>'Levee &amp; Monitor'!E28</f>
        <v>800000</v>
      </c>
      <c r="E96" s="713">
        <v>0</v>
      </c>
      <c r="F96" s="593">
        <f>O96</f>
        <v>800000</v>
      </c>
      <c r="G96" s="593">
        <f>'Levee &amp; Monitor'!E17</f>
        <v>80000</v>
      </c>
      <c r="H96" s="597">
        <f>'Levee &amp; Monitor'!E18</f>
        <v>80000</v>
      </c>
      <c r="I96" s="593">
        <f>'Levee &amp; Monitor'!E19+'Levee &amp; Monitor'!E20</f>
        <v>120000</v>
      </c>
      <c r="J96" s="593">
        <f>'Levee &amp; Monitor'!E21</f>
        <v>80000</v>
      </c>
      <c r="K96" s="593">
        <f>'Levee &amp; Monitor'!E22</f>
        <v>80000</v>
      </c>
      <c r="L96" s="593">
        <f>'Levee &amp; Monitor'!E23+'Levee &amp; Monitor'!E25+'Levee &amp; Monitor'!E26</f>
        <v>160000</v>
      </c>
      <c r="M96" s="593">
        <f>'Levee &amp; Monitor'!E24</f>
        <v>160000</v>
      </c>
      <c r="N96" s="593">
        <f>'Levee &amp; Monitor'!E27</f>
        <v>40000</v>
      </c>
      <c r="O96" s="593">
        <f>SUM(G96:N96)</f>
        <v>800000</v>
      </c>
      <c r="P96" s="600" t="s">
        <v>373</v>
      </c>
    </row>
    <row r="97" spans="2:16" x14ac:dyDescent="0.2">
      <c r="D97" s="608"/>
      <c r="E97" s="608"/>
      <c r="F97" s="593"/>
      <c r="G97" s="595"/>
      <c r="H97" s="595"/>
      <c r="I97" s="595"/>
      <c r="J97" s="595"/>
      <c r="K97" s="595"/>
      <c r="L97" s="595"/>
      <c r="M97" s="595"/>
      <c r="N97" s="595"/>
      <c r="O97" s="595"/>
    </row>
    <row r="98" spans="2:16" x14ac:dyDescent="0.2">
      <c r="D98" s="712"/>
      <c r="E98" s="712"/>
      <c r="F98" s="590"/>
      <c r="G98" s="594"/>
      <c r="H98" s="594"/>
      <c r="I98" s="594"/>
      <c r="J98" s="594"/>
      <c r="K98" s="594"/>
      <c r="L98" s="594"/>
      <c r="M98" s="594"/>
      <c r="N98" s="594"/>
      <c r="O98" s="594"/>
    </row>
    <row r="99" spans="2:16" x14ac:dyDescent="0.2">
      <c r="D99" s="608"/>
      <c r="E99" s="608"/>
      <c r="G99" s="593"/>
      <c r="H99" s="593"/>
      <c r="I99" s="593"/>
      <c r="J99" s="593"/>
      <c r="K99" s="593"/>
      <c r="L99" s="593"/>
      <c r="M99" s="593"/>
      <c r="N99" s="593"/>
      <c r="O99" s="593"/>
    </row>
    <row r="100" spans="2:16" x14ac:dyDescent="0.2">
      <c r="B100" t="s">
        <v>377</v>
      </c>
      <c r="D100" s="596">
        <f>D78+D83+D93+D96</f>
        <v>12777273.674607027</v>
      </c>
      <c r="E100" s="596">
        <f>E78+E83+E93+E96</f>
        <v>2612500</v>
      </c>
      <c r="F100" s="596">
        <f>F78+F83+F93+F96</f>
        <v>10164773.674607027</v>
      </c>
      <c r="G100" s="596">
        <f t="shared" ref="G100:O100" si="28">G78+G83+G93+G96</f>
        <v>288983.99563019664</v>
      </c>
      <c r="H100" s="596">
        <f t="shared" si="28"/>
        <v>473603.77942135726</v>
      </c>
      <c r="I100" s="596">
        <f t="shared" si="28"/>
        <v>673956.34942505672</v>
      </c>
      <c r="J100" s="596">
        <f t="shared" si="28"/>
        <v>189310.92999763519</v>
      </c>
      <c r="K100" s="596">
        <f t="shared" si="28"/>
        <v>889090.43238858541</v>
      </c>
      <c r="L100" s="596">
        <f t="shared" si="28"/>
        <v>387526.82169111073</v>
      </c>
      <c r="M100" s="596">
        <f t="shared" si="28"/>
        <v>7222301.3660530858</v>
      </c>
      <c r="N100" s="596">
        <f t="shared" si="28"/>
        <v>40000</v>
      </c>
      <c r="O100" s="596">
        <f t="shared" si="28"/>
        <v>10164773.674607027</v>
      </c>
    </row>
    <row r="101" spans="2:16" x14ac:dyDescent="0.2">
      <c r="D101" s="608"/>
      <c r="E101" s="608"/>
      <c r="F101" s="597"/>
      <c r="M101" s="597"/>
    </row>
    <row r="102" spans="2:16" x14ac:dyDescent="0.2">
      <c r="D102" s="608"/>
      <c r="E102" s="608"/>
      <c r="M102" s="597"/>
    </row>
    <row r="103" spans="2:16" x14ac:dyDescent="0.2">
      <c r="C103" s="588" t="s">
        <v>113</v>
      </c>
      <c r="D103" s="711"/>
      <c r="E103" s="711"/>
      <c r="O103" s="593"/>
    </row>
    <row r="104" spans="2:16" x14ac:dyDescent="0.2">
      <c r="C104" t="s">
        <v>18</v>
      </c>
      <c r="D104" s="593">
        <f>Trails!G14</f>
        <v>1500000</v>
      </c>
      <c r="E104" s="713">
        <v>0</v>
      </c>
      <c r="F104" s="593">
        <f>Trails!G14</f>
        <v>1500000</v>
      </c>
      <c r="G104" s="593" t="str">
        <f t="shared" ref="G104:N104" si="29">IF(G60&gt;0,$F104*G60,"")</f>
        <v/>
      </c>
      <c r="H104" s="593" t="str">
        <f t="shared" si="29"/>
        <v/>
      </c>
      <c r="I104" s="593" t="str">
        <f t="shared" si="29"/>
        <v/>
      </c>
      <c r="J104" s="593" t="str">
        <f t="shared" si="29"/>
        <v/>
      </c>
      <c r="K104" s="593" t="str">
        <f t="shared" si="29"/>
        <v/>
      </c>
      <c r="L104" s="593" t="str">
        <f t="shared" si="29"/>
        <v/>
      </c>
      <c r="M104" s="593" t="str">
        <f t="shared" si="29"/>
        <v/>
      </c>
      <c r="N104" s="593">
        <f t="shared" si="29"/>
        <v>1500000</v>
      </c>
      <c r="O104" s="593">
        <f>SUM(G104:N104)</f>
        <v>1500000</v>
      </c>
      <c r="P104" s="600" t="s">
        <v>368</v>
      </c>
    </row>
    <row r="105" spans="2:16" x14ac:dyDescent="0.2">
      <c r="D105" s="712"/>
      <c r="E105" s="712"/>
      <c r="F105" s="590"/>
      <c r="G105" s="590"/>
      <c r="H105" s="590"/>
      <c r="I105" s="590"/>
      <c r="J105" s="590"/>
      <c r="K105" s="590"/>
      <c r="L105" s="590"/>
      <c r="M105" s="590"/>
      <c r="N105" s="590"/>
      <c r="O105" s="590"/>
    </row>
    <row r="106" spans="2:16" x14ac:dyDescent="0.2">
      <c r="D106" s="608"/>
      <c r="E106" s="608"/>
    </row>
    <row r="107" spans="2:16" x14ac:dyDescent="0.2">
      <c r="B107" t="s">
        <v>377</v>
      </c>
      <c r="D107" s="596">
        <f>SUM(D103:D105)</f>
        <v>1500000</v>
      </c>
      <c r="E107" s="596">
        <f>SUM(E103:E105)</f>
        <v>0</v>
      </c>
      <c r="F107" s="596">
        <f>SUM(F103:F105)</f>
        <v>1500000</v>
      </c>
      <c r="G107" s="596">
        <f t="shared" ref="G107:O107" si="30">SUM(G103:G105)</f>
        <v>0</v>
      </c>
      <c r="H107" s="596">
        <f t="shared" si="30"/>
        <v>0</v>
      </c>
      <c r="I107" s="596">
        <f t="shared" si="30"/>
        <v>0</v>
      </c>
      <c r="J107" s="596">
        <f t="shared" si="30"/>
        <v>0</v>
      </c>
      <c r="K107" s="596">
        <f t="shared" si="30"/>
        <v>0</v>
      </c>
      <c r="L107" s="596">
        <f t="shared" si="30"/>
        <v>0</v>
      </c>
      <c r="M107" s="596">
        <f t="shared" si="30"/>
        <v>0</v>
      </c>
      <c r="N107" s="596">
        <f t="shared" si="30"/>
        <v>1500000</v>
      </c>
      <c r="O107" s="596">
        <f t="shared" si="30"/>
        <v>1500000</v>
      </c>
    </row>
    <row r="108" spans="2:16" x14ac:dyDescent="0.2">
      <c r="D108" s="608"/>
      <c r="E108" s="608"/>
    </row>
    <row r="109" spans="2:16" x14ac:dyDescent="0.2">
      <c r="C109" s="588" t="s">
        <v>369</v>
      </c>
      <c r="D109" s="711"/>
      <c r="E109" s="711"/>
      <c r="O109" s="593"/>
    </row>
    <row r="110" spans="2:16" x14ac:dyDescent="0.2">
      <c r="B110" t="s">
        <v>7</v>
      </c>
      <c r="C110" t="s">
        <v>49</v>
      </c>
      <c r="D110" s="593">
        <f>North!G9</f>
        <v>1012300</v>
      </c>
      <c r="E110" s="713">
        <v>0</v>
      </c>
      <c r="F110" s="593">
        <f>North!G9</f>
        <v>1012300</v>
      </c>
      <c r="G110" s="593" t="str">
        <f>IF(G64&gt;0,#REF!*G64,"")</f>
        <v/>
      </c>
      <c r="H110" s="597">
        <f>F110</f>
        <v>1012300</v>
      </c>
      <c r="I110" s="593" t="str">
        <f>IF(I64&gt;0,#REF!*I64,"")</f>
        <v/>
      </c>
      <c r="J110" s="593" t="str">
        <f>IF(J64&gt;0,#REF!*J64,"")</f>
        <v/>
      </c>
      <c r="K110" s="593" t="str">
        <f>IF(K64&gt;0,#REF!*K64,"")</f>
        <v/>
      </c>
      <c r="L110" s="593" t="str">
        <f>IF(L64&gt;0,#REF!*L64,"")</f>
        <v/>
      </c>
      <c r="M110" s="593" t="str">
        <f>IF(M64&gt;0,#REF!*M64,"")</f>
        <v/>
      </c>
      <c r="N110" s="593" t="str">
        <f>IF(N64&gt;0,#REF!*N64,"")</f>
        <v/>
      </c>
      <c r="O110" s="593">
        <f>SUM(G110:N110)</f>
        <v>1012300</v>
      </c>
      <c r="P110" s="600" t="s">
        <v>370</v>
      </c>
    </row>
    <row r="111" spans="2:16" x14ac:dyDescent="0.2">
      <c r="D111" s="593"/>
      <c r="F111" s="593"/>
      <c r="H111" s="597"/>
      <c r="O111" s="593"/>
    </row>
    <row r="112" spans="2:16" x14ac:dyDescent="0.2"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  <c r="O112" s="590"/>
    </row>
    <row r="114" spans="2:15" x14ac:dyDescent="0.2">
      <c r="B114" t="s">
        <v>377</v>
      </c>
      <c r="D114" s="596">
        <f t="shared" ref="D114:E114" si="31">SUM(D109:D112)</f>
        <v>1012300</v>
      </c>
      <c r="E114" s="596">
        <f t="shared" si="31"/>
        <v>0</v>
      </c>
      <c r="F114" s="596">
        <f t="shared" ref="F114:O114" si="32">SUM(F109:F112)</f>
        <v>1012300</v>
      </c>
      <c r="G114" s="596">
        <f t="shared" si="32"/>
        <v>0</v>
      </c>
      <c r="H114" s="596">
        <f t="shared" si="32"/>
        <v>1012300</v>
      </c>
      <c r="I114" s="596">
        <f t="shared" si="32"/>
        <v>0</v>
      </c>
      <c r="J114" s="596">
        <f t="shared" si="32"/>
        <v>0</v>
      </c>
      <c r="K114" s="596">
        <f t="shared" si="32"/>
        <v>0</v>
      </c>
      <c r="L114" s="596">
        <f t="shared" si="32"/>
        <v>0</v>
      </c>
      <c r="M114" s="596">
        <f t="shared" si="32"/>
        <v>0</v>
      </c>
      <c r="N114" s="596">
        <f t="shared" si="32"/>
        <v>0</v>
      </c>
      <c r="O114" s="596">
        <f t="shared" si="32"/>
        <v>1012300</v>
      </c>
    </row>
    <row r="115" spans="2:15" x14ac:dyDescent="0.2">
      <c r="D115" s="593"/>
      <c r="F115" s="593"/>
      <c r="G115" s="593"/>
      <c r="H115" s="593"/>
      <c r="I115" s="593"/>
      <c r="J115" s="593"/>
      <c r="K115" s="593"/>
      <c r="L115" s="593"/>
      <c r="M115" s="593"/>
      <c r="N115" s="593"/>
      <c r="O115" s="593"/>
    </row>
    <row r="116" spans="2:15" x14ac:dyDescent="0.2">
      <c r="D116" s="593"/>
      <c r="F116" s="593"/>
      <c r="G116" s="593"/>
      <c r="H116" s="593"/>
      <c r="I116" s="593"/>
      <c r="J116" s="593"/>
      <c r="K116" s="593"/>
      <c r="L116" s="593"/>
      <c r="M116" s="593"/>
      <c r="N116" s="593"/>
      <c r="O116" s="593"/>
    </row>
    <row r="119" spans="2:15" x14ac:dyDescent="0.2">
      <c r="C119" t="s">
        <v>0</v>
      </c>
      <c r="D119" s="598">
        <f t="shared" ref="D119:E119" si="33">D100+D107+D114</f>
        <v>15289573.674607027</v>
      </c>
      <c r="E119" s="598">
        <f t="shared" si="33"/>
        <v>2612500</v>
      </c>
      <c r="F119" s="598">
        <f t="shared" ref="F119:O119" si="34">F100+F107+F114</f>
        <v>12677073.674607027</v>
      </c>
      <c r="G119" s="598">
        <f t="shared" si="34"/>
        <v>288983.99563019664</v>
      </c>
      <c r="H119" s="598">
        <f t="shared" si="34"/>
        <v>1485903.7794213572</v>
      </c>
      <c r="I119" s="598">
        <f t="shared" si="34"/>
        <v>673956.34942505672</v>
      </c>
      <c r="J119" s="598">
        <f t="shared" si="34"/>
        <v>189310.92999763519</v>
      </c>
      <c r="K119" s="598">
        <f t="shared" si="34"/>
        <v>889090.43238858541</v>
      </c>
      <c r="L119" s="598">
        <f t="shared" si="34"/>
        <v>387526.82169111073</v>
      </c>
      <c r="M119" s="598">
        <f t="shared" si="34"/>
        <v>7222301.3660530858</v>
      </c>
      <c r="N119" s="598">
        <f t="shared" si="34"/>
        <v>1540000</v>
      </c>
      <c r="O119" s="598">
        <f t="shared" si="34"/>
        <v>12677073.674607027</v>
      </c>
    </row>
    <row r="121" spans="2:15" x14ac:dyDescent="0.2">
      <c r="E121" s="616"/>
    </row>
    <row r="126" spans="2:15" x14ac:dyDescent="0.2">
      <c r="C126" t="s">
        <v>374</v>
      </c>
    </row>
    <row r="127" spans="2:15" x14ac:dyDescent="0.2">
      <c r="C127" s="599" t="s">
        <v>375</v>
      </c>
      <c r="D127" s="599"/>
      <c r="E127" s="599"/>
    </row>
  </sheetData>
  <mergeCells count="3">
    <mergeCell ref="G6:O6"/>
    <mergeCell ref="G36:O36"/>
    <mergeCell ref="G65:O65"/>
  </mergeCells>
  <pageMargins left="0.2" right="0.2" top="0.5" bottom="0.5" header="0.3" footer="0.3"/>
  <pageSetup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E61"/>
  <sheetViews>
    <sheetView workbookViewId="0">
      <pane xSplit="2" ySplit="12" topLeftCell="I25" activePane="bottomRight" state="frozen"/>
      <selection pane="topRight" activeCell="C1" sqref="C1"/>
      <selection pane="bottomLeft" activeCell="A14" sqref="A14"/>
      <selection pane="bottomRight" activeCell="AC38" sqref="AC38"/>
    </sheetView>
  </sheetViews>
  <sheetFormatPr defaultRowHeight="12.75" x14ac:dyDescent="0.2"/>
  <cols>
    <col min="1" max="1" width="3" customWidth="1"/>
    <col min="2" max="2" width="28.85546875" customWidth="1"/>
    <col min="3" max="3" width="3.28515625" customWidth="1"/>
    <col min="4" max="6" width="9.42578125" bestFit="1" customWidth="1"/>
    <col min="7" max="9" width="7.85546875" bestFit="1" customWidth="1"/>
    <col min="10" max="10" width="9.42578125" bestFit="1" customWidth="1"/>
    <col min="11" max="12" width="5" bestFit="1" customWidth="1"/>
    <col min="13" max="13" width="9.42578125" bestFit="1" customWidth="1"/>
    <col min="14" max="14" width="3.7109375" customWidth="1"/>
    <col min="15" max="16" width="7.28515625" bestFit="1" customWidth="1"/>
    <col min="17" max="21" width="6.85546875" bestFit="1" customWidth="1"/>
    <col min="22" max="23" width="5" bestFit="1" customWidth="1"/>
    <col min="24" max="24" width="6.85546875" bestFit="1" customWidth="1"/>
    <col min="25" max="25" width="4.28515625" customWidth="1"/>
    <col min="26" max="27" width="9.42578125" bestFit="1" customWidth="1"/>
    <col min="28" max="31" width="7.85546875" bestFit="1" customWidth="1"/>
    <col min="32" max="32" width="9.42578125" bestFit="1" customWidth="1"/>
    <col min="33" max="33" width="5" bestFit="1" customWidth="1"/>
    <col min="34" max="34" width="5.7109375" customWidth="1"/>
    <col min="35" max="35" width="9.42578125" bestFit="1" customWidth="1"/>
    <col min="36" max="36" width="2.28515625" customWidth="1"/>
    <col min="38" max="38" width="9.42578125" bestFit="1" customWidth="1"/>
    <col min="44" max="44" width="9.42578125" bestFit="1" customWidth="1"/>
    <col min="45" max="46" width="5" bestFit="1" customWidth="1"/>
    <col min="48" max="48" width="1.28515625" customWidth="1"/>
    <col min="49" max="49" width="2.140625" customWidth="1"/>
    <col min="50" max="50" width="12.7109375" hidden="1" customWidth="1"/>
    <col min="51" max="51" width="9.7109375" hidden="1" customWidth="1"/>
    <col min="52" max="54" width="8.42578125" hidden="1" customWidth="1"/>
    <col min="55" max="57" width="6.85546875" hidden="1" customWidth="1"/>
    <col min="58" max="58" width="8.42578125" hidden="1" customWidth="1"/>
    <col min="59" max="60" width="5" hidden="1" customWidth="1"/>
    <col min="61" max="61" width="8.42578125" hidden="1" customWidth="1"/>
    <col min="62" max="62" width="2.7109375" hidden="1" customWidth="1"/>
    <col min="63" max="69" width="6.85546875" hidden="1" customWidth="1"/>
    <col min="70" max="71" width="5" hidden="1" customWidth="1"/>
    <col min="72" max="72" width="6.85546875" hidden="1" customWidth="1"/>
    <col min="73" max="73" width="5" hidden="1" customWidth="1"/>
    <col min="74" max="83" width="10.28515625" hidden="1" customWidth="1"/>
  </cols>
  <sheetData>
    <row r="1" spans="1:83" x14ac:dyDescent="0.2">
      <c r="A1" s="581" t="s">
        <v>425</v>
      </c>
      <c r="V1" s="975" t="str">
        <f>'1. Storm Drainage Fee Calc Sum'!$J$1</f>
        <v>Internal</v>
      </c>
      <c r="W1" s="982"/>
      <c r="X1" s="976"/>
      <c r="AS1" s="975" t="str">
        <f>'1. Storm Drainage Fee Calc Sum'!$J$1</f>
        <v>Internal</v>
      </c>
      <c r="AT1" s="982"/>
      <c r="AU1" s="976"/>
      <c r="BR1" s="975" t="str">
        <f>'1. Storm Drainage Fee Calc Sum'!$J$1</f>
        <v>Internal</v>
      </c>
      <c r="BS1" s="982"/>
      <c r="BT1" s="976"/>
      <c r="CC1" s="975" t="str">
        <f>'1. Storm Drainage Fee Calc Sum'!$J$1</f>
        <v>Internal</v>
      </c>
      <c r="CD1" s="982"/>
      <c r="CE1" s="976"/>
    </row>
    <row r="2" spans="1:83" x14ac:dyDescent="0.2">
      <c r="A2" s="581" t="s">
        <v>406</v>
      </c>
      <c r="V2" s="977" t="str">
        <f>'1. Storm Drainage Fee Calc Sum'!$J$2</f>
        <v>Working Draft - v9</v>
      </c>
      <c r="W2" s="983"/>
      <c r="X2" s="978"/>
      <c r="AS2" s="977" t="str">
        <f>'1. Storm Drainage Fee Calc Sum'!$J$2</f>
        <v>Working Draft - v9</v>
      </c>
      <c r="AT2" s="983"/>
      <c r="AU2" s="978"/>
      <c r="BR2" s="977" t="str">
        <f>'1. Storm Drainage Fee Calc Sum'!$J$2</f>
        <v>Working Draft - v9</v>
      </c>
      <c r="BS2" s="983"/>
      <c r="BT2" s="978"/>
      <c r="CC2" s="977" t="str">
        <f>'1. Storm Drainage Fee Calc Sum'!$J$2</f>
        <v>Working Draft - v9</v>
      </c>
      <c r="CD2" s="983"/>
      <c r="CE2" s="978"/>
    </row>
    <row r="3" spans="1:83" x14ac:dyDescent="0.2">
      <c r="A3" s="581" t="s">
        <v>438</v>
      </c>
      <c r="V3" s="979">
        <f>'1. Storm Drainage Fee Calc Sum'!$J$3</f>
        <v>41289</v>
      </c>
      <c r="W3" s="984"/>
      <c r="X3" s="980"/>
      <c r="AS3" s="979">
        <f>'1. Storm Drainage Fee Calc Sum'!$J$3</f>
        <v>41289</v>
      </c>
      <c r="AT3" s="984"/>
      <c r="AU3" s="980"/>
      <c r="BR3" s="979">
        <f>'1. Storm Drainage Fee Calc Sum'!$J$3</f>
        <v>41289</v>
      </c>
      <c r="BS3" s="984"/>
      <c r="BT3" s="980"/>
      <c r="CC3" s="979">
        <f>'1. Storm Drainage Fee Calc Sum'!$J$3</f>
        <v>41289</v>
      </c>
      <c r="CD3" s="984"/>
      <c r="CE3" s="980"/>
    </row>
    <row r="4" spans="1:83" x14ac:dyDescent="0.2">
      <c r="A4" s="581" t="s">
        <v>541</v>
      </c>
    </row>
    <row r="8" spans="1:83" x14ac:dyDescent="0.2">
      <c r="D8" s="609" t="s">
        <v>203</v>
      </c>
      <c r="E8" s="610" t="s">
        <v>203</v>
      </c>
      <c r="F8" s="610" t="s">
        <v>203</v>
      </c>
      <c r="G8" s="610" t="s">
        <v>203</v>
      </c>
      <c r="H8" s="610" t="s">
        <v>203</v>
      </c>
      <c r="I8" s="610" t="s">
        <v>203</v>
      </c>
      <c r="J8" s="610" t="s">
        <v>203</v>
      </c>
      <c r="K8" s="610" t="s">
        <v>203</v>
      </c>
      <c r="L8" s="610" t="s">
        <v>203</v>
      </c>
      <c r="M8" s="611" t="s">
        <v>203</v>
      </c>
      <c r="O8" s="609" t="s">
        <v>203</v>
      </c>
      <c r="P8" s="610" t="s">
        <v>203</v>
      </c>
      <c r="Q8" s="610" t="s">
        <v>203</v>
      </c>
      <c r="R8" s="610" t="s">
        <v>203</v>
      </c>
      <c r="S8" s="610" t="s">
        <v>203</v>
      </c>
      <c r="T8" s="610" t="s">
        <v>203</v>
      </c>
      <c r="U8" s="610" t="s">
        <v>203</v>
      </c>
      <c r="V8" s="610" t="s">
        <v>203</v>
      </c>
      <c r="W8" s="610" t="s">
        <v>203</v>
      </c>
      <c r="X8" s="611" t="s">
        <v>203</v>
      </c>
      <c r="Z8" s="609" t="s">
        <v>203</v>
      </c>
      <c r="AA8" s="610" t="s">
        <v>203</v>
      </c>
      <c r="AB8" s="610" t="s">
        <v>203</v>
      </c>
      <c r="AC8" s="610" t="s">
        <v>203</v>
      </c>
      <c r="AD8" s="610" t="s">
        <v>203</v>
      </c>
      <c r="AE8" s="610" t="s">
        <v>203</v>
      </c>
      <c r="AF8" s="610" t="s">
        <v>203</v>
      </c>
      <c r="AG8" s="610" t="s">
        <v>203</v>
      </c>
      <c r="AH8" s="610" t="s">
        <v>203</v>
      </c>
      <c r="AI8" s="611" t="s">
        <v>203</v>
      </c>
      <c r="AL8" s="609" t="s">
        <v>203</v>
      </c>
      <c r="AM8" s="610" t="s">
        <v>203</v>
      </c>
      <c r="AN8" s="610" t="s">
        <v>203</v>
      </c>
      <c r="AO8" s="610" t="s">
        <v>203</v>
      </c>
      <c r="AP8" s="610" t="s">
        <v>203</v>
      </c>
      <c r="AQ8" s="610" t="s">
        <v>203</v>
      </c>
      <c r="AR8" s="610" t="s">
        <v>203</v>
      </c>
      <c r="AS8" s="610" t="s">
        <v>203</v>
      </c>
      <c r="AT8" s="610" t="s">
        <v>203</v>
      </c>
      <c r="AU8" s="611" t="s">
        <v>203</v>
      </c>
      <c r="AZ8" s="609" t="s">
        <v>203</v>
      </c>
      <c r="BA8" s="610" t="s">
        <v>203</v>
      </c>
      <c r="BB8" s="610" t="s">
        <v>203</v>
      </c>
      <c r="BC8" s="610" t="s">
        <v>203</v>
      </c>
      <c r="BD8" s="610" t="s">
        <v>203</v>
      </c>
      <c r="BE8" s="610" t="s">
        <v>203</v>
      </c>
      <c r="BF8" s="610" t="s">
        <v>203</v>
      </c>
      <c r="BG8" s="610" t="s">
        <v>203</v>
      </c>
      <c r="BH8" s="610" t="s">
        <v>203</v>
      </c>
      <c r="BI8" s="611" t="s">
        <v>203</v>
      </c>
      <c r="BK8" s="609" t="s">
        <v>203</v>
      </c>
      <c r="BL8" s="610" t="s">
        <v>203</v>
      </c>
      <c r="BM8" s="610" t="s">
        <v>203</v>
      </c>
      <c r="BN8" s="610" t="s">
        <v>203</v>
      </c>
      <c r="BO8" s="610" t="s">
        <v>203</v>
      </c>
      <c r="BP8" s="610" t="s">
        <v>203</v>
      </c>
      <c r="BQ8" s="610" t="s">
        <v>203</v>
      </c>
      <c r="BR8" s="610" t="s">
        <v>203</v>
      </c>
      <c r="BS8" s="610" t="s">
        <v>203</v>
      </c>
      <c r="BT8" s="611" t="s">
        <v>203</v>
      </c>
      <c r="BV8" s="609" t="s">
        <v>203</v>
      </c>
      <c r="BW8" s="610" t="s">
        <v>203</v>
      </c>
      <c r="BX8" s="610" t="s">
        <v>203</v>
      </c>
      <c r="BY8" s="610" t="s">
        <v>203</v>
      </c>
      <c r="BZ8" s="610" t="s">
        <v>203</v>
      </c>
      <c r="CA8" s="610" t="s">
        <v>203</v>
      </c>
      <c r="CB8" s="610" t="s">
        <v>203</v>
      </c>
      <c r="CC8" s="610" t="s">
        <v>203</v>
      </c>
      <c r="CD8" s="610" t="s">
        <v>203</v>
      </c>
      <c r="CE8" s="611" t="s">
        <v>203</v>
      </c>
    </row>
    <row r="9" spans="1:83" x14ac:dyDescent="0.2">
      <c r="D9" s="612">
        <v>30</v>
      </c>
      <c r="E9" s="584">
        <v>31</v>
      </c>
      <c r="F9" s="584">
        <v>32</v>
      </c>
      <c r="G9" s="584">
        <v>33</v>
      </c>
      <c r="H9" s="584">
        <v>34</v>
      </c>
      <c r="I9" s="584">
        <v>35</v>
      </c>
      <c r="J9" s="584">
        <v>36</v>
      </c>
      <c r="K9" s="584">
        <v>37</v>
      </c>
      <c r="L9" s="584">
        <v>38</v>
      </c>
      <c r="M9" s="613">
        <v>39</v>
      </c>
      <c r="O9" s="612">
        <v>30</v>
      </c>
      <c r="P9" s="584">
        <v>31</v>
      </c>
      <c r="Q9" s="584">
        <v>32</v>
      </c>
      <c r="R9" s="584">
        <v>33</v>
      </c>
      <c r="S9" s="584">
        <v>34</v>
      </c>
      <c r="T9" s="584">
        <v>35</v>
      </c>
      <c r="U9" s="584">
        <v>36</v>
      </c>
      <c r="V9" s="584">
        <v>37</v>
      </c>
      <c r="W9" s="584">
        <v>38</v>
      </c>
      <c r="X9" s="613">
        <v>39</v>
      </c>
      <c r="Z9" s="612">
        <v>30</v>
      </c>
      <c r="AA9" s="584">
        <v>31</v>
      </c>
      <c r="AB9" s="584">
        <v>32</v>
      </c>
      <c r="AC9" s="584">
        <v>33</v>
      </c>
      <c r="AD9" s="584">
        <v>34</v>
      </c>
      <c r="AE9" s="584">
        <v>35</v>
      </c>
      <c r="AF9" s="584">
        <v>36</v>
      </c>
      <c r="AG9" s="584">
        <v>37</v>
      </c>
      <c r="AH9" s="584">
        <v>38</v>
      </c>
      <c r="AI9" s="613">
        <v>39</v>
      </c>
      <c r="AL9" s="612">
        <v>30</v>
      </c>
      <c r="AM9" s="584">
        <v>31</v>
      </c>
      <c r="AN9" s="584">
        <v>32</v>
      </c>
      <c r="AO9" s="584">
        <v>33</v>
      </c>
      <c r="AP9" s="584">
        <v>34</v>
      </c>
      <c r="AQ9" s="584">
        <v>35</v>
      </c>
      <c r="AR9" s="584">
        <v>36</v>
      </c>
      <c r="AS9" s="584">
        <v>37</v>
      </c>
      <c r="AT9" s="584">
        <v>38</v>
      </c>
      <c r="AU9" s="613">
        <v>39</v>
      </c>
      <c r="AZ9" s="612">
        <v>30</v>
      </c>
      <c r="BA9" s="584">
        <v>31</v>
      </c>
      <c r="BB9" s="584">
        <v>32</v>
      </c>
      <c r="BC9" s="584">
        <v>33</v>
      </c>
      <c r="BD9" s="584">
        <v>34</v>
      </c>
      <c r="BE9" s="584">
        <v>35</v>
      </c>
      <c r="BF9" s="584">
        <v>36</v>
      </c>
      <c r="BG9" s="584">
        <v>37</v>
      </c>
      <c r="BH9" s="584">
        <v>38</v>
      </c>
      <c r="BI9" s="613">
        <v>39</v>
      </c>
      <c r="BK9" s="612">
        <v>30</v>
      </c>
      <c r="BL9" s="584">
        <v>31</v>
      </c>
      <c r="BM9" s="584">
        <v>32</v>
      </c>
      <c r="BN9" s="584">
        <v>33</v>
      </c>
      <c r="BO9" s="584">
        <v>34</v>
      </c>
      <c r="BP9" s="584">
        <v>35</v>
      </c>
      <c r="BQ9" s="584">
        <v>36</v>
      </c>
      <c r="BR9" s="584">
        <v>37</v>
      </c>
      <c r="BS9" s="584">
        <v>38</v>
      </c>
      <c r="BT9" s="613">
        <v>39</v>
      </c>
      <c r="BV9" s="612">
        <v>30</v>
      </c>
      <c r="BW9" s="584">
        <v>31</v>
      </c>
      <c r="BX9" s="584">
        <v>32</v>
      </c>
      <c r="BY9" s="584">
        <v>33</v>
      </c>
      <c r="BZ9" s="584">
        <v>34</v>
      </c>
      <c r="CA9" s="584">
        <v>35</v>
      </c>
      <c r="CB9" s="584">
        <v>36</v>
      </c>
      <c r="CC9" s="584">
        <v>37</v>
      </c>
      <c r="CD9" s="584">
        <v>38</v>
      </c>
      <c r="CE9" s="613">
        <v>39</v>
      </c>
    </row>
    <row r="10" spans="1:83" x14ac:dyDescent="0.2">
      <c r="D10" s="583"/>
      <c r="E10" s="583"/>
    </row>
    <row r="11" spans="1:83" x14ac:dyDescent="0.2">
      <c r="N11" s="608"/>
    </row>
    <row r="12" spans="1:83" ht="25.5" x14ac:dyDescent="0.2">
      <c r="B12" s="781" t="s">
        <v>129</v>
      </c>
      <c r="D12" s="969" t="s">
        <v>549</v>
      </c>
      <c r="E12" s="970"/>
      <c r="F12" s="970"/>
      <c r="G12" s="970"/>
      <c r="H12" s="970"/>
      <c r="I12" s="970"/>
      <c r="J12" s="970"/>
      <c r="K12" s="970"/>
      <c r="L12" s="970"/>
      <c r="M12" s="971"/>
      <c r="N12" s="608"/>
      <c r="O12" s="969" t="s">
        <v>380</v>
      </c>
      <c r="P12" s="970"/>
      <c r="Q12" s="970"/>
      <c r="R12" s="970"/>
      <c r="S12" s="970"/>
      <c r="T12" s="970"/>
      <c r="U12" s="970"/>
      <c r="V12" s="970"/>
      <c r="W12" s="970"/>
      <c r="X12" s="971"/>
      <c r="Z12" s="969" t="s">
        <v>512</v>
      </c>
      <c r="AA12" s="970"/>
      <c r="AB12" s="970"/>
      <c r="AC12" s="970"/>
      <c r="AD12" s="970"/>
      <c r="AE12" s="970"/>
      <c r="AF12" s="970"/>
      <c r="AG12" s="970"/>
      <c r="AH12" s="970"/>
      <c r="AI12" s="971"/>
      <c r="AK12" s="662" t="s">
        <v>130</v>
      </c>
      <c r="AL12" s="969" t="s">
        <v>513</v>
      </c>
      <c r="AM12" s="970"/>
      <c r="AN12" s="970"/>
      <c r="AO12" s="970"/>
      <c r="AP12" s="970"/>
      <c r="AQ12" s="970"/>
      <c r="AR12" s="970"/>
      <c r="AS12" s="970"/>
      <c r="AT12" s="970"/>
      <c r="AU12" s="971"/>
      <c r="AX12" s="718" t="s">
        <v>384</v>
      </c>
      <c r="AY12" s="776" t="s">
        <v>538</v>
      </c>
      <c r="AZ12" s="969" t="s">
        <v>540</v>
      </c>
      <c r="BA12" s="970"/>
      <c r="BB12" s="970"/>
      <c r="BC12" s="970"/>
      <c r="BD12" s="970"/>
      <c r="BE12" s="970"/>
      <c r="BF12" s="970"/>
      <c r="BG12" s="970"/>
      <c r="BH12" s="970"/>
      <c r="BI12" s="971"/>
      <c r="BK12" s="969" t="s">
        <v>539</v>
      </c>
      <c r="BL12" s="970"/>
      <c r="BM12" s="970"/>
      <c r="BN12" s="970"/>
      <c r="BO12" s="970"/>
      <c r="BP12" s="970"/>
      <c r="BQ12" s="970"/>
      <c r="BR12" s="970"/>
      <c r="BS12" s="970"/>
      <c r="BT12" s="971"/>
      <c r="BV12" s="969" t="s">
        <v>381</v>
      </c>
      <c r="BW12" s="970"/>
      <c r="BX12" s="970"/>
      <c r="BY12" s="970"/>
      <c r="BZ12" s="970"/>
      <c r="CA12" s="970"/>
      <c r="CB12" s="970"/>
      <c r="CC12" s="970"/>
      <c r="CD12" s="970"/>
      <c r="CE12" s="971"/>
    </row>
    <row r="13" spans="1:83" x14ac:dyDescent="0.2">
      <c r="N13" s="608"/>
      <c r="X13" s="814"/>
    </row>
    <row r="14" spans="1:83" x14ac:dyDescent="0.2">
      <c r="B14" t="s">
        <v>229</v>
      </c>
      <c r="D14" s="591">
        <f>IF(ISNA(VLOOKUP($B14,'PFF-Zones (Combined)'!$B$3:$W$11,18,FALSE)),0,VLOOKUP($B14,'PFF-Zones (Combined)'!$B$3:$W$11,18,FALSE))</f>
        <v>3273.2748999999999</v>
      </c>
      <c r="E14" s="591">
        <f>IF(ISNA(VLOOKUP($B14,'PFF-Zones (Combined)'!$B$15:$W$31,18,FALSE)),0,VLOOKUP($B14,'PFF-Zones (Combined)'!$B$15:$W$31,18,FALSE))</f>
        <v>111.6225</v>
      </c>
      <c r="F14" s="591">
        <f>IF(ISNA(VLOOKUP($B14,'PFF-Zones (Combined)'!$B$34:$W$47,18,FALSE)),0,VLOOKUP($B14,'PFF-Zones (Combined)'!$B$34:$W$47,18,FALSE))</f>
        <v>0</v>
      </c>
      <c r="G14" s="591">
        <f>IF(ISNA(VLOOKUP($B14,'PFF-Zones (Combined)'!$B$50:$W$56,18,FALSE)),0,VLOOKUP($B14,'PFF-Zones (Combined)'!$B$50:$W$56,18,FALSE))</f>
        <v>0</v>
      </c>
      <c r="H14" s="591">
        <f>IF(ISNA(VLOOKUP($B14,'PFF-Zones (Combined)'!$B$61:$W$71,18,FALSE)),0,VLOOKUP($B14,'PFF-Zones (Combined)'!$B$61:$W$71,18,FALSE))</f>
        <v>0</v>
      </c>
      <c r="I14" s="591">
        <f>IF(ISNA(VLOOKUP($B14,'PFF-Zones (Combined)'!$B$75:$W$81,18,FALSE)),0,VLOOKUP($B14,'PFF-Zones (Combined)'!$B$75:$W$81,18,FALSE))</f>
        <v>0</v>
      </c>
      <c r="J14" s="591">
        <f>IF(ISNA(VLOOKUP($B14,'PFF-Zones (Combined)'!$B$87:$W$105,18,FALSE)),0,VLOOKUP($B14,'PFF-Zones (Combined)'!$B$87:$W$105,18,FALSE))</f>
        <v>116.47190000000001</v>
      </c>
      <c r="K14" s="591"/>
      <c r="L14" s="591"/>
      <c r="M14" s="591">
        <f>IF(ISNA(VLOOKUP($B14,'PFF-Zones (Combined)'!$B$109:$W$120,18,FALSE)),0,VLOOKUP($B14,'PFF-Zones (Combined)'!$B$109:$W$120,18,FALSE))</f>
        <v>191.43100000000001</v>
      </c>
      <c r="N14" s="608"/>
      <c r="O14" s="602">
        <f>IF(ISNA(VLOOKUP($B14,'PFF-Zones (Combined)'!$B$3:$W$11,21,FALSE)),0,VLOOKUP($B14,'PFF-Zones (Combined)'!$B$3:$W$11,21,FALSE))</f>
        <v>0.42499999999999999</v>
      </c>
      <c r="P14" s="602">
        <f>IF(ISNA(VLOOKUP($B14,'PFF-Zones (Combined)'!$B$15:$W$31,21,FALSE)),0,VLOOKUP($B14,'PFF-Zones (Combined)'!$B$15:$W$31,21,FALSE))</f>
        <v>0.42499999999999999</v>
      </c>
      <c r="Q14" s="614">
        <f>IF(ISNA(VLOOKUP($B14,'PFF-Zones (Combined)'!$B$34:$W$47,21,FALSE)),0,VLOOKUP($B14,'PFF-Zones (Combined)'!$B$34:$W$47,21,FALSE))</f>
        <v>0</v>
      </c>
      <c r="R14" s="614">
        <f>IF(ISNA(VLOOKUP($B14,'PFF-Zones (Combined)'!$B$50:$W$56,21,FALSE)),0,VLOOKUP($B14,'PFF-Zones (Combined)'!$B$50:$W$56,21,FALSE))</f>
        <v>0</v>
      </c>
      <c r="S14" s="614">
        <f>IF(ISNA(VLOOKUP($B14,'PFF-Zones (Combined)'!$B$61:$W$71,21,FALSE)),0,VLOOKUP($B14,'PFF-Zones (Combined)'!$B$61:$W$71,21,FALSE))</f>
        <v>0</v>
      </c>
      <c r="T14" s="614">
        <f>IF(ISNA(VLOOKUP($B14,'PFF-Zones (Combined)'!$B$75:$W$81,21,FALSE)),0,VLOOKUP($B14,'PFF-Zones (Combined)'!$B$75:$W$81,21,FALSE))</f>
        <v>0</v>
      </c>
      <c r="U14" s="602">
        <f>IF(ISNA(VLOOKUP($B14,'PFF-Zones (Combined)'!$B$87:$W$105,21,FALSE)),0,VLOOKUP($B14,'PFF-Zones (Combined)'!$B$87:$W$105,21,FALSE))</f>
        <v>0.42499999999999999</v>
      </c>
      <c r="V14" s="614"/>
      <c r="W14" s="614"/>
      <c r="X14" s="602">
        <f>IF(ISNA(VLOOKUP($B14,'PFF-Zones (Combined)'!$B$109:$W$120,21,FALSE)),0,VLOOKUP($B14,'PFF-Zones (Combined)'!$B$109:$W$120,21,FALSE))</f>
        <v>0.42499999999999999</v>
      </c>
      <c r="Z14" s="607">
        <f>O14*D14</f>
        <v>1391.1418325</v>
      </c>
      <c r="AA14" s="607">
        <f t="shared" ref="AA14:AF14" si="0">P14*E14</f>
        <v>47.439562500000001</v>
      </c>
      <c r="AB14" s="607">
        <f t="shared" si="0"/>
        <v>0</v>
      </c>
      <c r="AC14" s="607">
        <f t="shared" si="0"/>
        <v>0</v>
      </c>
      <c r="AD14" s="607">
        <f t="shared" si="0"/>
        <v>0</v>
      </c>
      <c r="AE14" s="607">
        <f t="shared" si="0"/>
        <v>0</v>
      </c>
      <c r="AF14" s="607">
        <f t="shared" si="0"/>
        <v>49.500557499999999</v>
      </c>
      <c r="AG14" s="602"/>
      <c r="AH14" s="602"/>
      <c r="AI14" s="607">
        <f t="shared" ref="AI14" si="1">X14*M14</f>
        <v>81.358175000000003</v>
      </c>
      <c r="AK14" s="890">
        <f>IF(ISNA(VLOOKUP($B14,'3. EDU Calculation'!$B$10:$E$35,4,FALSE)),0,VLOOKUP($B14,'3. EDU Calculation'!$B$10:$E$35,4,FALSE))</f>
        <v>0.3</v>
      </c>
      <c r="AL14" s="607">
        <f>$AK14*Z14</f>
        <v>417.34254974999999</v>
      </c>
      <c r="AM14" s="607">
        <f>$AK14*AA14</f>
        <v>14.23186875</v>
      </c>
      <c r="AN14" s="607">
        <f t="shared" ref="AN14:AU14" si="2">$AK14*AB14</f>
        <v>0</v>
      </c>
      <c r="AO14" s="607">
        <f t="shared" si="2"/>
        <v>0</v>
      </c>
      <c r="AP14" s="607">
        <f t="shared" si="2"/>
        <v>0</v>
      </c>
      <c r="AQ14" s="607">
        <f t="shared" si="2"/>
        <v>0</v>
      </c>
      <c r="AR14" s="607">
        <f t="shared" si="2"/>
        <v>14.850167249999998</v>
      </c>
      <c r="AS14" s="607"/>
      <c r="AT14" s="607"/>
      <c r="AU14" s="607">
        <f t="shared" si="2"/>
        <v>24.407452500000002</v>
      </c>
      <c r="AX14" s="749" t="str">
        <f>IF(ISNA(VLOOKUP($B14,'3. EDU Calculation'!$B$10:$I$35,8,FALSE)),0,VLOOKUP($B14,'3. EDU Calculation'!$B$10:$I$35,8,FALSE))</f>
        <v>Dwelling Unit</v>
      </c>
      <c r="AY14" s="749">
        <f>IF(ISNA(VLOOKUP($B14,'3. EDU Calculation'!$B$10:$J$35,9,FALSE)),0,VLOOKUP($B14,'3. EDU Calculation'!$B$10:$J$35,9,FALSE))</f>
        <v>5</v>
      </c>
      <c r="AZ14" s="586">
        <f>Z14*$AY14</f>
        <v>6955.7091624999994</v>
      </c>
      <c r="BA14" s="586">
        <f t="shared" ref="BA14:BI14" si="3">AA14*$AY14</f>
        <v>237.1978125</v>
      </c>
      <c r="BB14" s="586">
        <f t="shared" si="3"/>
        <v>0</v>
      </c>
      <c r="BC14" s="586">
        <f t="shared" si="3"/>
        <v>0</v>
      </c>
      <c r="BD14" s="586">
        <f t="shared" si="3"/>
        <v>0</v>
      </c>
      <c r="BE14" s="586">
        <f t="shared" si="3"/>
        <v>0</v>
      </c>
      <c r="BF14" s="586">
        <f t="shared" si="3"/>
        <v>247.50278750000001</v>
      </c>
      <c r="BG14" s="586"/>
      <c r="BH14" s="586"/>
      <c r="BI14" s="586">
        <f t="shared" si="3"/>
        <v>406.79087500000003</v>
      </c>
      <c r="BK14" s="591">
        <f>IF(ISNA(VLOOKUP($B14,'3. EDU Calculation'!$B$10:$M$35,12,FALSE)),0,VLOOKUP($B14,'3. EDU Calculation'!$B$10:$M$35,12,FALSE))</f>
        <v>1</v>
      </c>
      <c r="BL14" s="591">
        <f>IF(ISNA(VLOOKUP($B14,'3. EDU Calculation'!$B$10:$M$35,12,FALSE)),0,VLOOKUP($B14,'3. EDU Calculation'!$B$10:$M$35,12,FALSE))</f>
        <v>1</v>
      </c>
      <c r="BM14" s="591">
        <f>IF(ISNA(VLOOKUP($B14,'3. EDU Calculation'!$B$10:$M$35,12,FALSE)),0,VLOOKUP($B14,'3. EDU Calculation'!$B$10:$M$35,12,FALSE))</f>
        <v>1</v>
      </c>
      <c r="BN14" s="591">
        <f>IF(ISNA(VLOOKUP($B14,'3. EDU Calculation'!$B$10:$M$35,12,FALSE)),0,VLOOKUP($B14,'3. EDU Calculation'!$B$10:$M$35,12,FALSE))</f>
        <v>1</v>
      </c>
      <c r="BO14" s="591">
        <f>IF(ISNA(VLOOKUP($B14,'3. EDU Calculation'!$B$10:$M$35,12,FALSE)),0,VLOOKUP($B14,'3. EDU Calculation'!$B$10:$M$35,12,FALSE))</f>
        <v>1</v>
      </c>
      <c r="BP14" s="591">
        <f>IF(ISNA(VLOOKUP($B14,'3. EDU Calculation'!$B$10:$M$35,12,FALSE)),0,VLOOKUP($B14,'3. EDU Calculation'!$B$10:$M$35,12,FALSE))</f>
        <v>1</v>
      </c>
      <c r="BQ14" s="591">
        <f>IF(ISNA(VLOOKUP($B14,'3. EDU Calculation'!$B$10:$M$35,12,FALSE)),0,VLOOKUP($B14,'3. EDU Calculation'!$B$10:$M$35,12,FALSE))</f>
        <v>1</v>
      </c>
      <c r="BR14" s="591"/>
      <c r="BS14" s="591"/>
      <c r="BT14" s="591">
        <f>IF(ISNA(VLOOKUP($B14,'3. EDU Calculation'!$B$10:$M$35,12,FALSE)),0,VLOOKUP($B14,'3. EDU Calculation'!$B$10:$M$35,12,FALSE))</f>
        <v>1</v>
      </c>
      <c r="BV14" s="591">
        <f>BK14*AZ14</f>
        <v>6955.7091624999994</v>
      </c>
      <c r="BW14" s="591">
        <f t="shared" ref="BW14:CB14" si="4">BL14*BA14</f>
        <v>237.1978125</v>
      </c>
      <c r="BX14" s="591">
        <f t="shared" si="4"/>
        <v>0</v>
      </c>
      <c r="BY14" s="591">
        <f t="shared" si="4"/>
        <v>0</v>
      </c>
      <c r="BZ14" s="591">
        <f t="shared" si="4"/>
        <v>0</v>
      </c>
      <c r="CA14" s="591">
        <f t="shared" si="4"/>
        <v>0</v>
      </c>
      <c r="CB14" s="591">
        <f t="shared" si="4"/>
        <v>247.50278750000001</v>
      </c>
      <c r="CC14" s="591"/>
      <c r="CD14" s="591"/>
      <c r="CE14" s="591">
        <f t="shared" ref="CE14" si="5">BT14*BI14</f>
        <v>406.79087500000003</v>
      </c>
    </row>
    <row r="15" spans="1:83" x14ac:dyDescent="0.2">
      <c r="B15" t="s">
        <v>149</v>
      </c>
      <c r="D15" s="591">
        <f>IF(ISNA(VLOOKUP($B15,'PFF-Zones (Combined)'!$B$3:$W$11,18,FALSE)),0,VLOOKUP($B15,'PFF-Zones (Combined)'!$B$3:$W$11,18,FALSE))</f>
        <v>0</v>
      </c>
      <c r="E15" s="591">
        <f>IF(ISNA(VLOOKUP($B15,'PFF-Zones (Combined)'!$B$15:$W$31,18,FALSE)),0,VLOOKUP($B15,'PFF-Zones (Combined)'!$B$15:$W$31,18,FALSE))</f>
        <v>0</v>
      </c>
      <c r="F15" s="591">
        <f>IF(ISNA(VLOOKUP($B15,'PFF-Zones (Combined)'!$B$34:$W$47,18,FALSE)),0,VLOOKUP($B15,'PFF-Zones (Combined)'!$B$34:$W$47,18,FALSE))</f>
        <v>0</v>
      </c>
      <c r="G15" s="591">
        <f>IF(ISNA(VLOOKUP($B15,'PFF-Zones (Combined)'!$B$50:$W$56,18,FALSE)),0,VLOOKUP($B15,'PFF-Zones (Combined)'!$B$50:$W$56,18,FALSE))</f>
        <v>0</v>
      </c>
      <c r="H15" s="591">
        <f>IF(ISNA(VLOOKUP($B15,'PFF-Zones (Combined)'!$B$61:$W$71,18,FALSE)),0,VLOOKUP($B15,'PFF-Zones (Combined)'!$B$61:$W$71,18,FALSE))</f>
        <v>0</v>
      </c>
      <c r="I15" s="591">
        <f>IF(ISNA(VLOOKUP($B15,'PFF-Zones (Combined)'!$B$75:$W$81,18,FALSE)),0,VLOOKUP($B15,'PFF-Zones (Combined)'!$B$75:$W$81,18,FALSE))</f>
        <v>0</v>
      </c>
      <c r="J15" s="591">
        <f>IF(ISNA(VLOOKUP($B15,'PFF-Zones (Combined)'!$B$87:$W$105,18,FALSE)),0,VLOOKUP($B15,'PFF-Zones (Combined)'!$B$87:$W$105,18,FALSE))</f>
        <v>0</v>
      </c>
      <c r="K15" s="591"/>
      <c r="L15" s="591"/>
      <c r="M15" s="591">
        <f>IF(ISNA(VLOOKUP($B15,'PFF-Zones (Combined)'!$B$109:$W$120,18,FALSE)),0,VLOOKUP($B15,'PFF-Zones (Combined)'!$B$109:$W$120,18,FALSE))</f>
        <v>179.98419999999999</v>
      </c>
      <c r="N15" s="608"/>
      <c r="O15" s="614">
        <f>IF(ISNA(VLOOKUP($B15,'PFF-Zones (Combined)'!$B$3:$W$11,21,FALSE)),0,VLOOKUP($B15,'PFF-Zones (Combined)'!$B$3:$W$11,21,FALSE))</f>
        <v>0</v>
      </c>
      <c r="P15" s="614">
        <f>IF(ISNA(VLOOKUP($B15,'PFF-Zones (Combined)'!$B$15:$W$31,21,FALSE)),0,VLOOKUP($B15,'PFF-Zones (Combined)'!$B$15:$W$31,21,FALSE))</f>
        <v>0</v>
      </c>
      <c r="Q15" s="614">
        <f>IF(ISNA(VLOOKUP($B15,'PFF-Zones (Combined)'!$B$34:$W$47,21,FALSE)),0,VLOOKUP($B15,'PFF-Zones (Combined)'!$B$34:$W$47,21,FALSE))</f>
        <v>0</v>
      </c>
      <c r="R15" s="614">
        <f>IF(ISNA(VLOOKUP($B15,'PFF-Zones (Combined)'!$B$50:$W$56,21,FALSE)),0,VLOOKUP($B15,'PFF-Zones (Combined)'!$B$50:$W$56,21,FALSE))</f>
        <v>0</v>
      </c>
      <c r="S15" s="614">
        <f>IF(ISNA(VLOOKUP($B15,'PFF-Zones (Combined)'!$B$61:$W$71,21,FALSE)),0,VLOOKUP($B15,'PFF-Zones (Combined)'!$B$61:$W$71,21,FALSE))</f>
        <v>0</v>
      </c>
      <c r="T15" s="614">
        <f>IF(ISNA(VLOOKUP($B15,'PFF-Zones (Combined)'!$B$75:$W$81,21,FALSE)),0,VLOOKUP($B15,'PFF-Zones (Combined)'!$B$75:$W$81,21,FALSE))</f>
        <v>0</v>
      </c>
      <c r="U15" s="614">
        <f>IF(ISNA(VLOOKUP($B15,'PFF-Zones (Combined)'!$B$87:$W$105,21,FALSE)),0,VLOOKUP($B15,'PFF-Zones (Combined)'!$B$87:$W$105,21,FALSE))</f>
        <v>0</v>
      </c>
      <c r="V15" s="614"/>
      <c r="W15" s="614"/>
      <c r="X15" s="602">
        <f>IF(ISNA(VLOOKUP($B15,'PFF-Zones (Combined)'!$B$109:$W$120,21,FALSE)),0,VLOOKUP($B15,'PFF-Zones (Combined)'!$B$109:$W$120,21,FALSE))</f>
        <v>0.85</v>
      </c>
      <c r="Z15" s="607">
        <f t="shared" ref="Z15:Z39" si="6">O15*D15</f>
        <v>0</v>
      </c>
      <c r="AA15" s="607">
        <f t="shared" ref="AA15:AA39" si="7">P15*E15</f>
        <v>0</v>
      </c>
      <c r="AB15" s="607">
        <f t="shared" ref="AB15:AB39" si="8">Q15*F15</f>
        <v>0</v>
      </c>
      <c r="AC15" s="607">
        <f t="shared" ref="AC15:AC39" si="9">R15*G15</f>
        <v>0</v>
      </c>
      <c r="AD15" s="607">
        <f t="shared" ref="AD15:AD39" si="10">S15*H15</f>
        <v>0</v>
      </c>
      <c r="AE15" s="607">
        <f t="shared" ref="AE15:AE39" si="11">T15*I15</f>
        <v>0</v>
      </c>
      <c r="AF15" s="607">
        <f t="shared" ref="AF15:AF39" si="12">U15*J15</f>
        <v>0</v>
      </c>
      <c r="AG15" s="602"/>
      <c r="AH15" s="602"/>
      <c r="AI15" s="607">
        <f t="shared" ref="AI15:AI39" si="13">X15*M15</f>
        <v>152.98656999999997</v>
      </c>
      <c r="AK15" s="890">
        <f>IF(ISNA(VLOOKUP($B15,'3. EDU Calculation'!$B$10:$E$35,4,FALSE)),0,VLOOKUP($B15,'3. EDU Calculation'!$B$10:$E$35,4,FALSE))</f>
        <v>0.7</v>
      </c>
      <c r="AL15" s="607">
        <f t="shared" ref="AL15:AL39" si="14">$AK15*Z15</f>
        <v>0</v>
      </c>
      <c r="AM15" s="607">
        <f t="shared" ref="AM15:AM39" si="15">$AK15*AA15</f>
        <v>0</v>
      </c>
      <c r="AN15" s="607">
        <f t="shared" ref="AN15:AN39" si="16">$AK15*AB15</f>
        <v>0</v>
      </c>
      <c r="AO15" s="607">
        <f t="shared" ref="AO15:AO39" si="17">$AK15*AC15</f>
        <v>0</v>
      </c>
      <c r="AP15" s="607">
        <f t="shared" ref="AP15:AP39" si="18">$AK15*AD15</f>
        <v>0</v>
      </c>
      <c r="AQ15" s="607">
        <f t="shared" ref="AQ15:AQ39" si="19">$AK15*AE15</f>
        <v>0</v>
      </c>
      <c r="AR15" s="607">
        <f t="shared" ref="AR15:AR39" si="20">$AK15*AF15</f>
        <v>0</v>
      </c>
      <c r="AS15" s="607"/>
      <c r="AT15" s="607"/>
      <c r="AU15" s="607">
        <f t="shared" ref="AU15:AU39" si="21">$AK15*AI15</f>
        <v>107.09059899999997</v>
      </c>
      <c r="AX15" s="749" t="str">
        <f>IF(ISNA(VLOOKUP($B15,'3. EDU Calculation'!$B$10:$I$35,8,FALSE)),0,VLOOKUP($B15,'3. EDU Calculation'!$B$10:$I$35,8,FALSE))</f>
        <v>Acre</v>
      </c>
      <c r="AY15" s="749">
        <f>IF(ISNA(VLOOKUP($B15,'3. EDU Calculation'!$B$10:$J$35,9,FALSE)),0,VLOOKUP($B15,'3. EDU Calculation'!$B$10:$J$35,9,FALSE))</f>
        <v>1</v>
      </c>
      <c r="AZ15" s="586">
        <f t="shared" ref="AZ15:AZ39" si="22">Z15*$AY15</f>
        <v>0</v>
      </c>
      <c r="BA15" s="586">
        <f t="shared" ref="BA15:BA39" si="23">AA15*$AY15</f>
        <v>0</v>
      </c>
      <c r="BB15" s="586">
        <f t="shared" ref="BB15:BB39" si="24">AB15*$AY15</f>
        <v>0</v>
      </c>
      <c r="BC15" s="586">
        <f t="shared" ref="BC15:BC39" si="25">AC15*$AY15</f>
        <v>0</v>
      </c>
      <c r="BD15" s="586">
        <f t="shared" ref="BD15:BD39" si="26">AD15*$AY15</f>
        <v>0</v>
      </c>
      <c r="BE15" s="586">
        <f t="shared" ref="BE15:BE39" si="27">AE15*$AY15</f>
        <v>0</v>
      </c>
      <c r="BF15" s="586">
        <f t="shared" ref="BF15:BF39" si="28">AF15*$AY15</f>
        <v>0</v>
      </c>
      <c r="BG15" s="586"/>
      <c r="BH15" s="586"/>
      <c r="BI15" s="586">
        <f t="shared" ref="BI15:BI39" si="29">AI15*$AY15</f>
        <v>152.98656999999997</v>
      </c>
      <c r="BK15" s="591">
        <f>IF(ISNA(VLOOKUP($B15,'3. EDU Calculation'!$B$10:$M$35,12,FALSE)),0,VLOOKUP($B15,'3. EDU Calculation'!$B$10:$M$35,12,FALSE))</f>
        <v>11.666666666666666</v>
      </c>
      <c r="BL15" s="591">
        <f>IF(ISNA(VLOOKUP($B15,'3. EDU Calculation'!$B$10:$M$35,12,FALSE)),0,VLOOKUP($B15,'3. EDU Calculation'!$B$10:$M$35,12,FALSE))</f>
        <v>11.666666666666666</v>
      </c>
      <c r="BM15" s="591">
        <f>IF(ISNA(VLOOKUP($B15,'3. EDU Calculation'!$B$10:$M$35,12,FALSE)),0,VLOOKUP($B15,'3. EDU Calculation'!$B$10:$M$35,12,FALSE))</f>
        <v>11.666666666666666</v>
      </c>
      <c r="BN15" s="591">
        <f>IF(ISNA(VLOOKUP($B15,'3. EDU Calculation'!$B$10:$M$35,12,FALSE)),0,VLOOKUP($B15,'3. EDU Calculation'!$B$10:$M$35,12,FALSE))</f>
        <v>11.666666666666666</v>
      </c>
      <c r="BO15" s="591">
        <f>IF(ISNA(VLOOKUP($B15,'3. EDU Calculation'!$B$10:$M$35,12,FALSE)),0,VLOOKUP($B15,'3. EDU Calculation'!$B$10:$M$35,12,FALSE))</f>
        <v>11.666666666666666</v>
      </c>
      <c r="BP15" s="591">
        <f>IF(ISNA(VLOOKUP($B15,'3. EDU Calculation'!$B$10:$M$35,12,FALSE)),0,VLOOKUP($B15,'3. EDU Calculation'!$B$10:$M$35,12,FALSE))</f>
        <v>11.666666666666666</v>
      </c>
      <c r="BQ15" s="591">
        <f>IF(ISNA(VLOOKUP($B15,'3. EDU Calculation'!$B$10:$M$35,12,FALSE)),0,VLOOKUP($B15,'3. EDU Calculation'!$B$10:$M$35,12,FALSE))</f>
        <v>11.666666666666666</v>
      </c>
      <c r="BR15" s="591"/>
      <c r="BS15" s="591"/>
      <c r="BT15" s="591">
        <f>IF(ISNA(VLOOKUP($B15,'3. EDU Calculation'!$B$10:$M$35,12,FALSE)),0,VLOOKUP($B15,'3. EDU Calculation'!$B$10:$M$35,12,FALSE))</f>
        <v>11.666666666666666</v>
      </c>
      <c r="BV15" s="591">
        <f t="shared" ref="BV15:BV39" si="30">BK15*AZ15</f>
        <v>0</v>
      </c>
      <c r="BW15" s="591">
        <f t="shared" ref="BW15:BW39" si="31">BL15*BA15</f>
        <v>0</v>
      </c>
      <c r="BX15" s="591">
        <f t="shared" ref="BX15:BX39" si="32">BM15*BB15</f>
        <v>0</v>
      </c>
      <c r="BY15" s="591">
        <f t="shared" ref="BY15:BY39" si="33">BN15*BC15</f>
        <v>0</v>
      </c>
      <c r="BZ15" s="591">
        <f t="shared" ref="BZ15:BZ39" si="34">BO15*BD15</f>
        <v>0</v>
      </c>
      <c r="CA15" s="591">
        <f t="shared" ref="CA15:CA39" si="35">BP15*BE15</f>
        <v>0</v>
      </c>
      <c r="CB15" s="591">
        <f t="shared" ref="CB15:CB39" si="36">BQ15*BF15</f>
        <v>0</v>
      </c>
      <c r="CC15" s="591"/>
      <c r="CD15" s="591"/>
      <c r="CE15" s="591">
        <f t="shared" ref="CE15:CE39" si="37">BT15*BI15</f>
        <v>1784.8433166666662</v>
      </c>
    </row>
    <row r="16" spans="1:83" x14ac:dyDescent="0.2">
      <c r="B16" t="s">
        <v>144</v>
      </c>
      <c r="D16" s="591">
        <f>IF(ISNA(VLOOKUP($B16,'PFF-Zones (Combined)'!$B$3:$W$11,18,FALSE)),0,VLOOKUP($B16,'PFF-Zones (Combined)'!$B$3:$W$11,18,FALSE))</f>
        <v>0</v>
      </c>
      <c r="E16" s="591">
        <f>IF(ISNA(VLOOKUP($B16,'PFF-Zones (Combined)'!$B$15:$W$31,18,FALSE)),0,VLOOKUP($B16,'PFF-Zones (Combined)'!$B$15:$W$31,18,FALSE))</f>
        <v>0</v>
      </c>
      <c r="F16" s="591">
        <f>IF(ISNA(VLOOKUP($B16,'PFF-Zones (Combined)'!$B$34:$W$47,18,FALSE)),0,VLOOKUP($B16,'PFF-Zones (Combined)'!$B$34:$W$47,18,FALSE))</f>
        <v>0</v>
      </c>
      <c r="G16" s="591">
        <f>IF(ISNA(VLOOKUP($B16,'PFF-Zones (Combined)'!$B$50:$W$56,18,FALSE)),0,VLOOKUP($B16,'PFF-Zones (Combined)'!$B$50:$W$56,18,FALSE))</f>
        <v>0</v>
      </c>
      <c r="H16" s="591">
        <f>IF(ISNA(VLOOKUP($B16,'PFF-Zones (Combined)'!$B$61:$W$71,18,FALSE)),0,VLOOKUP($B16,'PFF-Zones (Combined)'!$B$61:$W$71,18,FALSE))</f>
        <v>1</v>
      </c>
      <c r="I16" s="591">
        <f>IF(ISNA(VLOOKUP($B16,'PFF-Zones (Combined)'!$B$75:$W$81,18,FALSE)),0,VLOOKUP($B16,'PFF-Zones (Combined)'!$B$75:$W$81,18,FALSE))</f>
        <v>0</v>
      </c>
      <c r="J16" s="591">
        <f>IF(ISNA(VLOOKUP($B16,'PFF-Zones (Combined)'!$B$87:$W$105,18,FALSE)),0,VLOOKUP($B16,'PFF-Zones (Combined)'!$B$87:$W$105,18,FALSE))</f>
        <v>0</v>
      </c>
      <c r="K16" s="591"/>
      <c r="L16" s="591"/>
      <c r="M16" s="591">
        <f>IF(ISNA(VLOOKUP($B16,'PFF-Zones (Combined)'!$B$109:$W$120,18,FALSE)),0,VLOOKUP($B16,'PFF-Zones (Combined)'!$B$109:$W$120,18,FALSE))</f>
        <v>0</v>
      </c>
      <c r="N16" s="608"/>
      <c r="O16" s="614">
        <f>IF(ISNA(VLOOKUP($B16,'PFF-Zones (Combined)'!$B$3:$W$11,21,FALSE)),0,VLOOKUP($B16,'PFF-Zones (Combined)'!$B$3:$W$11,21,FALSE))</f>
        <v>0</v>
      </c>
      <c r="P16" s="614">
        <f>IF(ISNA(VLOOKUP($B16,'PFF-Zones (Combined)'!$B$15:$W$31,21,FALSE)),0,VLOOKUP($B16,'PFF-Zones (Combined)'!$B$15:$W$31,21,FALSE))</f>
        <v>0</v>
      </c>
      <c r="Q16" s="614">
        <f>IF(ISNA(VLOOKUP($B16,'PFF-Zones (Combined)'!$B$34:$W$47,21,FALSE)),0,VLOOKUP($B16,'PFF-Zones (Combined)'!$B$34:$W$47,21,FALSE))</f>
        <v>0</v>
      </c>
      <c r="R16" s="614">
        <f>IF(ISNA(VLOOKUP($B16,'PFF-Zones (Combined)'!$B$50:$W$56,21,FALSE)),0,VLOOKUP($B16,'PFF-Zones (Combined)'!$B$50:$W$56,21,FALSE))</f>
        <v>0</v>
      </c>
      <c r="S16" s="602">
        <f>IF(ISNA(VLOOKUP($B16,'PFF-Zones (Combined)'!$B$61:$W$71,21,FALSE)),0,VLOOKUP($B16,'PFF-Zones (Combined)'!$B$61:$W$71,21,FALSE))</f>
        <v>0.85</v>
      </c>
      <c r="T16" s="614">
        <f>IF(ISNA(VLOOKUP($B16,'PFF-Zones (Combined)'!$B$75:$W$81,21,FALSE)),0,VLOOKUP($B16,'PFF-Zones (Combined)'!$B$75:$W$81,21,FALSE))</f>
        <v>0</v>
      </c>
      <c r="U16" s="614">
        <f>IF(ISNA(VLOOKUP($B16,'PFF-Zones (Combined)'!$B$87:$W$105,21,FALSE)),0,VLOOKUP($B16,'PFF-Zones (Combined)'!$B$87:$W$105,21,FALSE))</f>
        <v>0</v>
      </c>
      <c r="V16" s="614"/>
      <c r="W16" s="614"/>
      <c r="X16" s="614">
        <f>IF(ISNA(VLOOKUP($B16,'PFF-Zones (Combined)'!$B$109:$W$120,21,FALSE)),0,VLOOKUP($B16,'PFF-Zones (Combined)'!$B$109:$W$120,21,FALSE))</f>
        <v>0</v>
      </c>
      <c r="Z16" s="607">
        <f t="shared" si="6"/>
        <v>0</v>
      </c>
      <c r="AA16" s="607">
        <f t="shared" si="7"/>
        <v>0</v>
      </c>
      <c r="AB16" s="607">
        <f t="shared" si="8"/>
        <v>0</v>
      </c>
      <c r="AC16" s="607">
        <f t="shared" si="9"/>
        <v>0</v>
      </c>
      <c r="AD16" s="607">
        <f t="shared" si="10"/>
        <v>0.85</v>
      </c>
      <c r="AE16" s="607">
        <f t="shared" si="11"/>
        <v>0</v>
      </c>
      <c r="AF16" s="607">
        <f t="shared" si="12"/>
        <v>0</v>
      </c>
      <c r="AG16" s="602"/>
      <c r="AH16" s="602"/>
      <c r="AI16" s="607">
        <f t="shared" si="13"/>
        <v>0</v>
      </c>
      <c r="AK16" s="615">
        <f>IF(ISNA(VLOOKUP($B16,'3. EDU Calculation'!$B$10:$E$35,4,FALSE)),0,VLOOKUP($B16,'3. EDU Calculation'!$B$10:$E$35,4,FALSE))</f>
        <v>0.9</v>
      </c>
      <c r="AL16" s="607">
        <f t="shared" si="14"/>
        <v>0</v>
      </c>
      <c r="AM16" s="607">
        <f t="shared" si="15"/>
        <v>0</v>
      </c>
      <c r="AN16" s="607">
        <f t="shared" si="16"/>
        <v>0</v>
      </c>
      <c r="AO16" s="607">
        <f t="shared" si="17"/>
        <v>0</v>
      </c>
      <c r="AP16" s="607">
        <f t="shared" si="18"/>
        <v>0.76500000000000001</v>
      </c>
      <c r="AQ16" s="607">
        <f t="shared" si="19"/>
        <v>0</v>
      </c>
      <c r="AR16" s="607">
        <f t="shared" si="20"/>
        <v>0</v>
      </c>
      <c r="AS16" s="607"/>
      <c r="AT16" s="607"/>
      <c r="AU16" s="607">
        <f t="shared" si="21"/>
        <v>0</v>
      </c>
      <c r="AX16" s="749" t="str">
        <f>IF(ISNA(VLOOKUP($B16,'3. EDU Calculation'!$B$10:$I$35,8,FALSE)),0,VLOOKUP($B16,'3. EDU Calculation'!$B$10:$I$35,8,FALSE))</f>
        <v>Acre</v>
      </c>
      <c r="AY16" s="749">
        <f>IF(ISNA(VLOOKUP($B16,'3. EDU Calculation'!$B$10:$J$35,9,FALSE)),0,VLOOKUP($B16,'3. EDU Calculation'!$B$10:$J$35,9,FALSE))</f>
        <v>1</v>
      </c>
      <c r="AZ16" s="586">
        <f t="shared" si="22"/>
        <v>0</v>
      </c>
      <c r="BA16" s="586">
        <f t="shared" si="23"/>
        <v>0</v>
      </c>
      <c r="BB16" s="586">
        <f t="shared" si="24"/>
        <v>0</v>
      </c>
      <c r="BC16" s="586">
        <f t="shared" si="25"/>
        <v>0</v>
      </c>
      <c r="BD16" s="586">
        <f t="shared" si="26"/>
        <v>0.85</v>
      </c>
      <c r="BE16" s="586">
        <f t="shared" si="27"/>
        <v>0</v>
      </c>
      <c r="BF16" s="586">
        <f t="shared" si="28"/>
        <v>0</v>
      </c>
      <c r="BG16" s="586"/>
      <c r="BH16" s="586"/>
      <c r="BI16" s="586">
        <f t="shared" si="29"/>
        <v>0</v>
      </c>
      <c r="BK16" s="591">
        <f>IF(ISNA(VLOOKUP($B16,'3. EDU Calculation'!$B$10:$M$35,12,FALSE)),0,VLOOKUP($B16,'3. EDU Calculation'!$B$10:$M$35,12,FALSE))</f>
        <v>15.000000000000002</v>
      </c>
      <c r="BL16" s="591">
        <f>IF(ISNA(VLOOKUP($B16,'3. EDU Calculation'!$B$10:$M$35,12,FALSE)),0,VLOOKUP($B16,'3. EDU Calculation'!$B$10:$M$35,12,FALSE))</f>
        <v>15.000000000000002</v>
      </c>
      <c r="BM16" s="591">
        <f>IF(ISNA(VLOOKUP($B16,'3. EDU Calculation'!$B$10:$M$35,12,FALSE)),0,VLOOKUP($B16,'3. EDU Calculation'!$B$10:$M$35,12,FALSE))</f>
        <v>15.000000000000002</v>
      </c>
      <c r="BN16" s="591">
        <f>IF(ISNA(VLOOKUP($B16,'3. EDU Calculation'!$B$10:$M$35,12,FALSE)),0,VLOOKUP($B16,'3. EDU Calculation'!$B$10:$M$35,12,FALSE))</f>
        <v>15.000000000000002</v>
      </c>
      <c r="BO16" s="591">
        <f>IF(ISNA(VLOOKUP($B16,'3. EDU Calculation'!$B$10:$M$35,12,FALSE)),0,VLOOKUP($B16,'3. EDU Calculation'!$B$10:$M$35,12,FALSE))</f>
        <v>15.000000000000002</v>
      </c>
      <c r="BP16" s="591">
        <f>IF(ISNA(VLOOKUP($B16,'3. EDU Calculation'!$B$10:$M$35,12,FALSE)),0,VLOOKUP($B16,'3. EDU Calculation'!$B$10:$M$35,12,FALSE))</f>
        <v>15.000000000000002</v>
      </c>
      <c r="BQ16" s="591">
        <f>IF(ISNA(VLOOKUP($B16,'3. EDU Calculation'!$B$10:$M$35,12,FALSE)),0,VLOOKUP($B16,'3. EDU Calculation'!$B$10:$M$35,12,FALSE))</f>
        <v>15.000000000000002</v>
      </c>
      <c r="BR16" s="591"/>
      <c r="BS16" s="591"/>
      <c r="BT16" s="591">
        <f>IF(ISNA(VLOOKUP($B16,'3. EDU Calculation'!$B$10:$M$35,12,FALSE)),0,VLOOKUP($B16,'3. EDU Calculation'!$B$10:$M$35,12,FALSE))</f>
        <v>15.000000000000002</v>
      </c>
      <c r="BV16" s="591">
        <f t="shared" si="30"/>
        <v>0</v>
      </c>
      <c r="BW16" s="591">
        <f t="shared" si="31"/>
        <v>0</v>
      </c>
      <c r="BX16" s="591">
        <f t="shared" si="32"/>
        <v>0</v>
      </c>
      <c r="BY16" s="591">
        <f t="shared" si="33"/>
        <v>0</v>
      </c>
      <c r="BZ16" s="591">
        <f t="shared" si="34"/>
        <v>12.750000000000002</v>
      </c>
      <c r="CA16" s="591">
        <f t="shared" si="35"/>
        <v>0</v>
      </c>
      <c r="CB16" s="591">
        <f t="shared" si="36"/>
        <v>0</v>
      </c>
      <c r="CC16" s="591"/>
      <c r="CD16" s="591"/>
      <c r="CE16" s="591">
        <f t="shared" si="37"/>
        <v>0</v>
      </c>
    </row>
    <row r="17" spans="2:83" x14ac:dyDescent="0.2">
      <c r="B17" t="s">
        <v>142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18.215</v>
      </c>
      <c r="F17" s="591">
        <f>IF(ISNA(VLOOKUP($B17,'PFF-Zones (Combined)'!$B$34:$W$47,18,FALSE)),0,VLOOKUP($B17,'PFF-Zones (Combined)'!$B$34:$W$47,18,FALSE))</f>
        <v>53.050400000000003</v>
      </c>
      <c r="G17" s="591">
        <f>IF(ISNA(VLOOKUP($B17,'PFF-Zones (Combined)'!$B$50:$W$56,18,FALSE)),0,VLOOKUP($B17,'PFF-Zones (Combined)'!$B$50:$W$56,18,FALSE))</f>
        <v>0.83179999999999998</v>
      </c>
      <c r="H17" s="591">
        <f>IF(ISNA(VLOOKUP($B17,'PFF-Zones (Combined)'!$B$61:$W$71,18,FALSE)),0,VLOOKUP($B17,'PFF-Zones (Combined)'!$B$61:$W$71,18,FALSE))</f>
        <v>33.699199999999998</v>
      </c>
      <c r="I17" s="591">
        <f>IF(ISNA(VLOOKUP($B17,'PFF-Zones (Combined)'!$B$75:$W$81,18,FALSE)),0,VLOOKUP($B17,'PFF-Zones (Combined)'!$B$75:$W$81,18,FALSE))</f>
        <v>53.385599999999997</v>
      </c>
      <c r="J17" s="591">
        <f>IF(ISNA(VLOOKUP($B17,'PFF-Zones (Combined)'!$B$87:$W$105,18,FALSE)),0,VLOOKUP($B17,'PFF-Zones (Combined)'!$B$87:$W$105,18,FALSE))</f>
        <v>46.847800000000007</v>
      </c>
      <c r="K17" s="591"/>
      <c r="L17" s="591"/>
      <c r="M17" s="591">
        <f>IF(ISNA(VLOOKUP($B17,'PFF-Zones (Combined)'!$B$109:$W$120,18,FALSE)),0,VLOOKUP($B17,'PFF-Zones (Combined)'!$B$109:$W$120,18,FALSE))</f>
        <v>23.4056</v>
      </c>
      <c r="N17" s="608"/>
      <c r="O17" s="614">
        <f>IF(ISNA(VLOOKUP($B17,'PFF-Zones (Combined)'!$B$3:$W$11,21,FALSE)),0,VLOOKUP($B17,'PFF-Zones (Combined)'!$B$3:$W$11,21,FALSE))</f>
        <v>0</v>
      </c>
      <c r="P17" s="602">
        <f>IF(ISNA(VLOOKUP($B17,'PFF-Zones (Combined)'!$B$15:$W$31,21,FALSE)),0,VLOOKUP($B17,'PFF-Zones (Combined)'!$B$15:$W$31,21,FALSE))</f>
        <v>0.85</v>
      </c>
      <c r="Q17" s="602">
        <f>IF(ISNA(VLOOKUP($B17,'PFF-Zones (Combined)'!$B$34:$W$47,21,FALSE)),0,VLOOKUP($B17,'PFF-Zones (Combined)'!$B$34:$W$47,21,FALSE))</f>
        <v>0.85</v>
      </c>
      <c r="R17" s="602">
        <f>IF(ISNA(VLOOKUP($B17,'PFF-Zones (Combined)'!$B$50:$W$56,21,FALSE)),0,VLOOKUP($B17,'PFF-Zones (Combined)'!$B$50:$W$56,21,FALSE))</f>
        <v>0.85</v>
      </c>
      <c r="S17" s="602">
        <f>IF(ISNA(VLOOKUP($B17,'PFF-Zones (Combined)'!$B$61:$W$71,21,FALSE)),0,VLOOKUP($B17,'PFF-Zones (Combined)'!$B$61:$W$71,21,FALSE))</f>
        <v>0.85</v>
      </c>
      <c r="T17" s="602">
        <f>IF(ISNA(VLOOKUP($B17,'PFF-Zones (Combined)'!$B$75:$W$81,21,FALSE)),0,VLOOKUP($B17,'PFF-Zones (Combined)'!$B$75:$W$81,21,FALSE))</f>
        <v>0.85</v>
      </c>
      <c r="U17" s="602">
        <f>IF(ISNA(VLOOKUP($B17,'PFF-Zones (Combined)'!$B$87:$W$105,21,FALSE)),0,VLOOKUP($B17,'PFF-Zones (Combined)'!$B$87:$W$105,21,FALSE))</f>
        <v>0.85</v>
      </c>
      <c r="V17" s="614"/>
      <c r="W17" s="614"/>
      <c r="X17" s="602">
        <f>IF(ISNA(VLOOKUP($B17,'PFF-Zones (Combined)'!$B$109:$W$120,21,FALSE)),0,VLOOKUP($B17,'PFF-Zones (Combined)'!$B$109:$W$120,21,FALSE))</f>
        <v>0.85</v>
      </c>
      <c r="Z17" s="607">
        <f t="shared" si="6"/>
        <v>0</v>
      </c>
      <c r="AA17" s="607">
        <f t="shared" si="7"/>
        <v>15.482749999999999</v>
      </c>
      <c r="AB17" s="607">
        <f t="shared" si="8"/>
        <v>45.092840000000002</v>
      </c>
      <c r="AC17" s="607">
        <f t="shared" si="9"/>
        <v>0.70702999999999994</v>
      </c>
      <c r="AD17" s="607">
        <f t="shared" si="10"/>
        <v>28.644319999999997</v>
      </c>
      <c r="AE17" s="607">
        <f t="shared" si="11"/>
        <v>45.377759999999995</v>
      </c>
      <c r="AF17" s="607">
        <f t="shared" si="12"/>
        <v>39.820630000000001</v>
      </c>
      <c r="AG17" s="602"/>
      <c r="AH17" s="602"/>
      <c r="AI17" s="607">
        <f t="shared" si="13"/>
        <v>19.894759999999998</v>
      </c>
      <c r="AK17" s="615">
        <f>IF(ISNA(VLOOKUP($B17,'3. EDU Calculation'!$B$10:$E$35,4,FALSE)),0,VLOOKUP($B17,'3. EDU Calculation'!$B$10:$E$35,4,FALSE))</f>
        <v>0.9</v>
      </c>
      <c r="AL17" s="607">
        <f t="shared" si="14"/>
        <v>0</v>
      </c>
      <c r="AM17" s="607">
        <f t="shared" si="15"/>
        <v>13.934474999999999</v>
      </c>
      <c r="AN17" s="607">
        <f t="shared" si="16"/>
        <v>40.583556000000002</v>
      </c>
      <c r="AO17" s="607">
        <f t="shared" si="17"/>
        <v>0.63632699999999998</v>
      </c>
      <c r="AP17" s="607">
        <f t="shared" si="18"/>
        <v>25.779887999999996</v>
      </c>
      <c r="AQ17" s="607">
        <f t="shared" si="19"/>
        <v>40.839983999999994</v>
      </c>
      <c r="AR17" s="607">
        <f t="shared" si="20"/>
        <v>35.838567000000005</v>
      </c>
      <c r="AS17" s="607"/>
      <c r="AT17" s="607"/>
      <c r="AU17" s="607">
        <f t="shared" si="21"/>
        <v>17.905283999999998</v>
      </c>
      <c r="AX17" s="749" t="str">
        <f>IF(ISNA(VLOOKUP($B17,'3. EDU Calculation'!$B$10:$I$35,8,FALSE)),0,VLOOKUP($B17,'3. EDU Calculation'!$B$10:$I$35,8,FALSE))</f>
        <v>Acre</v>
      </c>
      <c r="AY17" s="749">
        <f>IF(ISNA(VLOOKUP($B17,'3. EDU Calculation'!$B$10:$J$35,9,FALSE)),0,VLOOKUP($B17,'3. EDU Calculation'!$B$10:$J$35,9,FALSE))</f>
        <v>1</v>
      </c>
      <c r="AZ17" s="586">
        <f t="shared" si="22"/>
        <v>0</v>
      </c>
      <c r="BA17" s="586">
        <f t="shared" si="23"/>
        <v>15.482749999999999</v>
      </c>
      <c r="BB17" s="586">
        <f t="shared" si="24"/>
        <v>45.092840000000002</v>
      </c>
      <c r="BC17" s="586">
        <f t="shared" si="25"/>
        <v>0.70702999999999994</v>
      </c>
      <c r="BD17" s="586">
        <f t="shared" si="26"/>
        <v>28.644319999999997</v>
      </c>
      <c r="BE17" s="586">
        <f t="shared" si="27"/>
        <v>45.377759999999995</v>
      </c>
      <c r="BF17" s="586">
        <f t="shared" si="28"/>
        <v>39.820630000000001</v>
      </c>
      <c r="BG17" s="586"/>
      <c r="BH17" s="586"/>
      <c r="BI17" s="586">
        <f t="shared" si="29"/>
        <v>19.894759999999998</v>
      </c>
      <c r="BK17" s="591">
        <f>IF(ISNA(VLOOKUP($B17,'3. EDU Calculation'!$B$10:$M$35,12,FALSE)),0,VLOOKUP($B17,'3. EDU Calculation'!$B$10:$M$35,12,FALSE))</f>
        <v>15.000000000000002</v>
      </c>
      <c r="BL17" s="591">
        <f>IF(ISNA(VLOOKUP($B17,'3. EDU Calculation'!$B$10:$M$35,12,FALSE)),0,VLOOKUP($B17,'3. EDU Calculation'!$B$10:$M$35,12,FALSE))</f>
        <v>15.000000000000002</v>
      </c>
      <c r="BM17" s="591">
        <f>IF(ISNA(VLOOKUP($B17,'3. EDU Calculation'!$B$10:$M$35,12,FALSE)),0,VLOOKUP($B17,'3. EDU Calculation'!$B$10:$M$35,12,FALSE))</f>
        <v>15.000000000000002</v>
      </c>
      <c r="BN17" s="591">
        <f>IF(ISNA(VLOOKUP($B17,'3. EDU Calculation'!$B$10:$M$35,12,FALSE)),0,VLOOKUP($B17,'3. EDU Calculation'!$B$10:$M$35,12,FALSE))</f>
        <v>15.000000000000002</v>
      </c>
      <c r="BO17" s="591">
        <f>IF(ISNA(VLOOKUP($B17,'3. EDU Calculation'!$B$10:$M$35,12,FALSE)),0,VLOOKUP($B17,'3. EDU Calculation'!$B$10:$M$35,12,FALSE))</f>
        <v>15.000000000000002</v>
      </c>
      <c r="BP17" s="591">
        <f>IF(ISNA(VLOOKUP($B17,'3. EDU Calculation'!$B$10:$M$35,12,FALSE)),0,VLOOKUP($B17,'3. EDU Calculation'!$B$10:$M$35,12,FALSE))</f>
        <v>15.000000000000002</v>
      </c>
      <c r="BQ17" s="591">
        <f>IF(ISNA(VLOOKUP($B17,'3. EDU Calculation'!$B$10:$M$35,12,FALSE)),0,VLOOKUP($B17,'3. EDU Calculation'!$B$10:$M$35,12,FALSE))</f>
        <v>15.000000000000002</v>
      </c>
      <c r="BR17" s="591"/>
      <c r="BS17" s="591"/>
      <c r="BT17" s="591">
        <f>IF(ISNA(VLOOKUP($B17,'3. EDU Calculation'!$B$10:$M$35,12,FALSE)),0,VLOOKUP($B17,'3. EDU Calculation'!$B$10:$M$35,12,FALSE))</f>
        <v>15.000000000000002</v>
      </c>
      <c r="BV17" s="591">
        <f t="shared" si="30"/>
        <v>0</v>
      </c>
      <c r="BW17" s="591">
        <f t="shared" si="31"/>
        <v>232.24125000000001</v>
      </c>
      <c r="BX17" s="591">
        <f t="shared" si="32"/>
        <v>676.39260000000013</v>
      </c>
      <c r="BY17" s="591">
        <f t="shared" si="33"/>
        <v>10.605450000000001</v>
      </c>
      <c r="BZ17" s="591">
        <f t="shared" si="34"/>
        <v>429.66480000000001</v>
      </c>
      <c r="CA17" s="591">
        <f t="shared" si="35"/>
        <v>680.66639999999995</v>
      </c>
      <c r="CB17" s="591">
        <f t="shared" si="36"/>
        <v>597.30945000000008</v>
      </c>
      <c r="CC17" s="591"/>
      <c r="CD17" s="591"/>
      <c r="CE17" s="591">
        <f t="shared" si="37"/>
        <v>298.42140000000001</v>
      </c>
    </row>
    <row r="18" spans="2:83" x14ac:dyDescent="0.2">
      <c r="B18" t="s">
        <v>143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17.022500000000001</v>
      </c>
      <c r="F18" s="591">
        <f>IF(ISNA(VLOOKUP($B18,'PFF-Zones (Combined)'!$B$34:$W$47,18,FALSE)),0,VLOOKUP($B18,'PFF-Zones (Combined)'!$B$34:$W$47,18,FALSE))</f>
        <v>23.0594</v>
      </c>
      <c r="G18" s="591">
        <f>IF(ISNA(VLOOKUP($B18,'PFF-Zones (Combined)'!$B$50:$W$56,18,FALSE)),0,VLOOKUP($B18,'PFF-Zones (Combined)'!$B$50:$W$56,18,FALSE))</f>
        <v>0.89439999999999997</v>
      </c>
      <c r="H18" s="591">
        <f>IF(ISNA(VLOOKUP($B18,'PFF-Zones (Combined)'!$B$61:$W$71,18,FALSE)),0,VLOOKUP($B18,'PFF-Zones (Combined)'!$B$61:$W$71,18,FALSE))</f>
        <v>17.532</v>
      </c>
      <c r="I18" s="591">
        <f>IF(ISNA(VLOOKUP($B18,'PFF-Zones (Combined)'!$B$75:$W$81,18,FALSE)),0,VLOOKUP($B18,'PFF-Zones (Combined)'!$B$75:$W$81,18,FALSE))</f>
        <v>38.643099999999997</v>
      </c>
      <c r="J18" s="591">
        <f>IF(ISNA(VLOOKUP($B18,'PFF-Zones (Combined)'!$B$87:$W$105,18,FALSE)),0,VLOOKUP($B18,'PFF-Zones (Combined)'!$B$87:$W$105,18,FALSE))</f>
        <v>90.713300000000004</v>
      </c>
      <c r="K18" s="591"/>
      <c r="L18" s="591"/>
      <c r="M18" s="591">
        <f>IF(ISNA(VLOOKUP($B18,'PFF-Zones (Combined)'!$B$109:$W$120,18,FALSE)),0,VLOOKUP($B18,'PFF-Zones (Combined)'!$B$109:$W$120,18,FALSE))</f>
        <v>103.6925</v>
      </c>
      <c r="N18" s="608"/>
      <c r="O18" s="614">
        <f>IF(ISNA(VLOOKUP($B18,'PFF-Zones (Combined)'!$B$3:$W$11,21,FALSE)),0,VLOOKUP($B18,'PFF-Zones (Combined)'!$B$3:$W$11,21,FALSE))</f>
        <v>0</v>
      </c>
      <c r="P18" s="602">
        <f>IF(ISNA(VLOOKUP($B18,'PFF-Zones (Combined)'!$B$15:$W$31,21,FALSE)),0,VLOOKUP($B18,'PFF-Zones (Combined)'!$B$15:$W$31,21,FALSE))</f>
        <v>0.85</v>
      </c>
      <c r="Q18" s="602">
        <f>IF(ISNA(VLOOKUP($B18,'PFF-Zones (Combined)'!$B$34:$W$47,21,FALSE)),0,VLOOKUP($B18,'PFF-Zones (Combined)'!$B$34:$W$47,21,FALSE))</f>
        <v>0.85</v>
      </c>
      <c r="R18" s="602">
        <f>IF(ISNA(VLOOKUP($B18,'PFF-Zones (Combined)'!$B$50:$W$56,21,FALSE)),0,VLOOKUP($B18,'PFF-Zones (Combined)'!$B$50:$W$56,21,FALSE))</f>
        <v>0.85</v>
      </c>
      <c r="S18" s="602">
        <f>IF(ISNA(VLOOKUP($B18,'PFF-Zones (Combined)'!$B$61:$W$71,21,FALSE)),0,VLOOKUP($B18,'PFF-Zones (Combined)'!$B$61:$W$71,21,FALSE))</f>
        <v>0.85</v>
      </c>
      <c r="T18" s="602">
        <f>IF(ISNA(VLOOKUP($B18,'PFF-Zones (Combined)'!$B$75:$W$81,21,FALSE)),0,VLOOKUP($B18,'PFF-Zones (Combined)'!$B$75:$W$81,21,FALSE))</f>
        <v>0.85</v>
      </c>
      <c r="U18" s="602">
        <f>IF(ISNA(VLOOKUP($B18,'PFF-Zones (Combined)'!$B$87:$W$105,21,FALSE)),0,VLOOKUP($B18,'PFF-Zones (Combined)'!$B$87:$W$105,21,FALSE))</f>
        <v>0.85</v>
      </c>
      <c r="V18" s="614"/>
      <c r="W18" s="614"/>
      <c r="X18" s="602">
        <f>IF(ISNA(VLOOKUP($B18,'PFF-Zones (Combined)'!$B$109:$W$120,21,FALSE)),0,VLOOKUP($B18,'PFF-Zones (Combined)'!$B$109:$W$120,21,FALSE))</f>
        <v>0.85</v>
      </c>
      <c r="Z18" s="607">
        <f t="shared" si="6"/>
        <v>0</v>
      </c>
      <c r="AA18" s="607">
        <f t="shared" si="7"/>
        <v>14.469125</v>
      </c>
      <c r="AB18" s="607">
        <f t="shared" si="8"/>
        <v>19.600490000000001</v>
      </c>
      <c r="AC18" s="607">
        <f t="shared" si="9"/>
        <v>0.76023999999999992</v>
      </c>
      <c r="AD18" s="607">
        <f t="shared" si="10"/>
        <v>14.902199999999999</v>
      </c>
      <c r="AE18" s="607">
        <f t="shared" si="11"/>
        <v>32.846634999999999</v>
      </c>
      <c r="AF18" s="607">
        <f t="shared" si="12"/>
        <v>77.106305000000006</v>
      </c>
      <c r="AG18" s="602"/>
      <c r="AH18" s="602"/>
      <c r="AI18" s="607">
        <f t="shared" si="13"/>
        <v>88.13862499999999</v>
      </c>
      <c r="AK18" s="615">
        <f>IF(ISNA(VLOOKUP($B18,'3. EDU Calculation'!$B$10:$E$35,4,FALSE)),0,VLOOKUP($B18,'3. EDU Calculation'!$B$10:$E$35,4,FALSE))</f>
        <v>0.9</v>
      </c>
      <c r="AL18" s="607">
        <f t="shared" si="14"/>
        <v>0</v>
      </c>
      <c r="AM18" s="607">
        <f t="shared" si="15"/>
        <v>13.0222125</v>
      </c>
      <c r="AN18" s="607">
        <f t="shared" si="16"/>
        <v>17.640441000000003</v>
      </c>
      <c r="AO18" s="607">
        <f t="shared" si="17"/>
        <v>0.68421599999999994</v>
      </c>
      <c r="AP18" s="607">
        <f t="shared" si="18"/>
        <v>13.41198</v>
      </c>
      <c r="AQ18" s="607">
        <f t="shared" si="19"/>
        <v>29.561971499999999</v>
      </c>
      <c r="AR18" s="607">
        <f t="shared" si="20"/>
        <v>69.395674500000013</v>
      </c>
      <c r="AS18" s="607"/>
      <c r="AT18" s="607"/>
      <c r="AU18" s="607">
        <f t="shared" si="21"/>
        <v>79.324762499999991</v>
      </c>
      <c r="AX18" s="749" t="str">
        <f>IF(ISNA(VLOOKUP($B18,'3. EDU Calculation'!$B$10:$I$35,8,FALSE)),0,VLOOKUP($B18,'3. EDU Calculation'!$B$10:$I$35,8,FALSE))</f>
        <v>Acre</v>
      </c>
      <c r="AY18" s="749">
        <f>IF(ISNA(VLOOKUP($B18,'3. EDU Calculation'!$B$10:$J$35,9,FALSE)),0,VLOOKUP($B18,'3. EDU Calculation'!$B$10:$J$35,9,FALSE))</f>
        <v>1</v>
      </c>
      <c r="AZ18" s="586">
        <f t="shared" si="22"/>
        <v>0</v>
      </c>
      <c r="BA18" s="586">
        <f t="shared" si="23"/>
        <v>14.469125</v>
      </c>
      <c r="BB18" s="586">
        <f t="shared" si="24"/>
        <v>19.600490000000001</v>
      </c>
      <c r="BC18" s="586">
        <f t="shared" si="25"/>
        <v>0.76023999999999992</v>
      </c>
      <c r="BD18" s="586">
        <f t="shared" si="26"/>
        <v>14.902199999999999</v>
      </c>
      <c r="BE18" s="586">
        <f t="shared" si="27"/>
        <v>32.846634999999999</v>
      </c>
      <c r="BF18" s="586">
        <f t="shared" si="28"/>
        <v>77.106305000000006</v>
      </c>
      <c r="BG18" s="586"/>
      <c r="BH18" s="586"/>
      <c r="BI18" s="586">
        <f t="shared" si="29"/>
        <v>88.13862499999999</v>
      </c>
      <c r="BK18" s="591">
        <f>IF(ISNA(VLOOKUP($B18,'3. EDU Calculation'!$B$10:$M$35,12,FALSE)),0,VLOOKUP($B18,'3. EDU Calculation'!$B$10:$M$35,12,FALSE))</f>
        <v>15.000000000000002</v>
      </c>
      <c r="BL18" s="591">
        <f>IF(ISNA(VLOOKUP($B18,'3. EDU Calculation'!$B$10:$M$35,12,FALSE)),0,VLOOKUP($B18,'3. EDU Calculation'!$B$10:$M$35,12,FALSE))</f>
        <v>15.000000000000002</v>
      </c>
      <c r="BM18" s="591">
        <f>IF(ISNA(VLOOKUP($B18,'3. EDU Calculation'!$B$10:$M$35,12,FALSE)),0,VLOOKUP($B18,'3. EDU Calculation'!$B$10:$M$35,12,FALSE))</f>
        <v>15.000000000000002</v>
      </c>
      <c r="BN18" s="591">
        <f>IF(ISNA(VLOOKUP($B18,'3. EDU Calculation'!$B$10:$M$35,12,FALSE)),0,VLOOKUP($B18,'3. EDU Calculation'!$B$10:$M$35,12,FALSE))</f>
        <v>15.000000000000002</v>
      </c>
      <c r="BO18" s="591">
        <f>IF(ISNA(VLOOKUP($B18,'3. EDU Calculation'!$B$10:$M$35,12,FALSE)),0,VLOOKUP($B18,'3. EDU Calculation'!$B$10:$M$35,12,FALSE))</f>
        <v>15.000000000000002</v>
      </c>
      <c r="BP18" s="591">
        <f>IF(ISNA(VLOOKUP($B18,'3. EDU Calculation'!$B$10:$M$35,12,FALSE)),0,VLOOKUP($B18,'3. EDU Calculation'!$B$10:$M$35,12,FALSE))</f>
        <v>15.000000000000002</v>
      </c>
      <c r="BQ18" s="591">
        <f>IF(ISNA(VLOOKUP($B18,'3. EDU Calculation'!$B$10:$M$35,12,FALSE)),0,VLOOKUP($B18,'3. EDU Calculation'!$B$10:$M$35,12,FALSE))</f>
        <v>15.000000000000002</v>
      </c>
      <c r="BR18" s="591"/>
      <c r="BS18" s="591"/>
      <c r="BT18" s="591">
        <f>IF(ISNA(VLOOKUP($B18,'3. EDU Calculation'!$B$10:$M$35,12,FALSE)),0,VLOOKUP($B18,'3. EDU Calculation'!$B$10:$M$35,12,FALSE))</f>
        <v>15.000000000000002</v>
      </c>
      <c r="BV18" s="591">
        <f t="shared" si="30"/>
        <v>0</v>
      </c>
      <c r="BW18" s="591">
        <f t="shared" si="31"/>
        <v>217.03687500000004</v>
      </c>
      <c r="BX18" s="591">
        <f t="shared" si="32"/>
        <v>294.00735000000003</v>
      </c>
      <c r="BY18" s="591">
        <f t="shared" si="33"/>
        <v>11.403600000000001</v>
      </c>
      <c r="BZ18" s="591">
        <f t="shared" si="34"/>
        <v>223.53300000000002</v>
      </c>
      <c r="CA18" s="591">
        <f t="shared" si="35"/>
        <v>492.69952500000005</v>
      </c>
      <c r="CB18" s="591">
        <f t="shared" si="36"/>
        <v>1156.5945750000003</v>
      </c>
      <c r="CC18" s="591"/>
      <c r="CD18" s="591"/>
      <c r="CE18" s="591">
        <f t="shared" si="37"/>
        <v>1322.079375</v>
      </c>
    </row>
    <row r="19" spans="2:83" x14ac:dyDescent="0.2">
      <c r="B19" t="s">
        <v>139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0</v>
      </c>
      <c r="F19" s="591">
        <f>IF(ISNA(VLOOKUP($B19,'PFF-Zones (Combined)'!$B$34:$W$47,18,FALSE)),0,VLOOKUP($B19,'PFF-Zones (Combined)'!$B$34:$W$47,18,FALSE))</f>
        <v>39.827100000000002</v>
      </c>
      <c r="G19" s="591">
        <f>IF(ISNA(VLOOKUP($B19,'PFF-Zones (Combined)'!$B$50:$W$56,18,FALSE)),0,VLOOKUP($B19,'PFF-Zones (Combined)'!$B$50:$W$56,18,FALSE))</f>
        <v>0</v>
      </c>
      <c r="H19" s="591">
        <f>IF(ISNA(VLOOKUP($B19,'PFF-Zones (Combined)'!$B$61:$W$71,18,FALSE)),0,VLOOKUP($B19,'PFF-Zones (Combined)'!$B$61:$W$71,18,FALSE))</f>
        <v>20.7362</v>
      </c>
      <c r="I19" s="591">
        <f>IF(ISNA(VLOOKUP($B19,'PFF-Zones (Combined)'!$B$75:$W$81,18,FALSE)),0,VLOOKUP($B19,'PFF-Zones (Combined)'!$B$75:$W$81,18,FALSE))</f>
        <v>0</v>
      </c>
      <c r="J19" s="591">
        <f>IF(ISNA(VLOOKUP($B19,'PFF-Zones (Combined)'!$B$87:$W$105,18,FALSE)),0,VLOOKUP($B19,'PFF-Zones (Combined)'!$B$87:$W$105,18,FALSE))</f>
        <v>45.841400000000007</v>
      </c>
      <c r="K19" s="591"/>
      <c r="L19" s="591"/>
      <c r="M19" s="591">
        <f>IF(ISNA(VLOOKUP($B19,'PFF-Zones (Combined)'!$B$109:$W$120,18,FALSE)),0,VLOOKUP($B19,'PFF-Zones (Combined)'!$B$109:$W$120,18,FALSE))</f>
        <v>20.851600000000001</v>
      </c>
      <c r="N19" s="608"/>
      <c r="O19" s="614">
        <f>IF(ISNA(VLOOKUP($B19,'PFF-Zones (Combined)'!$B$3:$W$11,21,FALSE)),0,VLOOKUP($B19,'PFF-Zones (Combined)'!$B$3:$W$11,21,FALSE))</f>
        <v>0</v>
      </c>
      <c r="P19" s="614">
        <f>IF(ISNA(VLOOKUP($B19,'PFF-Zones (Combined)'!$B$15:$W$31,21,FALSE)),0,VLOOKUP($B19,'PFF-Zones (Combined)'!$B$15:$W$31,21,FALSE))</f>
        <v>0</v>
      </c>
      <c r="Q19" s="602">
        <f>IF(ISNA(VLOOKUP($B19,'PFF-Zones (Combined)'!$B$34:$W$47,21,FALSE)),0,VLOOKUP($B19,'PFF-Zones (Combined)'!$B$34:$W$47,21,FALSE))</f>
        <v>0.85</v>
      </c>
      <c r="R19" s="614">
        <f>IF(ISNA(VLOOKUP($B19,'PFF-Zones (Combined)'!$B$50:$W$56,21,FALSE)),0,VLOOKUP($B19,'PFF-Zones (Combined)'!$B$50:$W$56,21,FALSE))</f>
        <v>0</v>
      </c>
      <c r="S19" s="602">
        <f>IF(ISNA(VLOOKUP($B19,'PFF-Zones (Combined)'!$B$61:$W$71,21,FALSE)),0,VLOOKUP($B19,'PFF-Zones (Combined)'!$B$61:$W$71,21,FALSE))</f>
        <v>0.85</v>
      </c>
      <c r="T19" s="614">
        <f>IF(ISNA(VLOOKUP($B19,'PFF-Zones (Combined)'!$B$75:$W$81,21,FALSE)),0,VLOOKUP($B19,'PFF-Zones (Combined)'!$B$75:$W$81,21,FALSE))</f>
        <v>0</v>
      </c>
      <c r="U19" s="602">
        <f>IF(ISNA(VLOOKUP($B19,'PFF-Zones (Combined)'!$B$87:$W$105,21,FALSE)),0,VLOOKUP($B19,'PFF-Zones (Combined)'!$B$87:$W$105,21,FALSE))</f>
        <v>0.85</v>
      </c>
      <c r="V19" s="614"/>
      <c r="W19" s="614"/>
      <c r="X19" s="602">
        <f>IF(ISNA(VLOOKUP($B19,'PFF-Zones (Combined)'!$B$109:$W$120,21,FALSE)),0,VLOOKUP($B19,'PFF-Zones (Combined)'!$B$109:$W$120,21,FALSE))</f>
        <v>0.85</v>
      </c>
      <c r="Z19" s="607">
        <f t="shared" si="6"/>
        <v>0</v>
      </c>
      <c r="AA19" s="607">
        <f t="shared" si="7"/>
        <v>0</v>
      </c>
      <c r="AB19" s="607">
        <f t="shared" si="8"/>
        <v>33.853034999999998</v>
      </c>
      <c r="AC19" s="607">
        <f t="shared" si="9"/>
        <v>0</v>
      </c>
      <c r="AD19" s="607">
        <f t="shared" si="10"/>
        <v>17.625769999999999</v>
      </c>
      <c r="AE19" s="607">
        <f t="shared" si="11"/>
        <v>0</v>
      </c>
      <c r="AF19" s="607">
        <f t="shared" si="12"/>
        <v>38.965190000000007</v>
      </c>
      <c r="AG19" s="602"/>
      <c r="AH19" s="602"/>
      <c r="AI19" s="607">
        <f t="shared" si="13"/>
        <v>17.723860000000002</v>
      </c>
      <c r="AK19" s="615">
        <f>IF(ISNA(VLOOKUP($B19,'3. EDU Calculation'!$B$10:$E$35,4,FALSE)),0,VLOOKUP($B19,'3. EDU Calculation'!$B$10:$E$35,4,FALSE))</f>
        <v>0.65</v>
      </c>
      <c r="AL19" s="607">
        <f t="shared" si="14"/>
        <v>0</v>
      </c>
      <c r="AM19" s="607">
        <f t="shared" si="15"/>
        <v>0</v>
      </c>
      <c r="AN19" s="607">
        <f t="shared" si="16"/>
        <v>22.004472750000001</v>
      </c>
      <c r="AO19" s="607">
        <f t="shared" si="17"/>
        <v>0</v>
      </c>
      <c r="AP19" s="607">
        <f t="shared" si="18"/>
        <v>11.4567505</v>
      </c>
      <c r="AQ19" s="607">
        <f t="shared" si="19"/>
        <v>0</v>
      </c>
      <c r="AR19" s="607">
        <f t="shared" si="20"/>
        <v>25.327373500000004</v>
      </c>
      <c r="AS19" s="607"/>
      <c r="AT19" s="607"/>
      <c r="AU19" s="607">
        <f t="shared" si="21"/>
        <v>11.520509000000002</v>
      </c>
      <c r="AX19" s="749" t="str">
        <f>IF(ISNA(VLOOKUP($B19,'3. EDU Calculation'!$B$10:$I$35,8,FALSE)),0,VLOOKUP($B19,'3. EDU Calculation'!$B$10:$I$35,8,FALSE))</f>
        <v>Dwelling Unit</v>
      </c>
      <c r="AY19" s="749">
        <f>IF(ISNA(VLOOKUP($B19,'3. EDU Calculation'!$B$10:$J$35,9,FALSE)),0,VLOOKUP($B19,'3. EDU Calculation'!$B$10:$J$35,9,FALSE))</f>
        <v>17</v>
      </c>
      <c r="AZ19" s="586">
        <f t="shared" si="22"/>
        <v>0</v>
      </c>
      <c r="BA19" s="586">
        <f t="shared" si="23"/>
        <v>0</v>
      </c>
      <c r="BB19" s="586">
        <f t="shared" si="24"/>
        <v>575.50159499999995</v>
      </c>
      <c r="BC19" s="586">
        <f t="shared" si="25"/>
        <v>0</v>
      </c>
      <c r="BD19" s="586">
        <f t="shared" si="26"/>
        <v>299.63808999999998</v>
      </c>
      <c r="BE19" s="586">
        <f t="shared" si="27"/>
        <v>0</v>
      </c>
      <c r="BF19" s="586">
        <f t="shared" si="28"/>
        <v>662.40823000000012</v>
      </c>
      <c r="BG19" s="586"/>
      <c r="BH19" s="586"/>
      <c r="BI19" s="586">
        <f t="shared" si="29"/>
        <v>301.30562000000003</v>
      </c>
      <c r="BK19" s="591">
        <f>IF(ISNA(VLOOKUP($B19,'3. EDU Calculation'!$B$10:$M$35,12,FALSE)),0,VLOOKUP($B19,'3. EDU Calculation'!$B$10:$M$35,12,FALSE))</f>
        <v>0.63725490196078438</v>
      </c>
      <c r="BL19" s="591">
        <f>IF(ISNA(VLOOKUP($B19,'3. EDU Calculation'!$B$10:$M$35,12,FALSE)),0,VLOOKUP($B19,'3. EDU Calculation'!$B$10:$M$35,12,FALSE))</f>
        <v>0.63725490196078438</v>
      </c>
      <c r="BM19" s="591">
        <f>IF(ISNA(VLOOKUP($B19,'3. EDU Calculation'!$B$10:$M$35,12,FALSE)),0,VLOOKUP($B19,'3. EDU Calculation'!$B$10:$M$35,12,FALSE))</f>
        <v>0.63725490196078438</v>
      </c>
      <c r="BN19" s="591">
        <f>IF(ISNA(VLOOKUP($B19,'3. EDU Calculation'!$B$10:$M$35,12,FALSE)),0,VLOOKUP($B19,'3. EDU Calculation'!$B$10:$M$35,12,FALSE))</f>
        <v>0.63725490196078438</v>
      </c>
      <c r="BO19" s="591">
        <f>IF(ISNA(VLOOKUP($B19,'3. EDU Calculation'!$B$10:$M$35,12,FALSE)),0,VLOOKUP($B19,'3. EDU Calculation'!$B$10:$M$35,12,FALSE))</f>
        <v>0.63725490196078438</v>
      </c>
      <c r="BP19" s="591">
        <f>IF(ISNA(VLOOKUP($B19,'3. EDU Calculation'!$B$10:$M$35,12,FALSE)),0,VLOOKUP($B19,'3. EDU Calculation'!$B$10:$M$35,12,FALSE))</f>
        <v>0.63725490196078438</v>
      </c>
      <c r="BQ19" s="591">
        <f>IF(ISNA(VLOOKUP($B19,'3. EDU Calculation'!$B$10:$M$35,12,FALSE)),0,VLOOKUP($B19,'3. EDU Calculation'!$B$10:$M$35,12,FALSE))</f>
        <v>0.63725490196078438</v>
      </c>
      <c r="BR19" s="591"/>
      <c r="BS19" s="591"/>
      <c r="BT19" s="591">
        <f>IF(ISNA(VLOOKUP($B19,'3. EDU Calculation'!$B$10:$M$35,12,FALSE)),0,VLOOKUP($B19,'3. EDU Calculation'!$B$10:$M$35,12,FALSE))</f>
        <v>0.63725490196078438</v>
      </c>
      <c r="BV19" s="591">
        <f t="shared" si="30"/>
        <v>0</v>
      </c>
      <c r="BW19" s="591">
        <f t="shared" si="31"/>
        <v>0</v>
      </c>
      <c r="BX19" s="591">
        <f t="shared" si="32"/>
        <v>366.74121250000002</v>
      </c>
      <c r="BY19" s="591">
        <f t="shared" si="33"/>
        <v>0</v>
      </c>
      <c r="BZ19" s="591">
        <f t="shared" si="34"/>
        <v>190.94584166666667</v>
      </c>
      <c r="CA19" s="591">
        <f t="shared" si="35"/>
        <v>0</v>
      </c>
      <c r="CB19" s="591">
        <f t="shared" si="36"/>
        <v>422.12289166666676</v>
      </c>
      <c r="CC19" s="591"/>
      <c r="CD19" s="591"/>
      <c r="CE19" s="591">
        <f t="shared" si="37"/>
        <v>192.00848333333337</v>
      </c>
    </row>
    <row r="20" spans="2:83" x14ac:dyDescent="0.2">
      <c r="B20" t="s">
        <v>146</v>
      </c>
      <c r="D20" s="591">
        <f>IF(ISNA(VLOOKUP($B20,'PFF-Zones (Combined)'!$B$3:$W$11,18,FALSE)),0,VLOOKUP($B20,'PFF-Zones (Combined)'!$B$3:$W$11,18,FALSE))</f>
        <v>95.526600000000002</v>
      </c>
      <c r="E20" s="591">
        <f>IF(ISNA(VLOOKUP($B20,'PFF-Zones (Combined)'!$B$15:$W$31,18,FALSE)),0,VLOOKUP($B20,'PFF-Zones (Combined)'!$B$15:$W$31,18,FALSE))</f>
        <v>0</v>
      </c>
      <c r="F20" s="591">
        <f>IF(ISNA(VLOOKUP($B20,'PFF-Zones (Combined)'!$B$34:$W$47,18,FALSE)),0,VLOOKUP($B20,'PFF-Zones (Combined)'!$B$34:$W$47,18,FALSE))</f>
        <v>0</v>
      </c>
      <c r="G20" s="591">
        <f>IF(ISNA(VLOOKUP($B20,'PFF-Zones (Combined)'!$B$50:$W$56,18,FALSE)),0,VLOOKUP($B20,'PFF-Zones (Combined)'!$B$50:$W$56,18,FALSE))</f>
        <v>72.683199999999999</v>
      </c>
      <c r="H20" s="591">
        <f>IF(ISNA(VLOOKUP($B20,'PFF-Zones (Combined)'!$B$61:$W$71,18,FALSE)),0,VLOOKUP($B20,'PFF-Zones (Combined)'!$B$61:$W$71,18,FALSE))</f>
        <v>0</v>
      </c>
      <c r="I20" s="591">
        <f>IF(ISNA(VLOOKUP($B20,'PFF-Zones (Combined)'!$B$75:$W$81,18,FALSE)),0,VLOOKUP($B20,'PFF-Zones (Combined)'!$B$75:$W$81,18,FALSE))</f>
        <v>26.0655</v>
      </c>
      <c r="J20" s="591">
        <f>IF(ISNA(VLOOKUP($B20,'PFF-Zones (Combined)'!$B$87:$W$105,18,FALSE)),0,VLOOKUP($B20,'PFF-Zones (Combined)'!$B$87:$W$105,18,FALSE))</f>
        <v>290.72450000000003</v>
      </c>
      <c r="K20" s="591"/>
      <c r="L20" s="591"/>
      <c r="M20" s="591">
        <f>IF(ISNA(VLOOKUP($B20,'PFF-Zones (Combined)'!$B$109:$W$120,18,FALSE)),0,VLOOKUP($B20,'PFF-Zones (Combined)'!$B$109:$W$120,18,FALSE))</f>
        <v>0</v>
      </c>
      <c r="N20" s="608"/>
      <c r="O20" s="602">
        <f>IF(ISNA(VLOOKUP($B20,'PFF-Zones (Combined)'!$B$3:$W$11,21,FALSE)),0,VLOOKUP($B20,'PFF-Zones (Combined)'!$B$3:$W$11,21,FALSE))</f>
        <v>0.85</v>
      </c>
      <c r="P20" s="614">
        <f>IF(ISNA(VLOOKUP($B20,'PFF-Zones (Combined)'!$B$15:$W$31,21,FALSE)),0,VLOOKUP($B20,'PFF-Zones (Combined)'!$B$15:$W$31,21,FALSE))</f>
        <v>0</v>
      </c>
      <c r="Q20" s="614">
        <f>IF(ISNA(VLOOKUP($B20,'PFF-Zones (Combined)'!$B$34:$W$47,21,FALSE)),0,VLOOKUP($B20,'PFF-Zones (Combined)'!$B$34:$W$47,21,FALSE))</f>
        <v>0</v>
      </c>
      <c r="R20" s="602">
        <f>IF(ISNA(VLOOKUP($B20,'PFF-Zones (Combined)'!$B$50:$W$56,21,FALSE)),0,VLOOKUP($B20,'PFF-Zones (Combined)'!$B$50:$W$56,21,FALSE))</f>
        <v>0.85</v>
      </c>
      <c r="S20" s="602">
        <f>IF(ISNA(VLOOKUP($B20,'PFF-Zones (Combined)'!$B$61:$W$71,21,FALSE)),0,VLOOKUP($B20,'PFF-Zones (Combined)'!$B$61:$W$71,21,FALSE))</f>
        <v>0.85</v>
      </c>
      <c r="T20" s="602">
        <f>IF(ISNA(VLOOKUP($B20,'PFF-Zones (Combined)'!$B$75:$W$81,21,FALSE)),0,VLOOKUP($B20,'PFF-Zones (Combined)'!$B$75:$W$81,21,FALSE))</f>
        <v>0.85</v>
      </c>
      <c r="U20" s="602">
        <f>IF(ISNA(VLOOKUP($B20,'PFF-Zones (Combined)'!$B$87:$W$105,21,FALSE)),0,VLOOKUP($B20,'PFF-Zones (Combined)'!$B$87:$W$105,21,FALSE))</f>
        <v>0.85</v>
      </c>
      <c r="V20" s="614"/>
      <c r="W20" s="614"/>
      <c r="X20" s="614">
        <f>IF(ISNA(VLOOKUP($B20,'PFF-Zones (Combined)'!$B$109:$W$120,21,FALSE)),0,VLOOKUP($B20,'PFF-Zones (Combined)'!$B$109:$W$120,21,FALSE))</f>
        <v>0</v>
      </c>
      <c r="Z20" s="607">
        <f t="shared" si="6"/>
        <v>81.197609999999997</v>
      </c>
      <c r="AA20" s="607">
        <f t="shared" si="7"/>
        <v>0</v>
      </c>
      <c r="AB20" s="607">
        <f t="shared" si="8"/>
        <v>0</v>
      </c>
      <c r="AC20" s="607">
        <f t="shared" si="9"/>
        <v>61.780719999999995</v>
      </c>
      <c r="AD20" s="607">
        <f t="shared" si="10"/>
        <v>0</v>
      </c>
      <c r="AE20" s="607">
        <f t="shared" si="11"/>
        <v>22.155674999999999</v>
      </c>
      <c r="AF20" s="607">
        <f t="shared" si="12"/>
        <v>247.11582500000003</v>
      </c>
      <c r="AG20" s="602"/>
      <c r="AH20" s="602"/>
      <c r="AI20" s="607">
        <f t="shared" si="13"/>
        <v>0</v>
      </c>
      <c r="AK20" s="615">
        <f>IF(ISNA(VLOOKUP($B20,'3. EDU Calculation'!$B$10:$E$35,4,FALSE)),0,VLOOKUP($B20,'3. EDU Calculation'!$B$10:$E$35,4,FALSE))</f>
        <v>0.7</v>
      </c>
      <c r="AL20" s="607">
        <f t="shared" si="14"/>
        <v>56.838326999999992</v>
      </c>
      <c r="AM20" s="607">
        <f t="shared" si="15"/>
        <v>0</v>
      </c>
      <c r="AN20" s="607">
        <f t="shared" si="16"/>
        <v>0</v>
      </c>
      <c r="AO20" s="607">
        <f t="shared" si="17"/>
        <v>43.246503999999995</v>
      </c>
      <c r="AP20" s="607">
        <f t="shared" si="18"/>
        <v>0</v>
      </c>
      <c r="AQ20" s="607">
        <f t="shared" si="19"/>
        <v>15.508972499999999</v>
      </c>
      <c r="AR20" s="607">
        <f t="shared" si="20"/>
        <v>172.9810775</v>
      </c>
      <c r="AS20" s="607"/>
      <c r="AT20" s="607"/>
      <c r="AU20" s="607">
        <f t="shared" si="21"/>
        <v>0</v>
      </c>
      <c r="AX20" s="749" t="str">
        <f>IF(ISNA(VLOOKUP($B20,'3. EDU Calculation'!$B$10:$I$35,8,FALSE)),0,VLOOKUP($B20,'3. EDU Calculation'!$B$10:$I$35,8,FALSE))</f>
        <v>Acre</v>
      </c>
      <c r="AY20" s="749">
        <f>IF(ISNA(VLOOKUP($B20,'3. EDU Calculation'!$B$10:$J$35,9,FALSE)),0,VLOOKUP($B20,'3. EDU Calculation'!$B$10:$J$35,9,FALSE))</f>
        <v>1</v>
      </c>
      <c r="AZ20" s="586">
        <f t="shared" si="22"/>
        <v>81.197609999999997</v>
      </c>
      <c r="BA20" s="586">
        <f t="shared" si="23"/>
        <v>0</v>
      </c>
      <c r="BB20" s="586">
        <f t="shared" si="24"/>
        <v>0</v>
      </c>
      <c r="BC20" s="586">
        <f t="shared" si="25"/>
        <v>61.780719999999995</v>
      </c>
      <c r="BD20" s="586">
        <f t="shared" si="26"/>
        <v>0</v>
      </c>
      <c r="BE20" s="586">
        <f t="shared" si="27"/>
        <v>22.155674999999999</v>
      </c>
      <c r="BF20" s="586">
        <f t="shared" si="28"/>
        <v>247.11582500000003</v>
      </c>
      <c r="BG20" s="586"/>
      <c r="BH20" s="586"/>
      <c r="BI20" s="586">
        <f t="shared" si="29"/>
        <v>0</v>
      </c>
      <c r="BK20" s="591">
        <f>IF(ISNA(VLOOKUP($B20,'3. EDU Calculation'!$B$10:$M$35,12,FALSE)),0,VLOOKUP($B20,'3. EDU Calculation'!$B$10:$M$35,12,FALSE))</f>
        <v>11.666666666666666</v>
      </c>
      <c r="BL20" s="591">
        <f>IF(ISNA(VLOOKUP($B20,'3. EDU Calculation'!$B$10:$M$35,12,FALSE)),0,VLOOKUP($B20,'3. EDU Calculation'!$B$10:$M$35,12,FALSE))</f>
        <v>11.666666666666666</v>
      </c>
      <c r="BM20" s="591">
        <f>IF(ISNA(VLOOKUP($B20,'3. EDU Calculation'!$B$10:$M$35,12,FALSE)),0,VLOOKUP($B20,'3. EDU Calculation'!$B$10:$M$35,12,FALSE))</f>
        <v>11.666666666666666</v>
      </c>
      <c r="BN20" s="591">
        <f>IF(ISNA(VLOOKUP($B20,'3. EDU Calculation'!$B$10:$M$35,12,FALSE)),0,VLOOKUP($B20,'3. EDU Calculation'!$B$10:$M$35,12,FALSE))</f>
        <v>11.666666666666666</v>
      </c>
      <c r="BO20" s="591">
        <f>IF(ISNA(VLOOKUP($B20,'3. EDU Calculation'!$B$10:$M$35,12,FALSE)),0,VLOOKUP($B20,'3. EDU Calculation'!$B$10:$M$35,12,FALSE))</f>
        <v>11.666666666666666</v>
      </c>
      <c r="BP20" s="591">
        <f>IF(ISNA(VLOOKUP($B20,'3. EDU Calculation'!$B$10:$M$35,12,FALSE)),0,VLOOKUP($B20,'3. EDU Calculation'!$B$10:$M$35,12,FALSE))</f>
        <v>11.666666666666666</v>
      </c>
      <c r="BQ20" s="591">
        <f>IF(ISNA(VLOOKUP($B20,'3. EDU Calculation'!$B$10:$M$35,12,FALSE)),0,VLOOKUP($B20,'3. EDU Calculation'!$B$10:$M$35,12,FALSE))</f>
        <v>11.666666666666666</v>
      </c>
      <c r="BR20" s="591"/>
      <c r="BS20" s="591"/>
      <c r="BT20" s="591">
        <f>IF(ISNA(VLOOKUP($B20,'3. EDU Calculation'!$B$10:$M$35,12,FALSE)),0,VLOOKUP($B20,'3. EDU Calculation'!$B$10:$M$35,12,FALSE))</f>
        <v>11.666666666666666</v>
      </c>
      <c r="BV20" s="591">
        <f t="shared" si="30"/>
        <v>947.30544999999995</v>
      </c>
      <c r="BW20" s="591">
        <f t="shared" si="31"/>
        <v>0</v>
      </c>
      <c r="BX20" s="591">
        <f t="shared" si="32"/>
        <v>0</v>
      </c>
      <c r="BY20" s="591">
        <f t="shared" si="33"/>
        <v>720.77506666666659</v>
      </c>
      <c r="BZ20" s="591">
        <f t="shared" si="34"/>
        <v>0</v>
      </c>
      <c r="CA20" s="591">
        <f t="shared" si="35"/>
        <v>258.48287499999998</v>
      </c>
      <c r="CB20" s="591">
        <f t="shared" si="36"/>
        <v>2883.0179583333334</v>
      </c>
      <c r="CC20" s="591"/>
      <c r="CD20" s="591"/>
      <c r="CE20" s="591">
        <f t="shared" si="37"/>
        <v>0</v>
      </c>
    </row>
    <row r="21" spans="2:83" x14ac:dyDescent="0.2">
      <c r="B21" t="s">
        <v>135</v>
      </c>
      <c r="D21" s="591">
        <f>IF(ISNA(VLOOKUP($B21,'PFF-Zones (Combined)'!$B$3:$W$11,18,FALSE)),0,VLOOKUP($B21,'PFF-Zones (Combined)'!$B$3:$W$11,18,FALSE))</f>
        <v>443.22859999999997</v>
      </c>
      <c r="E21" s="591">
        <f>IF(ISNA(VLOOKUP($B21,'PFF-Zones (Combined)'!$B$15:$W$31,18,FALSE)),0,VLOOKUP($B21,'PFF-Zones (Combined)'!$B$15:$W$31,18,FALSE))</f>
        <v>108.8655</v>
      </c>
      <c r="F21" s="591">
        <f>IF(ISNA(VLOOKUP($B21,'PFF-Zones (Combined)'!$B$34:$W$47,18,FALSE)),0,VLOOKUP($B21,'PFF-Zones (Combined)'!$B$34:$W$47,18,FALSE))</f>
        <v>426.00490000000002</v>
      </c>
      <c r="G21" s="591">
        <f>IF(ISNA(VLOOKUP($B21,'PFF-Zones (Combined)'!$B$50:$W$56,18,FALSE)),0,VLOOKUP($B21,'PFF-Zones (Combined)'!$B$50:$W$56,18,FALSE))</f>
        <v>21.499700000000001</v>
      </c>
      <c r="H21" s="591">
        <f>IF(ISNA(VLOOKUP($B21,'PFF-Zones (Combined)'!$B$61:$W$71,18,FALSE)),0,VLOOKUP($B21,'PFF-Zones (Combined)'!$B$61:$W$71,18,FALSE))</f>
        <v>184.0932</v>
      </c>
      <c r="I21" s="591">
        <f>IF(ISNA(VLOOKUP($B21,'PFF-Zones (Combined)'!$B$75:$W$81,18,FALSE)),0,VLOOKUP($B21,'PFF-Zones (Combined)'!$B$75:$W$81,18,FALSE))</f>
        <v>11.437099999999999</v>
      </c>
      <c r="J21" s="591">
        <f>IF(ISNA(VLOOKUP($B21,'PFF-Zones (Combined)'!$B$87:$W$105,18,FALSE)),0,VLOOKUP($B21,'PFF-Zones (Combined)'!$B$87:$W$105,18,FALSE))</f>
        <v>1659.5810000000001</v>
      </c>
      <c r="K21" s="591"/>
      <c r="L21" s="591"/>
      <c r="M21" s="591">
        <f>IF(ISNA(VLOOKUP($B21,'PFF-Zones (Combined)'!$B$109:$W$120,18,FALSE)),0,VLOOKUP($B21,'PFF-Zones (Combined)'!$B$109:$W$120,18,FALSE))</f>
        <v>546.73429999999996</v>
      </c>
      <c r="N21" s="608"/>
      <c r="O21" s="602">
        <f>IF(ISNA(VLOOKUP($B21,'PFF-Zones (Combined)'!$B$3:$W$11,21,FALSE)),0,VLOOKUP($B21,'PFF-Zones (Combined)'!$B$3:$W$11,21,FALSE))</f>
        <v>0.85</v>
      </c>
      <c r="P21" s="592">
        <f>IF(ISNA(VLOOKUP($B21,'PFF-Zones (Combined)'!$B$15:$W$31,21,FALSE)),0,VLOOKUP($B21,'PFF-Zones (Combined)'!$B$15:$W$31,21,FALSE))</f>
        <v>0.85</v>
      </c>
      <c r="Q21" s="602">
        <f>IF(ISNA(VLOOKUP($B21,'PFF-Zones (Combined)'!$B$34:$W$47,21,FALSE)),0,VLOOKUP($B21,'PFF-Zones (Combined)'!$B$34:$W$47,21,FALSE))</f>
        <v>0.85</v>
      </c>
      <c r="R21" s="602">
        <f>IF(ISNA(VLOOKUP($B21,'PFF-Zones (Combined)'!$B$50:$W$56,21,FALSE)),0,VLOOKUP($B21,'PFF-Zones (Combined)'!$B$50:$W$56,21,FALSE))</f>
        <v>0.85</v>
      </c>
      <c r="S21" s="602">
        <f>IF(ISNA(VLOOKUP($B21,'PFF-Zones (Combined)'!$B$61:$W$71,21,FALSE)),0,VLOOKUP($B21,'PFF-Zones (Combined)'!$B$61:$W$71,21,FALSE))</f>
        <v>0.85</v>
      </c>
      <c r="T21" s="602">
        <f>IF(ISNA(VLOOKUP($B21,'PFF-Zones (Combined)'!$B$75:$W$81,21,FALSE)),0,VLOOKUP($B21,'PFF-Zones (Combined)'!$B$75:$W$81,21,FALSE))</f>
        <v>0.85</v>
      </c>
      <c r="U21" s="602">
        <f>IF(ISNA(VLOOKUP($B21,'PFF-Zones (Combined)'!$B$87:$W$105,21,FALSE)),0,VLOOKUP($B21,'PFF-Zones (Combined)'!$B$87:$W$105,21,FALSE))</f>
        <v>0.85</v>
      </c>
      <c r="V21" s="614"/>
      <c r="W21" s="614"/>
      <c r="X21" s="602">
        <f>IF(ISNA(VLOOKUP($B21,'PFF-Zones (Combined)'!$B$109:$W$120,21,FALSE)),0,VLOOKUP($B21,'PFF-Zones (Combined)'!$B$109:$W$120,21,FALSE))</f>
        <v>0.85</v>
      </c>
      <c r="Z21" s="607">
        <f t="shared" si="6"/>
        <v>376.74430999999998</v>
      </c>
      <c r="AA21" s="607">
        <f t="shared" si="7"/>
        <v>92.535674999999998</v>
      </c>
      <c r="AB21" s="607">
        <f t="shared" si="8"/>
        <v>362.10416500000002</v>
      </c>
      <c r="AC21" s="607">
        <f t="shared" si="9"/>
        <v>18.274744999999999</v>
      </c>
      <c r="AD21" s="607">
        <f t="shared" si="10"/>
        <v>156.47922</v>
      </c>
      <c r="AE21" s="607">
        <f t="shared" si="11"/>
        <v>9.7215349999999994</v>
      </c>
      <c r="AF21" s="607">
        <f t="shared" si="12"/>
        <v>1410.6438500000002</v>
      </c>
      <c r="AG21" s="602"/>
      <c r="AH21" s="602"/>
      <c r="AI21" s="607">
        <f t="shared" si="13"/>
        <v>464.72415499999994</v>
      </c>
      <c r="AK21" s="615">
        <f>IF(ISNA(VLOOKUP($B21,'3. EDU Calculation'!$B$10:$E$35,4,FALSE)),0,VLOOKUP($B21,'3. EDU Calculation'!$B$10:$E$35,4,FALSE))</f>
        <v>0.3</v>
      </c>
      <c r="AL21" s="607">
        <f t="shared" si="14"/>
        <v>113.023293</v>
      </c>
      <c r="AM21" s="607">
        <f t="shared" si="15"/>
        <v>27.760702499999997</v>
      </c>
      <c r="AN21" s="607">
        <f t="shared" si="16"/>
        <v>108.63124950000001</v>
      </c>
      <c r="AO21" s="607">
        <f t="shared" si="17"/>
        <v>5.4824234999999994</v>
      </c>
      <c r="AP21" s="607">
        <f t="shared" si="18"/>
        <v>46.943765999999997</v>
      </c>
      <c r="AQ21" s="607">
        <f t="shared" si="19"/>
        <v>2.9164604999999999</v>
      </c>
      <c r="AR21" s="607">
        <f t="shared" si="20"/>
        <v>423.19315500000005</v>
      </c>
      <c r="AS21" s="607"/>
      <c r="AT21" s="607"/>
      <c r="AU21" s="607">
        <f t="shared" si="21"/>
        <v>139.41724649999998</v>
      </c>
      <c r="AX21" s="749" t="str">
        <f>IF(ISNA(VLOOKUP($B21,'3. EDU Calculation'!$B$10:$I$35,8,FALSE)),0,VLOOKUP($B21,'3. EDU Calculation'!$B$10:$I$35,8,FALSE))</f>
        <v>Dwelling Unit</v>
      </c>
      <c r="AY21" s="749">
        <f>IF(ISNA(VLOOKUP($B21,'3. EDU Calculation'!$B$10:$J$35,9,FALSE)),0,VLOOKUP($B21,'3. EDU Calculation'!$B$10:$J$35,9,FALSE))</f>
        <v>5</v>
      </c>
      <c r="AZ21" s="586">
        <f t="shared" si="22"/>
        <v>1883.72155</v>
      </c>
      <c r="BA21" s="586">
        <f t="shared" si="23"/>
        <v>462.67837499999996</v>
      </c>
      <c r="BB21" s="586">
        <f t="shared" si="24"/>
        <v>1810.5208250000001</v>
      </c>
      <c r="BC21" s="586">
        <f t="shared" si="25"/>
        <v>91.373724999999993</v>
      </c>
      <c r="BD21" s="586">
        <f t="shared" si="26"/>
        <v>782.39609999999993</v>
      </c>
      <c r="BE21" s="586">
        <f t="shared" si="27"/>
        <v>48.607675</v>
      </c>
      <c r="BF21" s="586">
        <f t="shared" si="28"/>
        <v>7053.219250000001</v>
      </c>
      <c r="BG21" s="586"/>
      <c r="BH21" s="586"/>
      <c r="BI21" s="586">
        <f t="shared" si="29"/>
        <v>2323.6207749999999</v>
      </c>
      <c r="BK21" s="591">
        <f>IF(ISNA(VLOOKUP($B21,'3. EDU Calculation'!$B$10:$M$35,12,FALSE)),0,VLOOKUP($B21,'3. EDU Calculation'!$B$10:$M$35,12,FALSE))</f>
        <v>1</v>
      </c>
      <c r="BL21" s="591">
        <f>IF(ISNA(VLOOKUP($B21,'3. EDU Calculation'!$B$10:$M$35,12,FALSE)),0,VLOOKUP($B21,'3. EDU Calculation'!$B$10:$M$35,12,FALSE))</f>
        <v>1</v>
      </c>
      <c r="BM21" s="591">
        <f>IF(ISNA(VLOOKUP($B21,'3. EDU Calculation'!$B$10:$M$35,12,FALSE)),0,VLOOKUP($B21,'3. EDU Calculation'!$B$10:$M$35,12,FALSE))</f>
        <v>1</v>
      </c>
      <c r="BN21" s="591">
        <f>IF(ISNA(VLOOKUP($B21,'3. EDU Calculation'!$B$10:$M$35,12,FALSE)),0,VLOOKUP($B21,'3. EDU Calculation'!$B$10:$M$35,12,FALSE))</f>
        <v>1</v>
      </c>
      <c r="BO21" s="591">
        <f>IF(ISNA(VLOOKUP($B21,'3. EDU Calculation'!$B$10:$M$35,12,FALSE)),0,VLOOKUP($B21,'3. EDU Calculation'!$B$10:$M$35,12,FALSE))</f>
        <v>1</v>
      </c>
      <c r="BP21" s="591">
        <f>IF(ISNA(VLOOKUP($B21,'3. EDU Calculation'!$B$10:$M$35,12,FALSE)),0,VLOOKUP($B21,'3. EDU Calculation'!$B$10:$M$35,12,FALSE))</f>
        <v>1</v>
      </c>
      <c r="BQ21" s="591">
        <f>IF(ISNA(VLOOKUP($B21,'3. EDU Calculation'!$B$10:$M$35,12,FALSE)),0,VLOOKUP($B21,'3. EDU Calculation'!$B$10:$M$35,12,FALSE))</f>
        <v>1</v>
      </c>
      <c r="BR21" s="591"/>
      <c r="BS21" s="591"/>
      <c r="BT21" s="591">
        <f>IF(ISNA(VLOOKUP($B21,'3. EDU Calculation'!$B$10:$M$35,12,FALSE)),0,VLOOKUP($B21,'3. EDU Calculation'!$B$10:$M$35,12,FALSE))</f>
        <v>1</v>
      </c>
      <c r="BV21" s="591">
        <f t="shared" si="30"/>
        <v>1883.72155</v>
      </c>
      <c r="BW21" s="591">
        <f t="shared" si="31"/>
        <v>462.67837499999996</v>
      </c>
      <c r="BX21" s="591">
        <f t="shared" si="32"/>
        <v>1810.5208250000001</v>
      </c>
      <c r="BY21" s="591">
        <f t="shared" si="33"/>
        <v>91.373724999999993</v>
      </c>
      <c r="BZ21" s="591">
        <f t="shared" si="34"/>
        <v>782.39609999999993</v>
      </c>
      <c r="CA21" s="591">
        <f t="shared" si="35"/>
        <v>48.607675</v>
      </c>
      <c r="CB21" s="591">
        <f t="shared" si="36"/>
        <v>7053.219250000001</v>
      </c>
      <c r="CC21" s="591"/>
      <c r="CD21" s="591"/>
      <c r="CE21" s="591">
        <f t="shared" si="37"/>
        <v>2323.6207749999999</v>
      </c>
    </row>
    <row r="22" spans="2:83" x14ac:dyDescent="0.2">
      <c r="B22" t="s">
        <v>148</v>
      </c>
      <c r="D22" s="591">
        <f>IF(ISNA(VLOOKUP($B22,'PFF-Zones (Combined)'!$B$3:$W$11,18,FALSE)),0,VLOOKUP($B22,'PFF-Zones (Combined)'!$B$3:$W$11,18,FALSE))</f>
        <v>225.26089999999999</v>
      </c>
      <c r="E22" s="591">
        <f>IF(ISNA(VLOOKUP($B22,'PFF-Zones (Combined)'!$B$15:$W$31,18,FALSE)),0,VLOOKUP($B22,'PFF-Zones (Combined)'!$B$15:$W$31,18,FALSE))</f>
        <v>0</v>
      </c>
      <c r="F22" s="591">
        <f>IF(ISNA(VLOOKUP($B22,'PFF-Zones (Combined)'!$B$34:$W$47,18,FALSE)),0,VLOOKUP($B22,'PFF-Zones (Combined)'!$B$34:$W$47,18,FALSE))</f>
        <v>137.9281</v>
      </c>
      <c r="G22" s="591">
        <f>IF(ISNA(VLOOKUP($B22,'PFF-Zones (Combined)'!$B$50:$W$56,18,FALSE)),0,VLOOKUP($B22,'PFF-Zones (Combined)'!$B$50:$W$56,18,FALSE))</f>
        <v>139.3999</v>
      </c>
      <c r="H22" s="591">
        <f>IF(ISNA(VLOOKUP($B22,'PFF-Zones (Combined)'!$B$61:$W$71,18,FALSE)),0,VLOOKUP($B22,'PFF-Zones (Combined)'!$B$61:$W$71,18,FALSE))</f>
        <v>4.5486000000000004</v>
      </c>
      <c r="I22" s="591">
        <f>IF(ISNA(VLOOKUP($B22,'PFF-Zones (Combined)'!$B$75:$W$81,18,FALSE)),0,VLOOKUP($B22,'PFF-Zones (Combined)'!$B$75:$W$81,18,FALSE))</f>
        <v>239.2996</v>
      </c>
      <c r="J22" s="591">
        <f>IF(ISNA(VLOOKUP($B22,'PFF-Zones (Combined)'!$B$87:$W$105,18,FALSE)),0,VLOOKUP($B22,'PFF-Zones (Combined)'!$B$87:$W$105,18,FALSE))</f>
        <v>3.9352</v>
      </c>
      <c r="K22" s="591"/>
      <c r="L22" s="591"/>
      <c r="M22" s="591">
        <f>IF(ISNA(VLOOKUP($B22,'PFF-Zones (Combined)'!$B$109:$W$120,18,FALSE)),0,VLOOKUP($B22,'PFF-Zones (Combined)'!$B$109:$W$120,18,FALSE))</f>
        <v>0</v>
      </c>
      <c r="N22" s="608"/>
      <c r="O22" s="602">
        <f>IF(ISNA(VLOOKUP($B22,'PFF-Zones (Combined)'!$B$3:$W$11,21,FALSE)),0,VLOOKUP($B22,'PFF-Zones (Combined)'!$B$3:$W$11,21,FALSE))</f>
        <v>0.85</v>
      </c>
      <c r="P22" s="614">
        <f>IF(ISNA(VLOOKUP($B22,'PFF-Zones (Combined)'!$B$15:$W$31,21,FALSE)),0,VLOOKUP($B22,'PFF-Zones (Combined)'!$B$15:$W$31,21,FALSE))</f>
        <v>0</v>
      </c>
      <c r="Q22" s="602">
        <f>IF(ISNA(VLOOKUP($B22,'PFF-Zones (Combined)'!$B$34:$W$47,21,FALSE)),0,VLOOKUP($B22,'PFF-Zones (Combined)'!$B$34:$W$47,21,FALSE))</f>
        <v>0.85</v>
      </c>
      <c r="R22" s="602">
        <f>IF(ISNA(VLOOKUP($B22,'PFF-Zones (Combined)'!$B$50:$W$56,21,FALSE)),0,VLOOKUP($B22,'PFF-Zones (Combined)'!$B$50:$W$56,21,FALSE))</f>
        <v>0.85</v>
      </c>
      <c r="S22" s="602">
        <f>IF(ISNA(VLOOKUP($B22,'PFF-Zones (Combined)'!$B$61:$W$71,21,FALSE)),0,VLOOKUP($B22,'PFF-Zones (Combined)'!$B$61:$W$71,21,FALSE))</f>
        <v>0.85</v>
      </c>
      <c r="T22" s="602">
        <f>IF(ISNA(VLOOKUP($B22,'PFF-Zones (Combined)'!$B$75:$W$81,21,FALSE)),0,VLOOKUP($B22,'PFF-Zones (Combined)'!$B$75:$W$81,21,FALSE))</f>
        <v>0.85</v>
      </c>
      <c r="U22" s="602">
        <f>IF(ISNA(VLOOKUP($B22,'PFF-Zones (Combined)'!$B$87:$W$105,21,FALSE)),0,VLOOKUP($B22,'PFF-Zones (Combined)'!$B$87:$W$105,21,FALSE))</f>
        <v>0.85</v>
      </c>
      <c r="V22" s="614"/>
      <c r="W22" s="614"/>
      <c r="X22" s="614">
        <f>IF(ISNA(VLOOKUP($B22,'PFF-Zones (Combined)'!$B$109:$W$120,21,FALSE)),0,VLOOKUP($B22,'PFF-Zones (Combined)'!$B$109:$W$120,21,FALSE))</f>
        <v>0</v>
      </c>
      <c r="Z22" s="607">
        <f t="shared" si="6"/>
        <v>191.47176499999998</v>
      </c>
      <c r="AA22" s="607">
        <f t="shared" si="7"/>
        <v>0</v>
      </c>
      <c r="AB22" s="607">
        <f t="shared" si="8"/>
        <v>117.238885</v>
      </c>
      <c r="AC22" s="607">
        <f t="shared" si="9"/>
        <v>118.489915</v>
      </c>
      <c r="AD22" s="607">
        <f t="shared" si="10"/>
        <v>3.8663100000000004</v>
      </c>
      <c r="AE22" s="607">
        <f t="shared" si="11"/>
        <v>203.40466000000001</v>
      </c>
      <c r="AF22" s="607">
        <f t="shared" si="12"/>
        <v>3.3449200000000001</v>
      </c>
      <c r="AG22" s="602"/>
      <c r="AH22" s="602"/>
      <c r="AI22" s="607">
        <f t="shared" si="13"/>
        <v>0</v>
      </c>
      <c r="AK22" s="615">
        <f>IF(ISNA(VLOOKUP($B22,'3. EDU Calculation'!$B$10:$E$35,4,FALSE)),0,VLOOKUP($B22,'3. EDU Calculation'!$B$10:$E$35,4,FALSE))</f>
        <v>0.7</v>
      </c>
      <c r="AL22" s="607">
        <f t="shared" si="14"/>
        <v>134.03023549999997</v>
      </c>
      <c r="AM22" s="607">
        <f t="shared" si="15"/>
        <v>0</v>
      </c>
      <c r="AN22" s="607">
        <f t="shared" si="16"/>
        <v>82.067219499999993</v>
      </c>
      <c r="AO22" s="607">
        <f t="shared" si="17"/>
        <v>82.942940499999992</v>
      </c>
      <c r="AP22" s="607">
        <f t="shared" si="18"/>
        <v>2.7064170000000001</v>
      </c>
      <c r="AQ22" s="607">
        <f t="shared" si="19"/>
        <v>142.383262</v>
      </c>
      <c r="AR22" s="607">
        <f t="shared" si="20"/>
        <v>2.3414440000000001</v>
      </c>
      <c r="AS22" s="607"/>
      <c r="AT22" s="607"/>
      <c r="AU22" s="607">
        <f t="shared" si="21"/>
        <v>0</v>
      </c>
      <c r="AX22" s="749" t="str">
        <f>IF(ISNA(VLOOKUP($B22,'3. EDU Calculation'!$B$10:$I$35,8,FALSE)),0,VLOOKUP($B22,'3. EDU Calculation'!$B$10:$I$35,8,FALSE))</f>
        <v>Acre</v>
      </c>
      <c r="AY22" s="749">
        <f>IF(ISNA(VLOOKUP($B22,'3. EDU Calculation'!$B$10:$J$35,9,FALSE)),0,VLOOKUP($B22,'3. EDU Calculation'!$B$10:$J$35,9,FALSE))</f>
        <v>1</v>
      </c>
      <c r="AZ22" s="586">
        <f t="shared" si="22"/>
        <v>191.47176499999998</v>
      </c>
      <c r="BA22" s="586">
        <f t="shared" si="23"/>
        <v>0</v>
      </c>
      <c r="BB22" s="586">
        <f t="shared" si="24"/>
        <v>117.238885</v>
      </c>
      <c r="BC22" s="586">
        <f t="shared" si="25"/>
        <v>118.489915</v>
      </c>
      <c r="BD22" s="586">
        <f t="shared" si="26"/>
        <v>3.8663100000000004</v>
      </c>
      <c r="BE22" s="586">
        <f t="shared" si="27"/>
        <v>203.40466000000001</v>
      </c>
      <c r="BF22" s="586">
        <f t="shared" si="28"/>
        <v>3.3449200000000001</v>
      </c>
      <c r="BG22" s="586"/>
      <c r="BH22" s="586"/>
      <c r="BI22" s="586">
        <f t="shared" si="29"/>
        <v>0</v>
      </c>
      <c r="BK22" s="591">
        <f>IF(ISNA(VLOOKUP($B22,'3. EDU Calculation'!$B$10:$M$35,12,FALSE)),0,VLOOKUP($B22,'3. EDU Calculation'!$B$10:$M$35,12,FALSE))</f>
        <v>11.666666666666666</v>
      </c>
      <c r="BL22" s="591">
        <f>IF(ISNA(VLOOKUP($B22,'3. EDU Calculation'!$B$10:$M$35,12,FALSE)),0,VLOOKUP($B22,'3. EDU Calculation'!$B$10:$M$35,12,FALSE))</f>
        <v>11.666666666666666</v>
      </c>
      <c r="BM22" s="591">
        <f>IF(ISNA(VLOOKUP($B22,'3. EDU Calculation'!$B$10:$M$35,12,FALSE)),0,VLOOKUP($B22,'3. EDU Calculation'!$B$10:$M$35,12,FALSE))</f>
        <v>11.666666666666666</v>
      </c>
      <c r="BN22" s="591">
        <f>IF(ISNA(VLOOKUP($B22,'3. EDU Calculation'!$B$10:$M$35,12,FALSE)),0,VLOOKUP($B22,'3. EDU Calculation'!$B$10:$M$35,12,FALSE))</f>
        <v>11.666666666666666</v>
      </c>
      <c r="BO22" s="591">
        <f>IF(ISNA(VLOOKUP($B22,'3. EDU Calculation'!$B$10:$M$35,12,FALSE)),0,VLOOKUP($B22,'3. EDU Calculation'!$B$10:$M$35,12,FALSE))</f>
        <v>11.666666666666666</v>
      </c>
      <c r="BP22" s="591">
        <f>IF(ISNA(VLOOKUP($B22,'3. EDU Calculation'!$B$10:$M$35,12,FALSE)),0,VLOOKUP($B22,'3. EDU Calculation'!$B$10:$M$35,12,FALSE))</f>
        <v>11.666666666666666</v>
      </c>
      <c r="BQ22" s="591">
        <f>IF(ISNA(VLOOKUP($B22,'3. EDU Calculation'!$B$10:$M$35,12,FALSE)),0,VLOOKUP($B22,'3. EDU Calculation'!$B$10:$M$35,12,FALSE))</f>
        <v>11.666666666666666</v>
      </c>
      <c r="BR22" s="591"/>
      <c r="BS22" s="591"/>
      <c r="BT22" s="591">
        <f>IF(ISNA(VLOOKUP($B22,'3. EDU Calculation'!$B$10:$M$35,12,FALSE)),0,VLOOKUP($B22,'3. EDU Calculation'!$B$10:$M$35,12,FALSE))</f>
        <v>11.666666666666666</v>
      </c>
      <c r="BV22" s="591">
        <f t="shared" si="30"/>
        <v>2233.837258333333</v>
      </c>
      <c r="BW22" s="591">
        <f t="shared" si="31"/>
        <v>0</v>
      </c>
      <c r="BX22" s="591">
        <f t="shared" si="32"/>
        <v>1367.7869916666666</v>
      </c>
      <c r="BY22" s="591">
        <f t="shared" si="33"/>
        <v>1382.3823416666667</v>
      </c>
      <c r="BZ22" s="591">
        <f t="shared" si="34"/>
        <v>45.106950000000005</v>
      </c>
      <c r="CA22" s="591">
        <f t="shared" si="35"/>
        <v>2373.0543666666667</v>
      </c>
      <c r="CB22" s="591">
        <f t="shared" si="36"/>
        <v>39.024066666666663</v>
      </c>
      <c r="CC22" s="591"/>
      <c r="CD22" s="591"/>
      <c r="CE22" s="591">
        <f t="shared" si="37"/>
        <v>0</v>
      </c>
    </row>
    <row r="23" spans="2:83" x14ac:dyDescent="0.2">
      <c r="B23" t="s">
        <v>137</v>
      </c>
      <c r="D23" s="591">
        <f>IF(ISNA(VLOOKUP($B23,'PFF-Zones (Combined)'!$B$3:$W$11,18,FALSE)),0,VLOOKUP($B23,'PFF-Zones (Combined)'!$B$3:$W$11,18,FALSE))</f>
        <v>0</v>
      </c>
      <c r="E23" s="591">
        <f>IF(ISNA(VLOOKUP($B23,'PFF-Zones (Combined)'!$B$15:$W$31,18,FALSE)),0,VLOOKUP($B23,'PFF-Zones (Combined)'!$B$15:$W$31,18,FALSE))</f>
        <v>0</v>
      </c>
      <c r="F23" s="591">
        <f>IF(ISNA(VLOOKUP($B23,'PFF-Zones (Combined)'!$B$34:$W$47,18,FALSE)),0,VLOOKUP($B23,'PFF-Zones (Combined)'!$B$34:$W$47,18,FALSE))</f>
        <v>8.2922999999999991</v>
      </c>
      <c r="G23" s="591">
        <f>IF(ISNA(VLOOKUP($B23,'PFF-Zones (Combined)'!$B$50:$W$56,18,FALSE)),0,VLOOKUP($B23,'PFF-Zones (Combined)'!$B$50:$W$56,18,FALSE))</f>
        <v>16.440999999999999</v>
      </c>
      <c r="H23" s="591">
        <f>IF(ISNA(VLOOKUP($B23,'PFF-Zones (Combined)'!$B$61:$W$71,18,FALSE)),0,VLOOKUP($B23,'PFF-Zones (Combined)'!$B$61:$W$71,18,FALSE))</f>
        <v>51.275799999999997</v>
      </c>
      <c r="I23" s="591">
        <f>IF(ISNA(VLOOKUP($B23,'PFF-Zones (Combined)'!$B$75:$W$81,18,FALSE)),0,VLOOKUP($B23,'PFF-Zones (Combined)'!$B$75:$W$81,18,FALSE))</f>
        <v>0</v>
      </c>
      <c r="J23" s="591">
        <f>IF(ISNA(VLOOKUP($B23,'PFF-Zones (Combined)'!$B$87:$W$105,18,FALSE)),0,VLOOKUP($B23,'PFF-Zones (Combined)'!$B$87:$W$105,18,FALSE))</f>
        <v>76.284899999999993</v>
      </c>
      <c r="K23" s="591"/>
      <c r="L23" s="591"/>
      <c r="M23" s="591">
        <f>IF(ISNA(VLOOKUP($B23,'PFF-Zones (Combined)'!$B$109:$W$120,18,FALSE)),0,VLOOKUP($B23,'PFF-Zones (Combined)'!$B$109:$W$120,18,FALSE))</f>
        <v>66.400499999999994</v>
      </c>
      <c r="N23" s="608"/>
      <c r="O23" s="614">
        <f>IF(ISNA(VLOOKUP($B23,'PFF-Zones (Combined)'!$B$3:$W$11,21,FALSE)),0,VLOOKUP($B23,'PFF-Zones (Combined)'!$B$3:$W$11,21,FALSE))</f>
        <v>0</v>
      </c>
      <c r="P23" s="614">
        <f>IF(ISNA(VLOOKUP($B23,'PFF-Zones (Combined)'!$B$15:$W$31,21,FALSE)),0,VLOOKUP($B23,'PFF-Zones (Combined)'!$B$15:$W$31,21,FALSE))</f>
        <v>0</v>
      </c>
      <c r="Q23" s="602">
        <f>IF(ISNA(VLOOKUP($B23,'PFF-Zones (Combined)'!$B$34:$W$47,21,FALSE)),0,VLOOKUP($B23,'PFF-Zones (Combined)'!$B$34:$W$47,21,FALSE))</f>
        <v>0.85</v>
      </c>
      <c r="R23" s="602">
        <f>IF(ISNA(VLOOKUP($B23,'PFF-Zones (Combined)'!$B$50:$W$56,21,FALSE)),0,VLOOKUP($B23,'PFF-Zones (Combined)'!$B$50:$W$56,21,FALSE))</f>
        <v>0.85</v>
      </c>
      <c r="S23" s="602">
        <f>IF(ISNA(VLOOKUP($B23,'PFF-Zones (Combined)'!$B$61:$W$71,21,FALSE)),0,VLOOKUP($B23,'PFF-Zones (Combined)'!$B$61:$W$71,21,FALSE))</f>
        <v>0.85</v>
      </c>
      <c r="T23" s="614">
        <f>IF(ISNA(VLOOKUP($B23,'PFF-Zones (Combined)'!$B$75:$W$81,21,FALSE)),0,VLOOKUP($B23,'PFF-Zones (Combined)'!$B$75:$W$81,21,FALSE))</f>
        <v>0</v>
      </c>
      <c r="U23" s="602">
        <f>IF(ISNA(VLOOKUP($B23,'PFF-Zones (Combined)'!$B$87:$W$105,21,FALSE)),0,VLOOKUP($B23,'PFF-Zones (Combined)'!$B$87:$W$105,21,FALSE))</f>
        <v>0.85</v>
      </c>
      <c r="V23" s="614"/>
      <c r="W23" s="614"/>
      <c r="X23" s="592">
        <f>IF(ISNA(VLOOKUP($B23,'PFF-Zones (Combined)'!$B$109:$W$120,21,FALSE)),0,VLOOKUP($B23,'PFF-Zones (Combined)'!$B$109:$W$120,21,FALSE))</f>
        <v>0.85</v>
      </c>
      <c r="Z23" s="607">
        <f t="shared" si="6"/>
        <v>0</v>
      </c>
      <c r="AA23" s="607">
        <f t="shared" si="7"/>
        <v>0</v>
      </c>
      <c r="AB23" s="607">
        <f t="shared" si="8"/>
        <v>7.0484549999999988</v>
      </c>
      <c r="AC23" s="607">
        <f t="shared" si="9"/>
        <v>13.974849999999998</v>
      </c>
      <c r="AD23" s="607">
        <f t="shared" si="10"/>
        <v>43.584429999999998</v>
      </c>
      <c r="AE23" s="607">
        <f t="shared" si="11"/>
        <v>0</v>
      </c>
      <c r="AF23" s="607">
        <f t="shared" si="12"/>
        <v>64.842164999999994</v>
      </c>
      <c r="AG23" s="602"/>
      <c r="AH23" s="602"/>
      <c r="AI23" s="607">
        <f t="shared" si="13"/>
        <v>56.440424999999991</v>
      </c>
      <c r="AK23" s="615">
        <f>IF(ISNA(VLOOKUP($B23,'3. EDU Calculation'!$B$10:$E$35,4,FALSE)),0,VLOOKUP($B23,'3. EDU Calculation'!$B$10:$E$35,4,FALSE))</f>
        <v>0.5</v>
      </c>
      <c r="AL23" s="607">
        <f t="shared" si="14"/>
        <v>0</v>
      </c>
      <c r="AM23" s="607">
        <f t="shared" si="15"/>
        <v>0</v>
      </c>
      <c r="AN23" s="607">
        <f t="shared" si="16"/>
        <v>3.5242274999999994</v>
      </c>
      <c r="AO23" s="607">
        <f t="shared" si="17"/>
        <v>6.9874249999999991</v>
      </c>
      <c r="AP23" s="607">
        <f t="shared" si="18"/>
        <v>21.792214999999999</v>
      </c>
      <c r="AQ23" s="607">
        <f t="shared" si="19"/>
        <v>0</v>
      </c>
      <c r="AR23" s="607">
        <f t="shared" si="20"/>
        <v>32.421082499999997</v>
      </c>
      <c r="AS23" s="607"/>
      <c r="AT23" s="607"/>
      <c r="AU23" s="607">
        <f t="shared" si="21"/>
        <v>28.220212499999995</v>
      </c>
      <c r="AX23" s="749" t="str">
        <f>IF(ISNA(VLOOKUP($B23,'3. EDU Calculation'!$B$10:$I$35,8,FALSE)),0,VLOOKUP($B23,'3. EDU Calculation'!$B$10:$I$35,8,FALSE))</f>
        <v>Dwelling Unit</v>
      </c>
      <c r="AY23" s="749">
        <f>IF(ISNA(VLOOKUP($B23,'3. EDU Calculation'!$B$10:$J$35,9,FALSE)),0,VLOOKUP($B23,'3. EDU Calculation'!$B$10:$J$35,9,FALSE))</f>
        <v>9</v>
      </c>
      <c r="AZ23" s="586">
        <f t="shared" si="22"/>
        <v>0</v>
      </c>
      <c r="BA23" s="586">
        <f t="shared" si="23"/>
        <v>0</v>
      </c>
      <c r="BB23" s="586">
        <f t="shared" si="24"/>
        <v>63.436094999999987</v>
      </c>
      <c r="BC23" s="586">
        <f t="shared" si="25"/>
        <v>125.77364999999999</v>
      </c>
      <c r="BD23" s="586">
        <f t="shared" si="26"/>
        <v>392.25986999999998</v>
      </c>
      <c r="BE23" s="586">
        <f t="shared" si="27"/>
        <v>0</v>
      </c>
      <c r="BF23" s="586">
        <f t="shared" si="28"/>
        <v>583.57948499999998</v>
      </c>
      <c r="BG23" s="586"/>
      <c r="BH23" s="586"/>
      <c r="BI23" s="586">
        <f t="shared" si="29"/>
        <v>507.96382499999993</v>
      </c>
      <c r="BK23" s="591">
        <f>IF(ISNA(VLOOKUP($B23,'3. EDU Calculation'!$B$10:$M$35,12,FALSE)),0,VLOOKUP($B23,'3. EDU Calculation'!$B$10:$M$35,12,FALSE))</f>
        <v>0.92592592592592593</v>
      </c>
      <c r="BL23" s="591">
        <f>IF(ISNA(VLOOKUP($B23,'3. EDU Calculation'!$B$10:$M$35,12,FALSE)),0,VLOOKUP($B23,'3. EDU Calculation'!$B$10:$M$35,12,FALSE))</f>
        <v>0.92592592592592593</v>
      </c>
      <c r="BM23" s="591">
        <f>IF(ISNA(VLOOKUP($B23,'3. EDU Calculation'!$B$10:$M$35,12,FALSE)),0,VLOOKUP($B23,'3. EDU Calculation'!$B$10:$M$35,12,FALSE))</f>
        <v>0.92592592592592593</v>
      </c>
      <c r="BN23" s="591">
        <f>IF(ISNA(VLOOKUP($B23,'3. EDU Calculation'!$B$10:$M$35,12,FALSE)),0,VLOOKUP($B23,'3. EDU Calculation'!$B$10:$M$35,12,FALSE))</f>
        <v>0.92592592592592593</v>
      </c>
      <c r="BO23" s="591">
        <f>IF(ISNA(VLOOKUP($B23,'3. EDU Calculation'!$B$10:$M$35,12,FALSE)),0,VLOOKUP($B23,'3. EDU Calculation'!$B$10:$M$35,12,FALSE))</f>
        <v>0.92592592592592593</v>
      </c>
      <c r="BP23" s="591">
        <f>IF(ISNA(VLOOKUP($B23,'3. EDU Calculation'!$B$10:$M$35,12,FALSE)),0,VLOOKUP($B23,'3. EDU Calculation'!$B$10:$M$35,12,FALSE))</f>
        <v>0.92592592592592593</v>
      </c>
      <c r="BQ23" s="591">
        <f>IF(ISNA(VLOOKUP($B23,'3. EDU Calculation'!$B$10:$M$35,12,FALSE)),0,VLOOKUP($B23,'3. EDU Calculation'!$B$10:$M$35,12,FALSE))</f>
        <v>0.92592592592592593</v>
      </c>
      <c r="BR23" s="591"/>
      <c r="BS23" s="591"/>
      <c r="BT23" s="591">
        <f>IF(ISNA(VLOOKUP($B23,'3. EDU Calculation'!$B$10:$M$35,12,FALSE)),0,VLOOKUP($B23,'3. EDU Calculation'!$B$10:$M$35,12,FALSE))</f>
        <v>0.92592592592592593</v>
      </c>
      <c r="BV23" s="591">
        <f t="shared" si="30"/>
        <v>0</v>
      </c>
      <c r="BW23" s="591">
        <f t="shared" si="31"/>
        <v>0</v>
      </c>
      <c r="BX23" s="591">
        <f t="shared" si="32"/>
        <v>58.737124999999992</v>
      </c>
      <c r="BY23" s="591">
        <f t="shared" si="33"/>
        <v>116.45708333333333</v>
      </c>
      <c r="BZ23" s="591">
        <f t="shared" si="34"/>
        <v>363.20358333333331</v>
      </c>
      <c r="CA23" s="591">
        <f t="shared" si="35"/>
        <v>0</v>
      </c>
      <c r="CB23" s="591">
        <f t="shared" si="36"/>
        <v>540.35137499999996</v>
      </c>
      <c r="CC23" s="591"/>
      <c r="CD23" s="591"/>
      <c r="CE23" s="591">
        <f t="shared" si="37"/>
        <v>470.33687499999996</v>
      </c>
    </row>
    <row r="24" spans="2:83" x14ac:dyDescent="0.2">
      <c r="B24" t="s">
        <v>145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>IF(ISNA(VLOOKUP($B24,'PFF-Zones (Combined)'!$B$34:$W$47,18,FALSE)),0,VLOOKUP($B24,'PFF-Zones (Combined)'!$B$34:$W$47,18,FALSE))</f>
        <v>10.9038</v>
      </c>
      <c r="G24" s="591">
        <f>IF(ISNA(VLOOKUP($B24,'PFF-Zones (Combined)'!$B$50:$W$56,18,FALSE)),0,VLOOKUP($B24,'PFF-Zones (Combined)'!$B$50:$W$56,18,FALSE))</f>
        <v>1.2778</v>
      </c>
      <c r="H24" s="591">
        <f>IF(ISNA(VLOOKUP($B24,'PFF-Zones (Combined)'!$B$61:$W$71,18,FALSE)),0,VLOOKUP($B24,'PFF-Zones (Combined)'!$B$61:$W$71,18,FALSE))</f>
        <v>23.290199999999999</v>
      </c>
      <c r="I24" s="591">
        <f>IF(ISNA(VLOOKUP($B24,'PFF-Zones (Combined)'!$B$75:$W$81,18,FALSE)),0,VLOOKUP($B24,'PFF-Zones (Combined)'!$B$75:$W$81,18,FALSE))</f>
        <v>10.8498</v>
      </c>
      <c r="J24" s="591">
        <f>IF(ISNA(VLOOKUP($B24,'PFF-Zones (Combined)'!$B$87:$W$105,18,FALSE)),0,VLOOKUP($B24,'PFF-Zones (Combined)'!$B$87:$W$105,18,FALSE))</f>
        <v>9.8404000000000007</v>
      </c>
      <c r="K24" s="591"/>
      <c r="L24" s="591"/>
      <c r="M24" s="591">
        <f>IF(ISNA(VLOOKUP($B24,'PFF-Zones (Combined)'!$B$109:$W$120,18,FALSE)),0,VLOOKUP($B24,'PFF-Zones (Combined)'!$B$109:$W$120,18,FALSE))</f>
        <v>0</v>
      </c>
      <c r="N24" s="608"/>
      <c r="O24" s="614">
        <f>IF(ISNA(VLOOKUP($B24,'PFF-Zones (Combined)'!$B$3:$W$11,21,FALSE)),0,VLOOKUP($B24,'PFF-Zones (Combined)'!$B$3:$W$11,21,FALSE))</f>
        <v>0</v>
      </c>
      <c r="P24" s="614">
        <f>IF(ISNA(VLOOKUP($B24,'PFF-Zones (Combined)'!$B$15:$W$31,21,FALSE)),0,VLOOKUP($B24,'PFF-Zones (Combined)'!$B$15:$W$31,21,FALSE))</f>
        <v>0</v>
      </c>
      <c r="Q24" s="602">
        <f>IF(ISNA(VLOOKUP($B24,'PFF-Zones (Combined)'!$B$34:$W$47,21,FALSE)),0,VLOOKUP($B24,'PFF-Zones (Combined)'!$B$34:$W$47,21,FALSE))</f>
        <v>0.85</v>
      </c>
      <c r="R24" s="602">
        <f>IF(ISNA(VLOOKUP($B24,'PFF-Zones (Combined)'!$B$50:$W$56,21,FALSE)),0,VLOOKUP($B24,'PFF-Zones (Combined)'!$B$50:$W$56,21,FALSE))</f>
        <v>0.85</v>
      </c>
      <c r="S24" s="602">
        <f>IF(ISNA(VLOOKUP($B24,'PFF-Zones (Combined)'!$B$61:$W$71,21,FALSE)),0,VLOOKUP($B24,'PFF-Zones (Combined)'!$B$61:$W$71,21,FALSE))</f>
        <v>0.85</v>
      </c>
      <c r="T24" s="602">
        <f>IF(ISNA(VLOOKUP($B24,'PFF-Zones (Combined)'!$B$75:$W$81,21,FALSE)),0,VLOOKUP($B24,'PFF-Zones (Combined)'!$B$75:$W$81,21,FALSE))</f>
        <v>0.85</v>
      </c>
      <c r="U24" s="602">
        <f>IF(ISNA(VLOOKUP($B24,'PFF-Zones (Combined)'!$B$87:$W$105,21,FALSE)),0,VLOOKUP($B24,'PFF-Zones (Combined)'!$B$87:$W$105,21,FALSE))</f>
        <v>0.85</v>
      </c>
      <c r="V24" s="614"/>
      <c r="W24" s="614"/>
      <c r="X24" s="614">
        <f>IF(ISNA(VLOOKUP($B24,'PFF-Zones (Combined)'!$B$109:$W$120,21,FALSE)),0,VLOOKUP($B24,'PFF-Zones (Combined)'!$B$109:$W$120,21,FALSE))</f>
        <v>0</v>
      </c>
      <c r="Z24" s="607">
        <f t="shared" si="6"/>
        <v>0</v>
      </c>
      <c r="AA24" s="607">
        <f t="shared" si="7"/>
        <v>0</v>
      </c>
      <c r="AB24" s="607">
        <f t="shared" si="8"/>
        <v>9.2682300000000009</v>
      </c>
      <c r="AC24" s="607">
        <f t="shared" si="9"/>
        <v>1.08613</v>
      </c>
      <c r="AD24" s="607">
        <f t="shared" si="10"/>
        <v>19.796669999999999</v>
      </c>
      <c r="AE24" s="607">
        <f t="shared" si="11"/>
        <v>9.2223299999999995</v>
      </c>
      <c r="AF24" s="607">
        <f t="shared" si="12"/>
        <v>8.3643400000000003</v>
      </c>
      <c r="AG24" s="602"/>
      <c r="AH24" s="602"/>
      <c r="AI24" s="607">
        <f t="shared" si="13"/>
        <v>0</v>
      </c>
      <c r="AK24" s="615">
        <f>IF(ISNA(VLOOKUP($B24,'3. EDU Calculation'!$B$10:$E$35,4,FALSE)),0,VLOOKUP($B24,'3. EDU Calculation'!$B$10:$E$35,4,FALSE))</f>
        <v>0.9</v>
      </c>
      <c r="AL24" s="607">
        <f t="shared" si="14"/>
        <v>0</v>
      </c>
      <c r="AM24" s="607">
        <f t="shared" si="15"/>
        <v>0</v>
      </c>
      <c r="AN24" s="607">
        <f t="shared" si="16"/>
        <v>8.3414070000000002</v>
      </c>
      <c r="AO24" s="607">
        <f t="shared" si="17"/>
        <v>0.97751700000000008</v>
      </c>
      <c r="AP24" s="607">
        <f t="shared" si="18"/>
        <v>17.817003</v>
      </c>
      <c r="AQ24" s="607">
        <f t="shared" si="19"/>
        <v>8.3000969999999992</v>
      </c>
      <c r="AR24" s="607">
        <f t="shared" si="20"/>
        <v>7.5279060000000007</v>
      </c>
      <c r="AS24" s="607"/>
      <c r="AT24" s="607"/>
      <c r="AU24" s="607">
        <f t="shared" si="21"/>
        <v>0</v>
      </c>
      <c r="AX24" s="749" t="str">
        <f>IF(ISNA(VLOOKUP($B24,'3. EDU Calculation'!$B$10:$I$35,8,FALSE)),0,VLOOKUP($B24,'3. EDU Calculation'!$B$10:$I$35,8,FALSE))</f>
        <v>Acre</v>
      </c>
      <c r="AY24" s="749">
        <f>IF(ISNA(VLOOKUP($B24,'3. EDU Calculation'!$B$10:$J$35,9,FALSE)),0,VLOOKUP($B24,'3. EDU Calculation'!$B$10:$J$35,9,FALSE))</f>
        <v>1</v>
      </c>
      <c r="AZ24" s="586">
        <f t="shared" si="22"/>
        <v>0</v>
      </c>
      <c r="BA24" s="586">
        <f t="shared" si="23"/>
        <v>0</v>
      </c>
      <c r="BB24" s="586">
        <f t="shared" si="24"/>
        <v>9.2682300000000009</v>
      </c>
      <c r="BC24" s="586">
        <f t="shared" si="25"/>
        <v>1.08613</v>
      </c>
      <c r="BD24" s="586">
        <f t="shared" si="26"/>
        <v>19.796669999999999</v>
      </c>
      <c r="BE24" s="586">
        <f t="shared" si="27"/>
        <v>9.2223299999999995</v>
      </c>
      <c r="BF24" s="586">
        <f t="shared" si="28"/>
        <v>8.3643400000000003</v>
      </c>
      <c r="BG24" s="586"/>
      <c r="BH24" s="586"/>
      <c r="BI24" s="586">
        <f t="shared" si="29"/>
        <v>0</v>
      </c>
      <c r="BK24" s="591">
        <f>IF(ISNA(VLOOKUP($B24,'3. EDU Calculation'!$B$10:$M$35,12,FALSE)),0,VLOOKUP($B24,'3. EDU Calculation'!$B$10:$M$35,12,FALSE))</f>
        <v>15.000000000000002</v>
      </c>
      <c r="BL24" s="591">
        <f>IF(ISNA(VLOOKUP($B24,'3. EDU Calculation'!$B$10:$M$35,12,FALSE)),0,VLOOKUP($B24,'3. EDU Calculation'!$B$10:$M$35,12,FALSE))</f>
        <v>15.000000000000002</v>
      </c>
      <c r="BM24" s="591">
        <f>IF(ISNA(VLOOKUP($B24,'3. EDU Calculation'!$B$10:$M$35,12,FALSE)),0,VLOOKUP($B24,'3. EDU Calculation'!$B$10:$M$35,12,FALSE))</f>
        <v>15.000000000000002</v>
      </c>
      <c r="BN24" s="591">
        <f>IF(ISNA(VLOOKUP($B24,'3. EDU Calculation'!$B$10:$M$35,12,FALSE)),0,VLOOKUP($B24,'3. EDU Calculation'!$B$10:$M$35,12,FALSE))</f>
        <v>15.000000000000002</v>
      </c>
      <c r="BO24" s="591">
        <f>IF(ISNA(VLOOKUP($B24,'3. EDU Calculation'!$B$10:$M$35,12,FALSE)),0,VLOOKUP($B24,'3. EDU Calculation'!$B$10:$M$35,12,FALSE))</f>
        <v>15.000000000000002</v>
      </c>
      <c r="BP24" s="591">
        <f>IF(ISNA(VLOOKUP($B24,'3. EDU Calculation'!$B$10:$M$35,12,FALSE)),0,VLOOKUP($B24,'3. EDU Calculation'!$B$10:$M$35,12,FALSE))</f>
        <v>15.000000000000002</v>
      </c>
      <c r="BQ24" s="591">
        <f>IF(ISNA(VLOOKUP($B24,'3. EDU Calculation'!$B$10:$M$35,12,FALSE)),0,VLOOKUP($B24,'3. EDU Calculation'!$B$10:$M$35,12,FALSE))</f>
        <v>15.000000000000002</v>
      </c>
      <c r="BR24" s="591"/>
      <c r="BS24" s="591"/>
      <c r="BT24" s="591">
        <f>IF(ISNA(VLOOKUP($B24,'3. EDU Calculation'!$B$10:$M$35,12,FALSE)),0,VLOOKUP($B24,'3. EDU Calculation'!$B$10:$M$35,12,FALSE))</f>
        <v>15.000000000000002</v>
      </c>
      <c r="BV24" s="591">
        <f t="shared" si="30"/>
        <v>0</v>
      </c>
      <c r="BW24" s="591">
        <f t="shared" si="31"/>
        <v>0</v>
      </c>
      <c r="BX24" s="591">
        <f t="shared" si="32"/>
        <v>139.02345000000003</v>
      </c>
      <c r="BY24" s="591">
        <f t="shared" si="33"/>
        <v>16.291950000000003</v>
      </c>
      <c r="BZ24" s="591">
        <f t="shared" si="34"/>
        <v>296.95005000000003</v>
      </c>
      <c r="CA24" s="591">
        <f t="shared" si="35"/>
        <v>138.33495000000002</v>
      </c>
      <c r="CB24" s="591">
        <f t="shared" si="36"/>
        <v>125.46510000000002</v>
      </c>
      <c r="CC24" s="591"/>
      <c r="CD24" s="591"/>
      <c r="CE24" s="591">
        <f t="shared" si="37"/>
        <v>0</v>
      </c>
    </row>
    <row r="25" spans="2:83" x14ac:dyDescent="0.2">
      <c r="B25" s="870" t="s">
        <v>140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14.8088</v>
      </c>
      <c r="F25" s="591">
        <f>IF(ISNA(VLOOKUP($B25,'PFF-Zones (Combined)'!$B$34:$W$47,18,FALSE)),0,VLOOKUP($B25,'PFF-Zones (Combined)'!$B$34:$W$47,18,FALSE))</f>
        <v>0.99260000000000004</v>
      </c>
      <c r="G25" s="591">
        <f>IF(ISNA(VLOOKUP($B25,'PFF-Zones (Combined)'!$B$50:$W$56,18,FALSE)),0,VLOOKUP($B25,'PFF-Zones (Combined)'!$B$50:$W$56,18,FALSE))</f>
        <v>0</v>
      </c>
      <c r="H25" s="591">
        <f>IF(ISNA(VLOOKUP($B25,'PFF-Zones (Combined)'!$B$61:$W$71,18,FALSE)),0,VLOOKUP($B25,'PFF-Zones (Combined)'!$B$61:$W$71,18,FALSE))</f>
        <v>0</v>
      </c>
      <c r="I25" s="591">
        <f>IF(ISNA(VLOOKUP($B25,'PFF-Zones (Combined)'!$B$75:$W$81,18,FALSE)),0,VLOOKUP($B25,'PFF-Zones (Combined)'!$B$75:$W$81,18,FALSE))</f>
        <v>0</v>
      </c>
      <c r="J25" s="591">
        <f>IF(ISNA(VLOOKUP($B25,'PFF-Zones (Combined)'!$B$87:$W$105,18,FALSE)),0,VLOOKUP($B25,'PFF-Zones (Combined)'!$B$87:$W$105,18,FALSE))</f>
        <v>0</v>
      </c>
      <c r="K25" s="591"/>
      <c r="L25" s="591"/>
      <c r="M25" s="591">
        <f>IF(ISNA(VLOOKUP($B25,'PFF-Zones (Combined)'!$B$109:$W$120,18,FALSE)),0,VLOOKUP($B25,'PFF-Zones (Combined)'!$B$109:$W$120,18,FALSE))</f>
        <v>428.9581</v>
      </c>
      <c r="N25" s="608"/>
      <c r="O25" s="859">
        <f>IF(ISNA(VLOOKUP($B25,'PFF-Zones (Combined)'!$B$3:$W$11,21,FALSE)),0,VLOOKUP($B25,'PFF-Zones (Combined)'!$B$3:$W$11,21,FALSE))</f>
        <v>0</v>
      </c>
      <c r="P25" s="858">
        <f>IF(ISNA(VLOOKUP($B25,'PFF-Zones (Combined)'!$B$15:$W$31,21,FALSE)),0,VLOOKUP($B25,'PFF-Zones (Combined)'!$B$15:$W$31,21,FALSE))</f>
        <v>0.85</v>
      </c>
      <c r="Q25" s="858">
        <f>IF(ISNA(VLOOKUP($B25,'PFF-Zones (Combined)'!$B$34:$W$47,21,FALSE)),0,VLOOKUP($B25,'PFF-Zones (Combined)'!$B$34:$W$47,21,FALSE))</f>
        <v>0.85</v>
      </c>
      <c r="R25" s="859">
        <f>IF(ISNA(VLOOKUP($B25,'PFF-Zones (Combined)'!$B$50:$W$56,21,FALSE)),0,VLOOKUP($B25,'PFF-Zones (Combined)'!$B$50:$W$56,21,FALSE))</f>
        <v>0</v>
      </c>
      <c r="S25" s="859">
        <f>IF(ISNA(VLOOKUP($B25,'PFF-Zones (Combined)'!$B$61:$W$71,21,FALSE)),0,VLOOKUP($B25,'PFF-Zones (Combined)'!$B$61:$W$71,21,FALSE))</f>
        <v>0</v>
      </c>
      <c r="T25" s="859">
        <f>IF(ISNA(VLOOKUP($B25,'PFF-Zones (Combined)'!$B$75:$W$81,21,FALSE)),0,VLOOKUP($B25,'PFF-Zones (Combined)'!$B$75:$W$81,21,FALSE))</f>
        <v>0</v>
      </c>
      <c r="U25" s="859">
        <f>IF(ISNA(VLOOKUP($B25,'PFF-Zones (Combined)'!$B$87:$W$105,21,FALSE)),0,VLOOKUP($B25,'PFF-Zones (Combined)'!$B$87:$W$105,21,FALSE))</f>
        <v>0</v>
      </c>
      <c r="V25" s="859"/>
      <c r="W25" s="859"/>
      <c r="X25" s="862">
        <f>IF(ISNA(VLOOKUP($B25,'PFF-Zones (Combined)'!$B$109:$W$120,21,FALSE)),0,VLOOKUP($B25,'PFF-Zones (Combined)'!$B$109:$W$120,21,FALSE))</f>
        <v>0.85</v>
      </c>
      <c r="Z25" s="872">
        <f t="shared" si="6"/>
        <v>0</v>
      </c>
      <c r="AA25" s="872">
        <f t="shared" si="7"/>
        <v>12.587479999999999</v>
      </c>
      <c r="AB25" s="872">
        <f t="shared" si="8"/>
        <v>0.84370999999999996</v>
      </c>
      <c r="AC25" s="872">
        <f t="shared" si="9"/>
        <v>0</v>
      </c>
      <c r="AD25" s="872">
        <f t="shared" si="10"/>
        <v>0</v>
      </c>
      <c r="AE25" s="872">
        <f t="shared" si="11"/>
        <v>0</v>
      </c>
      <c r="AF25" s="872">
        <f t="shared" si="12"/>
        <v>0</v>
      </c>
      <c r="AG25" s="873"/>
      <c r="AH25" s="873"/>
      <c r="AI25" s="872">
        <f t="shared" si="13"/>
        <v>364.61438499999997</v>
      </c>
      <c r="AK25" s="889">
        <v>0</v>
      </c>
      <c r="AL25" s="872">
        <f t="shared" si="14"/>
        <v>0</v>
      </c>
      <c r="AM25" s="872">
        <f t="shared" si="15"/>
        <v>0</v>
      </c>
      <c r="AN25" s="872">
        <f t="shared" si="16"/>
        <v>0</v>
      </c>
      <c r="AO25" s="872">
        <f t="shared" si="17"/>
        <v>0</v>
      </c>
      <c r="AP25" s="872">
        <f t="shared" si="18"/>
        <v>0</v>
      </c>
      <c r="AQ25" s="872">
        <f t="shared" si="19"/>
        <v>0</v>
      </c>
      <c r="AR25" s="872">
        <f t="shared" si="20"/>
        <v>0</v>
      </c>
      <c r="AS25" s="872"/>
      <c r="AT25" s="872"/>
      <c r="AU25" s="872">
        <f t="shared" si="21"/>
        <v>0</v>
      </c>
      <c r="AX25" s="749" t="str">
        <f>IF(ISNA(VLOOKUP($B25,'3. EDU Calculation'!$B$10:$I$35,8,FALSE)),0,VLOOKUP($B25,'3. EDU Calculation'!$B$10:$I$35,8,FALSE))</f>
        <v>Acre</v>
      </c>
      <c r="AY25" s="749">
        <f>IF(ISNA(VLOOKUP($B25,'3. EDU Calculation'!$B$10:$J$35,9,FALSE)),0,VLOOKUP($B25,'3. EDU Calculation'!$B$10:$J$35,9,FALSE))</f>
        <v>1</v>
      </c>
      <c r="AZ25" s="871">
        <f t="shared" ref="AZ25" si="38">Z25*$AY25</f>
        <v>0</v>
      </c>
      <c r="BA25" s="871">
        <f t="shared" ref="BA25" si="39">AA25*$AY25</f>
        <v>12.587479999999999</v>
      </c>
      <c r="BB25" s="871">
        <f t="shared" ref="BB25" si="40">AB25*$AY25</f>
        <v>0.84370999999999996</v>
      </c>
      <c r="BC25" s="871">
        <f t="shared" ref="BC25" si="41">AC25*$AY25</f>
        <v>0</v>
      </c>
      <c r="BD25" s="871">
        <f t="shared" ref="BD25" si="42">AD25*$AY25</f>
        <v>0</v>
      </c>
      <c r="BE25" s="871">
        <f t="shared" ref="BE25" si="43">AE25*$AY25</f>
        <v>0</v>
      </c>
      <c r="BF25" s="871">
        <f t="shared" ref="BF25" si="44">AF25*$AY25</f>
        <v>0</v>
      </c>
      <c r="BG25" s="871"/>
      <c r="BH25" s="871"/>
      <c r="BI25" s="871">
        <f t="shared" ref="BI25" si="45">AI25*$AY25</f>
        <v>364.61438499999997</v>
      </c>
      <c r="BK25" s="591">
        <f>IF(ISNA(VLOOKUP($B25,'3. EDU Calculation'!$B$10:$M$35,12,FALSE)),0,VLOOKUP($B25,'3. EDU Calculation'!$B$10:$M$35,12,FALSE))</f>
        <v>0</v>
      </c>
      <c r="BL25" s="591">
        <f>IF(ISNA(VLOOKUP($B25,'3. EDU Calculation'!$B$10:$M$35,12,FALSE)),0,VLOOKUP($B25,'3. EDU Calculation'!$B$10:$M$35,12,FALSE))</f>
        <v>0</v>
      </c>
      <c r="BM25" s="591">
        <f>IF(ISNA(VLOOKUP($B25,'3. EDU Calculation'!$B$10:$M$35,12,FALSE)),0,VLOOKUP($B25,'3. EDU Calculation'!$B$10:$M$35,12,FALSE))</f>
        <v>0</v>
      </c>
      <c r="BN25" s="591">
        <f>IF(ISNA(VLOOKUP($B25,'3. EDU Calculation'!$B$10:$M$35,12,FALSE)),0,VLOOKUP($B25,'3. EDU Calculation'!$B$10:$M$35,12,FALSE))</f>
        <v>0</v>
      </c>
      <c r="BO25" s="591">
        <f>IF(ISNA(VLOOKUP($B25,'3. EDU Calculation'!$B$10:$M$35,12,FALSE)),0,VLOOKUP($B25,'3. EDU Calculation'!$B$10:$M$35,12,FALSE))</f>
        <v>0</v>
      </c>
      <c r="BP25" s="591">
        <f>IF(ISNA(VLOOKUP($B25,'3. EDU Calculation'!$B$10:$M$35,12,FALSE)),0,VLOOKUP($B25,'3. EDU Calculation'!$B$10:$M$35,12,FALSE))</f>
        <v>0</v>
      </c>
      <c r="BQ25" s="591">
        <f>IF(ISNA(VLOOKUP($B25,'3. EDU Calculation'!$B$10:$M$35,12,FALSE)),0,VLOOKUP($B25,'3. EDU Calculation'!$B$10:$M$35,12,FALSE))</f>
        <v>0</v>
      </c>
      <c r="BR25" s="591"/>
      <c r="BS25" s="591"/>
      <c r="BT25" s="591">
        <f>IF(ISNA(VLOOKUP($B25,'3. EDU Calculation'!$B$10:$M$35,12,FALSE)),0,VLOOKUP($B25,'3. EDU Calculation'!$B$10:$M$35,12,FALSE))</f>
        <v>0</v>
      </c>
      <c r="BV25" s="591">
        <f t="shared" si="30"/>
        <v>0</v>
      </c>
      <c r="BW25" s="591">
        <f t="shared" si="31"/>
        <v>0</v>
      </c>
      <c r="BX25" s="591">
        <f t="shared" si="32"/>
        <v>0</v>
      </c>
      <c r="BY25" s="591">
        <f t="shared" si="33"/>
        <v>0</v>
      </c>
      <c r="BZ25" s="591">
        <f t="shared" si="34"/>
        <v>0</v>
      </c>
      <c r="CA25" s="591">
        <f t="shared" si="35"/>
        <v>0</v>
      </c>
      <c r="CB25" s="591">
        <f t="shared" si="36"/>
        <v>0</v>
      </c>
      <c r="CC25" s="591"/>
      <c r="CD25" s="591"/>
      <c r="CE25" s="591">
        <f t="shared" si="37"/>
        <v>0</v>
      </c>
    </row>
    <row r="26" spans="2:83" x14ac:dyDescent="0.2">
      <c r="B26" s="870" t="s">
        <v>134</v>
      </c>
      <c r="D26" s="591">
        <f>IF(ISNA(VLOOKUP($B26,'PFF-Zones (Combined)'!$B$3:$W$11,18,FALSE)),0,VLOOKUP($B26,'PFF-Zones (Combined)'!$B$3:$W$11,18,FALSE))</f>
        <v>8.1957000000000004</v>
      </c>
      <c r="E26" s="591">
        <f>IF(ISNA(VLOOKUP($B26,'PFF-Zones (Combined)'!$B$15:$W$31,18,FALSE)),0,VLOOKUP($B26,'PFF-Zones (Combined)'!$B$15:$W$31,18,FALSE))</f>
        <v>5.8849999999999998</v>
      </c>
      <c r="F26" s="591">
        <f>IF(ISNA(VLOOKUP($B26,'PFF-Zones (Combined)'!$B$34:$W$47,18,FALSE)),0,VLOOKUP($B26,'PFF-Zones (Combined)'!$B$34:$W$47,18,FALSE))</f>
        <v>26.416399999999999</v>
      </c>
      <c r="G26" s="591">
        <f>IF(ISNA(VLOOKUP($B26,'PFF-Zones (Combined)'!$B$50:$W$56,18,FALSE)),0,VLOOKUP($B26,'PFF-Zones (Combined)'!$B$50:$W$56,18,FALSE))</f>
        <v>0</v>
      </c>
      <c r="H26" s="591">
        <f>IF(ISNA(VLOOKUP($B26,'PFF-Zones (Combined)'!$B$61:$W$71,18,FALSE)),0,VLOOKUP($B26,'PFF-Zones (Combined)'!$B$61:$W$71,18,FALSE))</f>
        <v>14.2135</v>
      </c>
      <c r="I26" s="591">
        <f>IF(ISNA(VLOOKUP($B26,'PFF-Zones (Combined)'!$B$75:$W$81,18,FALSE)),0,VLOOKUP($B26,'PFF-Zones (Combined)'!$B$75:$W$81,18,FALSE))</f>
        <v>0</v>
      </c>
      <c r="J26" s="591">
        <f>IF(ISNA(VLOOKUP($B26,'PFF-Zones (Combined)'!$B$87:$W$105,18,FALSE)),0,VLOOKUP($B26,'PFF-Zones (Combined)'!$B$87:$W$105,18,FALSE))</f>
        <v>40.049900000000008</v>
      </c>
      <c r="K26" s="591"/>
      <c r="L26" s="591"/>
      <c r="M26" s="591">
        <f>IF(ISNA(VLOOKUP($B26,'PFF-Zones (Combined)'!$B$109:$W$120,18,FALSE)),0,VLOOKUP($B26,'PFF-Zones (Combined)'!$B$109:$W$120,18,FALSE))</f>
        <v>0</v>
      </c>
      <c r="N26" s="608"/>
      <c r="O26" s="858">
        <f>IF(ISNA(VLOOKUP($B26,'PFF-Zones (Combined)'!$B$3:$W$11,21,FALSE)),0,VLOOKUP($B26,'PFF-Zones (Combined)'!$B$3:$W$11,21,FALSE))</f>
        <v>0.85</v>
      </c>
      <c r="P26" s="858">
        <f>IF(ISNA(VLOOKUP($B26,'PFF-Zones (Combined)'!$B$15:$W$31,21,FALSE)),0,VLOOKUP($B26,'PFF-Zones (Combined)'!$B$15:$W$31,21,FALSE))</f>
        <v>0.85</v>
      </c>
      <c r="Q26" s="858">
        <f>IF(ISNA(VLOOKUP($B26,'PFF-Zones (Combined)'!$B$34:$W$47,21,FALSE)),0,VLOOKUP($B26,'PFF-Zones (Combined)'!$B$34:$W$47,21,FALSE))</f>
        <v>0.85</v>
      </c>
      <c r="R26" s="859">
        <f>IF(ISNA(VLOOKUP($B26,'PFF-Zones (Combined)'!$B$50:$W$56,21,FALSE)),0,VLOOKUP($B26,'PFF-Zones (Combined)'!$B$50:$W$56,21,FALSE))</f>
        <v>0</v>
      </c>
      <c r="S26" s="858">
        <f>IF(ISNA(VLOOKUP($B26,'PFF-Zones (Combined)'!$B$61:$W$71,21,FALSE)),0,VLOOKUP($B26,'PFF-Zones (Combined)'!$B$61:$W$71,21,FALSE))</f>
        <v>0.85</v>
      </c>
      <c r="T26" s="859">
        <f>IF(ISNA(VLOOKUP($B26,'PFF-Zones (Combined)'!$B$75:$W$81,21,FALSE)),0,VLOOKUP($B26,'PFF-Zones (Combined)'!$B$75:$W$81,21,FALSE))</f>
        <v>0</v>
      </c>
      <c r="U26" s="858">
        <f>IF(ISNA(VLOOKUP($B26,'PFF-Zones (Combined)'!$B$87:$W$105,21,FALSE)),0,VLOOKUP($B26,'PFF-Zones (Combined)'!$B$87:$W$105,21,FALSE))</f>
        <v>0.85</v>
      </c>
      <c r="V26" s="859"/>
      <c r="W26" s="859"/>
      <c r="X26" s="859">
        <f>IF(ISNA(VLOOKUP($B26,'PFF-Zones (Combined)'!$B$109:$W$120,21,FALSE)),0,VLOOKUP($B26,'PFF-Zones (Combined)'!$B$109:$W$120,21,FALSE))</f>
        <v>0</v>
      </c>
      <c r="Z26" s="872">
        <f t="shared" si="6"/>
        <v>6.9663450000000005</v>
      </c>
      <c r="AA26" s="872">
        <f t="shared" si="7"/>
        <v>5.0022500000000001</v>
      </c>
      <c r="AB26" s="872">
        <f t="shared" si="8"/>
        <v>22.453939999999999</v>
      </c>
      <c r="AC26" s="872">
        <f t="shared" si="9"/>
        <v>0</v>
      </c>
      <c r="AD26" s="872">
        <f t="shared" si="10"/>
        <v>12.081474999999999</v>
      </c>
      <c r="AE26" s="872">
        <f t="shared" si="11"/>
        <v>0</v>
      </c>
      <c r="AF26" s="872">
        <f t="shared" si="12"/>
        <v>34.042415000000005</v>
      </c>
      <c r="AG26" s="873"/>
      <c r="AH26" s="873"/>
      <c r="AI26" s="872">
        <f t="shared" si="13"/>
        <v>0</v>
      </c>
      <c r="AK26" s="889">
        <v>0</v>
      </c>
      <c r="AL26" s="872">
        <f t="shared" si="14"/>
        <v>0</v>
      </c>
      <c r="AM26" s="872">
        <f t="shared" si="15"/>
        <v>0</v>
      </c>
      <c r="AN26" s="872">
        <f t="shared" si="16"/>
        <v>0</v>
      </c>
      <c r="AO26" s="872">
        <f t="shared" si="17"/>
        <v>0</v>
      </c>
      <c r="AP26" s="872">
        <f t="shared" si="18"/>
        <v>0</v>
      </c>
      <c r="AQ26" s="872">
        <f t="shared" si="19"/>
        <v>0</v>
      </c>
      <c r="AR26" s="872">
        <f t="shared" si="20"/>
        <v>0</v>
      </c>
      <c r="AS26" s="872"/>
      <c r="AT26" s="872"/>
      <c r="AU26" s="872">
        <f t="shared" si="21"/>
        <v>0</v>
      </c>
      <c r="AX26" s="749" t="str">
        <f>IF(ISNA(VLOOKUP($B26,'3. EDU Calculation'!$B$10:$I$35,8,FALSE)),0,VLOOKUP($B26,'3. EDU Calculation'!$B$10:$I$35,8,FALSE))</f>
        <v>Acre</v>
      </c>
      <c r="AY26" s="749">
        <f>IF(ISNA(VLOOKUP($B26,'3. EDU Calculation'!$B$10:$J$35,9,FALSE)),0,VLOOKUP($B26,'3. EDU Calculation'!$B$10:$J$35,9,FALSE))</f>
        <v>1</v>
      </c>
      <c r="AZ26" s="871">
        <f t="shared" si="22"/>
        <v>6.9663450000000005</v>
      </c>
      <c r="BA26" s="871">
        <f t="shared" si="23"/>
        <v>5.0022500000000001</v>
      </c>
      <c r="BB26" s="871">
        <f t="shared" si="24"/>
        <v>22.453939999999999</v>
      </c>
      <c r="BC26" s="871">
        <f t="shared" si="25"/>
        <v>0</v>
      </c>
      <c r="BD26" s="871">
        <f t="shared" si="26"/>
        <v>12.081474999999999</v>
      </c>
      <c r="BE26" s="871">
        <f t="shared" si="27"/>
        <v>0</v>
      </c>
      <c r="BF26" s="871">
        <f t="shared" si="28"/>
        <v>34.042415000000005</v>
      </c>
      <c r="BG26" s="871"/>
      <c r="BH26" s="871"/>
      <c r="BI26" s="871">
        <f t="shared" si="29"/>
        <v>0</v>
      </c>
      <c r="BK26" s="591">
        <f>IF(ISNA(VLOOKUP($B26,'3. EDU Calculation'!$B$10:$M$35,12,FALSE)),0,VLOOKUP($B26,'3. EDU Calculation'!$B$10:$M$35,12,FALSE))</f>
        <v>0</v>
      </c>
      <c r="BL26" s="591">
        <f>IF(ISNA(VLOOKUP($B26,'3. EDU Calculation'!$B$10:$M$35,12,FALSE)),0,VLOOKUP($B26,'3. EDU Calculation'!$B$10:$M$35,12,FALSE))</f>
        <v>0</v>
      </c>
      <c r="BM26" s="591">
        <f>IF(ISNA(VLOOKUP($B26,'3. EDU Calculation'!$B$10:$M$35,12,FALSE)),0,VLOOKUP($B26,'3. EDU Calculation'!$B$10:$M$35,12,FALSE))</f>
        <v>0</v>
      </c>
      <c r="BN26" s="591">
        <f>IF(ISNA(VLOOKUP($B26,'3. EDU Calculation'!$B$10:$M$35,12,FALSE)),0,VLOOKUP($B26,'3. EDU Calculation'!$B$10:$M$35,12,FALSE))</f>
        <v>0</v>
      </c>
      <c r="BO26" s="591">
        <f>IF(ISNA(VLOOKUP($B26,'3. EDU Calculation'!$B$10:$M$35,12,FALSE)),0,VLOOKUP($B26,'3. EDU Calculation'!$B$10:$M$35,12,FALSE))</f>
        <v>0</v>
      </c>
      <c r="BP26" s="591">
        <f>IF(ISNA(VLOOKUP($B26,'3. EDU Calculation'!$B$10:$M$35,12,FALSE)),0,VLOOKUP($B26,'3. EDU Calculation'!$B$10:$M$35,12,FALSE))</f>
        <v>0</v>
      </c>
      <c r="BQ26" s="591">
        <f>IF(ISNA(VLOOKUP($B26,'3. EDU Calculation'!$B$10:$M$35,12,FALSE)),0,VLOOKUP($B26,'3. EDU Calculation'!$B$10:$M$35,12,FALSE))</f>
        <v>0</v>
      </c>
      <c r="BR26" s="591"/>
      <c r="BS26" s="591"/>
      <c r="BT26" s="591">
        <f>IF(ISNA(VLOOKUP($B26,'3. EDU Calculation'!$B$10:$M$35,12,FALSE)),0,VLOOKUP($B26,'3. EDU Calculation'!$B$10:$M$35,12,FALSE))</f>
        <v>0</v>
      </c>
      <c r="BV26" s="591">
        <f t="shared" si="30"/>
        <v>0</v>
      </c>
      <c r="BW26" s="591">
        <f t="shared" si="31"/>
        <v>0</v>
      </c>
      <c r="BX26" s="591">
        <f t="shared" si="32"/>
        <v>0</v>
      </c>
      <c r="BY26" s="591">
        <f t="shared" si="33"/>
        <v>0</v>
      </c>
      <c r="BZ26" s="591">
        <f t="shared" si="34"/>
        <v>0</v>
      </c>
      <c r="CA26" s="591">
        <f t="shared" si="35"/>
        <v>0</v>
      </c>
      <c r="CB26" s="591">
        <f t="shared" si="36"/>
        <v>0</v>
      </c>
      <c r="CC26" s="591"/>
      <c r="CD26" s="591"/>
      <c r="CE26" s="591">
        <f t="shared" si="37"/>
        <v>0</v>
      </c>
    </row>
    <row r="27" spans="2:83" x14ac:dyDescent="0.2">
      <c r="B27" s="870" t="s">
        <v>136</v>
      </c>
      <c r="D27" s="591">
        <f>IF(ISNA(VLOOKUP($B27,'PFF-Zones (Combined)'!$B$3:$W$11,18,FALSE)),0,VLOOKUP($B27,'PFF-Zones (Combined)'!$B$3:$W$11,18,FALSE))</f>
        <v>43.820500000000003</v>
      </c>
      <c r="E27" s="591">
        <f>IF(ISNA(VLOOKUP($B27,'PFF-Zones (Combined)'!$B$15:$W$31,18,FALSE)),0,VLOOKUP($B27,'PFF-Zones (Combined)'!$B$15:$W$31,18,FALSE))</f>
        <v>112.5219</v>
      </c>
      <c r="F27" s="591">
        <f>IF(ISNA(VLOOKUP($B27,'PFF-Zones (Combined)'!$B$34:$W$47,18,FALSE)),0,VLOOKUP($B27,'PFF-Zones (Combined)'!$B$34:$W$47,18,FALSE))</f>
        <v>0</v>
      </c>
      <c r="G27" s="591">
        <f>IF(ISNA(VLOOKUP($B27,'PFF-Zones (Combined)'!$B$50:$W$56,18,FALSE)),0,VLOOKUP($B27,'PFF-Zones (Combined)'!$B$50:$W$56,18,FALSE))</f>
        <v>0</v>
      </c>
      <c r="H27" s="591">
        <f>IF(ISNA(VLOOKUP($B27,'PFF-Zones (Combined)'!$B$61:$W$71,18,FALSE)),0,VLOOKUP($B27,'PFF-Zones (Combined)'!$B$61:$W$71,18,FALSE))</f>
        <v>0.8327</v>
      </c>
      <c r="I27" s="591">
        <f>IF(ISNA(VLOOKUP($B27,'PFF-Zones (Combined)'!$B$75:$W$81,18,FALSE)),0,VLOOKUP($B27,'PFF-Zones (Combined)'!$B$75:$W$81,18,FALSE))</f>
        <v>51.598300000000002</v>
      </c>
      <c r="J27" s="591">
        <f>IF(ISNA(VLOOKUP($B27,'PFF-Zones (Combined)'!$B$87:$W$105,18,FALSE)),0,VLOOKUP($B27,'PFF-Zones (Combined)'!$B$87:$W$105,18,FALSE))</f>
        <v>7.2438000000000038</v>
      </c>
      <c r="K27" s="591"/>
      <c r="L27" s="591"/>
      <c r="M27" s="591">
        <f>IF(ISNA(VLOOKUP($B27,'PFF-Zones (Combined)'!$B$109:$W$120,18,FALSE)),0,VLOOKUP($B27,'PFF-Zones (Combined)'!$B$109:$W$120,18,FALSE))</f>
        <v>0</v>
      </c>
      <c r="N27" s="608"/>
      <c r="O27" s="858">
        <f>IF(ISNA(VLOOKUP($B27,'PFF-Zones (Combined)'!$B$3:$W$11,21,FALSE)),0,VLOOKUP($B27,'PFF-Zones (Combined)'!$B$3:$W$11,21,FALSE))</f>
        <v>0.85</v>
      </c>
      <c r="P27" s="858">
        <f>IF(ISNA(VLOOKUP($B27,'PFF-Zones (Combined)'!$B$15:$W$31,21,FALSE)),0,VLOOKUP($B27,'PFF-Zones (Combined)'!$B$15:$W$31,21,FALSE))</f>
        <v>0.85</v>
      </c>
      <c r="Q27" s="859">
        <f>IF(ISNA(VLOOKUP($B27,'PFF-Zones (Combined)'!$B$34:$W$47,21,FALSE)),0,VLOOKUP($B27,'PFF-Zones (Combined)'!$B$34:$W$47,21,FALSE))</f>
        <v>0</v>
      </c>
      <c r="R27" s="859">
        <f>IF(ISNA(VLOOKUP($B27,'PFF-Zones (Combined)'!$B$50:$W$56,21,FALSE)),0,VLOOKUP($B27,'PFF-Zones (Combined)'!$B$50:$W$56,21,FALSE))</f>
        <v>0</v>
      </c>
      <c r="S27" s="858">
        <f>IF(ISNA(VLOOKUP($B27,'PFF-Zones (Combined)'!$B$61:$W$71,21,FALSE)),0,VLOOKUP($B27,'PFF-Zones (Combined)'!$B$61:$W$71,21,FALSE))</f>
        <v>0.85</v>
      </c>
      <c r="T27" s="858">
        <f>IF(ISNA(VLOOKUP($B27,'PFF-Zones (Combined)'!$B$75:$W$81,21,FALSE)),0,VLOOKUP($B27,'PFF-Zones (Combined)'!$B$75:$W$81,21,FALSE))</f>
        <v>0.85</v>
      </c>
      <c r="U27" s="858">
        <f>IF(ISNA(VLOOKUP($B27,'PFF-Zones (Combined)'!$B$87:$W$105,21,FALSE)),0,VLOOKUP($B27,'PFF-Zones (Combined)'!$B$87:$W$105,21,FALSE))</f>
        <v>0.85</v>
      </c>
      <c r="V27" s="859"/>
      <c r="W27" s="859"/>
      <c r="X27" s="859">
        <f>IF(ISNA(VLOOKUP($B27,'PFF-Zones (Combined)'!$B$109:$W$120,21,FALSE)),0,VLOOKUP($B27,'PFF-Zones (Combined)'!$B$109:$W$120,21,FALSE))</f>
        <v>0</v>
      </c>
      <c r="Z27" s="872">
        <f t="shared" si="6"/>
        <v>37.247425</v>
      </c>
      <c r="AA27" s="872">
        <f t="shared" si="7"/>
        <v>95.643614999999997</v>
      </c>
      <c r="AB27" s="872">
        <f t="shared" si="8"/>
        <v>0</v>
      </c>
      <c r="AC27" s="872">
        <f t="shared" si="9"/>
        <v>0</v>
      </c>
      <c r="AD27" s="872">
        <f t="shared" si="10"/>
        <v>0.70779499999999995</v>
      </c>
      <c r="AE27" s="872">
        <f t="shared" si="11"/>
        <v>43.858555000000003</v>
      </c>
      <c r="AF27" s="872">
        <f t="shared" si="12"/>
        <v>6.1572300000000029</v>
      </c>
      <c r="AG27" s="873"/>
      <c r="AH27" s="873"/>
      <c r="AI27" s="872">
        <f t="shared" si="13"/>
        <v>0</v>
      </c>
      <c r="AK27" s="889">
        <v>0</v>
      </c>
      <c r="AL27" s="872">
        <f t="shared" si="14"/>
        <v>0</v>
      </c>
      <c r="AM27" s="872">
        <f t="shared" si="15"/>
        <v>0</v>
      </c>
      <c r="AN27" s="872">
        <f t="shared" si="16"/>
        <v>0</v>
      </c>
      <c r="AO27" s="872">
        <f t="shared" si="17"/>
        <v>0</v>
      </c>
      <c r="AP27" s="872">
        <f t="shared" si="18"/>
        <v>0</v>
      </c>
      <c r="AQ27" s="872">
        <f t="shared" si="19"/>
        <v>0</v>
      </c>
      <c r="AR27" s="872">
        <f t="shared" si="20"/>
        <v>0</v>
      </c>
      <c r="AS27" s="872"/>
      <c r="AT27" s="872"/>
      <c r="AU27" s="872">
        <f t="shared" si="21"/>
        <v>0</v>
      </c>
      <c r="AX27" s="749" t="str">
        <f>IF(ISNA(VLOOKUP($B27,'3. EDU Calculation'!$B$10:$I$35,8,FALSE)),0,VLOOKUP($B27,'3. EDU Calculation'!$B$10:$I$35,8,FALSE))</f>
        <v>Acre</v>
      </c>
      <c r="AY27" s="749">
        <f>IF(ISNA(VLOOKUP($B27,'3. EDU Calculation'!$B$10:$J$35,9,FALSE)),0,VLOOKUP($B27,'3. EDU Calculation'!$B$10:$J$35,9,FALSE))</f>
        <v>1</v>
      </c>
      <c r="AZ27" s="871">
        <f t="shared" si="22"/>
        <v>37.247425</v>
      </c>
      <c r="BA27" s="871">
        <f t="shared" si="23"/>
        <v>95.643614999999997</v>
      </c>
      <c r="BB27" s="871">
        <f t="shared" si="24"/>
        <v>0</v>
      </c>
      <c r="BC27" s="871">
        <f t="shared" si="25"/>
        <v>0</v>
      </c>
      <c r="BD27" s="871">
        <f t="shared" si="26"/>
        <v>0.70779499999999995</v>
      </c>
      <c r="BE27" s="871">
        <f t="shared" si="27"/>
        <v>43.858555000000003</v>
      </c>
      <c r="BF27" s="871">
        <f t="shared" si="28"/>
        <v>6.1572300000000029</v>
      </c>
      <c r="BG27" s="871"/>
      <c r="BH27" s="871"/>
      <c r="BI27" s="871">
        <f t="shared" si="29"/>
        <v>0</v>
      </c>
      <c r="BK27" s="591">
        <f>IF(ISNA(VLOOKUP($B27,'3. EDU Calculation'!$B$10:$M$35,12,FALSE)),0,VLOOKUP($B27,'3. EDU Calculation'!$B$10:$M$35,12,FALSE))</f>
        <v>0</v>
      </c>
      <c r="BL27" s="591">
        <f>IF(ISNA(VLOOKUP($B27,'3. EDU Calculation'!$B$10:$M$35,12,FALSE)),0,VLOOKUP($B27,'3. EDU Calculation'!$B$10:$M$35,12,FALSE))</f>
        <v>0</v>
      </c>
      <c r="BM27" s="591">
        <f>IF(ISNA(VLOOKUP($B27,'3. EDU Calculation'!$B$10:$M$35,12,FALSE)),0,VLOOKUP($B27,'3. EDU Calculation'!$B$10:$M$35,12,FALSE))</f>
        <v>0</v>
      </c>
      <c r="BN27" s="591">
        <f>IF(ISNA(VLOOKUP($B27,'3. EDU Calculation'!$B$10:$M$35,12,FALSE)),0,VLOOKUP($B27,'3. EDU Calculation'!$B$10:$M$35,12,FALSE))</f>
        <v>0</v>
      </c>
      <c r="BO27" s="591">
        <f>IF(ISNA(VLOOKUP($B27,'3. EDU Calculation'!$B$10:$M$35,12,FALSE)),0,VLOOKUP($B27,'3. EDU Calculation'!$B$10:$M$35,12,FALSE))</f>
        <v>0</v>
      </c>
      <c r="BP27" s="591">
        <f>IF(ISNA(VLOOKUP($B27,'3. EDU Calculation'!$B$10:$M$35,12,FALSE)),0,VLOOKUP($B27,'3. EDU Calculation'!$B$10:$M$35,12,FALSE))</f>
        <v>0</v>
      </c>
      <c r="BQ27" s="591">
        <f>IF(ISNA(VLOOKUP($B27,'3. EDU Calculation'!$B$10:$M$35,12,FALSE)),0,VLOOKUP($B27,'3. EDU Calculation'!$B$10:$M$35,12,FALSE))</f>
        <v>0</v>
      </c>
      <c r="BR27" s="591"/>
      <c r="BS27" s="591"/>
      <c r="BT27" s="591">
        <f>IF(ISNA(VLOOKUP($B27,'3. EDU Calculation'!$B$10:$M$35,12,FALSE)),0,VLOOKUP($B27,'3. EDU Calculation'!$B$10:$M$35,12,FALSE))</f>
        <v>0</v>
      </c>
      <c r="BV27" s="591">
        <f t="shared" si="30"/>
        <v>0</v>
      </c>
      <c r="BW27" s="591">
        <f t="shared" si="31"/>
        <v>0</v>
      </c>
      <c r="BX27" s="591">
        <f t="shared" si="32"/>
        <v>0</v>
      </c>
      <c r="BY27" s="591">
        <f t="shared" si="33"/>
        <v>0</v>
      </c>
      <c r="BZ27" s="591">
        <f t="shared" si="34"/>
        <v>0</v>
      </c>
      <c r="CA27" s="591">
        <f t="shared" si="35"/>
        <v>0</v>
      </c>
      <c r="CB27" s="591">
        <f t="shared" si="36"/>
        <v>0</v>
      </c>
      <c r="CC27" s="591"/>
      <c r="CD27" s="591"/>
      <c r="CE27" s="591">
        <f t="shared" si="37"/>
        <v>0</v>
      </c>
    </row>
    <row r="28" spans="2:83" x14ac:dyDescent="0.2">
      <c r="B28" t="s">
        <v>147</v>
      </c>
      <c r="D28" s="591">
        <f>IF(ISNA(VLOOKUP($B28,'PFF-Zones (Combined)'!$B$3:$W$11,18,FALSE)),0,VLOOKUP($B28,'PFF-Zones (Combined)'!$B$3:$W$11,18,FALSE))</f>
        <v>0</v>
      </c>
      <c r="E28" s="591">
        <f>IF(ISNA(VLOOKUP($B28,'PFF-Zones (Combined)'!$B$15:$W$31,18,FALSE)),0,VLOOKUP($B28,'PFF-Zones (Combined)'!$B$15:$W$31,18,FALSE))</f>
        <v>340.85419999999999</v>
      </c>
      <c r="F28" s="591">
        <f>IF(ISNA(VLOOKUP($B28,'PFF-Zones (Combined)'!$B$34:$W$47,18,FALSE)),0,VLOOKUP($B28,'PFF-Zones (Combined)'!$B$34:$W$47,18,FALSE))</f>
        <v>237.68100000000001</v>
      </c>
      <c r="G28" s="591">
        <f>IF(ISNA(VLOOKUP($B28,'PFF-Zones (Combined)'!$B$50:$W$56,18,FALSE)),0,VLOOKUP($B28,'PFF-Zones (Combined)'!$B$50:$W$56,18,FALSE))</f>
        <v>0</v>
      </c>
      <c r="H28" s="591">
        <f>IF(ISNA(VLOOKUP($B28,'PFF-Zones (Combined)'!$B$61:$W$71,18,FALSE)),0,VLOOKUP($B28,'PFF-Zones (Combined)'!$B$61:$W$71,18,FALSE))</f>
        <v>0</v>
      </c>
      <c r="I28" s="591">
        <f>IF(ISNA(VLOOKUP($B28,'PFF-Zones (Combined)'!$B$75:$W$81,18,FALSE)),0,VLOOKUP($B28,'PFF-Zones (Combined)'!$B$75:$W$81,18,FALSE))</f>
        <v>0</v>
      </c>
      <c r="J28" s="591">
        <f>IF(ISNA(VLOOKUP($B28,'PFF-Zones (Combined)'!$B$87:$W$105,18,FALSE)),0,VLOOKUP($B28,'PFF-Zones (Combined)'!$B$87:$W$105,18,FALSE))</f>
        <v>1130.5842</v>
      </c>
      <c r="K28" s="591"/>
      <c r="L28" s="591"/>
      <c r="M28" s="591">
        <f>IF(ISNA(VLOOKUP($B28,'PFF-Zones (Combined)'!$B$109:$W$120,18,FALSE)),0,VLOOKUP($B28,'PFF-Zones (Combined)'!$B$109:$W$120,18,FALSE))</f>
        <v>0</v>
      </c>
      <c r="N28" s="608"/>
      <c r="O28" s="607">
        <f>IF(IF(ISNA(VLOOKUP($B28,'PFF-Zones (Combined)'!$B$3:$W$11,21,FALSE)),0,VLOOKUP($B28,'PFF-Zones (Combined)'!$B$3:$W$11,21,FALSE))&gt;0,0.2,IF(ISNA(VLOOKUP($B28,'PFF-Zones (Combined)'!$B$3:$W$11,21,FALSE)),0,VLOOKUP($B28,'PFF-Zones (Combined)'!$B$3:$W$11,21,FALSE)))</f>
        <v>0</v>
      </c>
      <c r="P28" s="602">
        <f>IF(IF(ISNA(VLOOKUP($B28,'PFF-Zones (Combined)'!$B$15:$W$31,21,FALSE)),0,VLOOKUP($B28,'PFF-Zones (Combined)'!$B$15:$W$31,21,FALSE))&gt;0,0.2,IF(ISNA(VLOOKUP($B28,'PFF-Zones (Combined)'!$B$15:$W$31,21,FALSE)),0,VLOOKUP($B28,'PFF-Zones (Combined)'!$B$15:$W$31,21,FALSE)))</f>
        <v>0.2</v>
      </c>
      <c r="Q28" s="602">
        <f>IF(IF(ISNA(VLOOKUP($B28,'PFF-Zones (Combined)'!$B$34:$W$47,21,FALSE)),0,VLOOKUP($B28,'PFF-Zones (Combined)'!$B$34:$W$47,21,FALSE))&gt;0,0.2,IF(ISNA(VLOOKUP($B28,'PFF-Zones (Combined)'!$B$34:$W$47,21,FALSE)),0,VLOOKUP($B28,'PFF-Zones (Combined)'!$B$34:$W$47,21,FALSE)))</f>
        <v>0.2</v>
      </c>
      <c r="R28" s="614">
        <f>IF(IF(ISNA(VLOOKUP($B28,'PFF-Zones (Combined)'!$B$50:$W$56,21,FALSE)),0,VLOOKUP($B28,'PFF-Zones (Combined)'!$B$50:$W$56,21,FALSE))&gt;0,0.2,IF(ISNA(VLOOKUP($B28,'PFF-Zones (Combined)'!$B$50:$W$56,21,FALSE)),0,VLOOKUP($B28,'PFF-Zones (Combined)'!$B$50:$W$56,21,FALSE)))</f>
        <v>0</v>
      </c>
      <c r="S28" s="614">
        <f>IF(IF(ISNA(VLOOKUP($B28,'PFF-Zones (Combined)'!$B$61:$W$71,21,FALSE)),0,VLOOKUP($B28,'PFF-Zones (Combined)'!$B$61:$W$71,21,FALSE))&gt;0,0.2,IF(ISNA(VLOOKUP($B28,'PFF-Zones (Combined)'!$B$61:$W$71,21,FALSE)),0,VLOOKUP($B28,'PFF-Zones (Combined)'!$B$61:$W$71,21,FALSE)))</f>
        <v>0</v>
      </c>
      <c r="T28" s="614">
        <f>IF(IF(ISNA(VLOOKUP($B28,'PFF-Zones (Combined)'!$B$75:$W$81,21,FALSE)),0,VLOOKUP($B28,'PFF-Zones (Combined)'!$B$75:$W$81,21,FALSE))&gt;0,0.2,IF(ISNA(VLOOKUP($B28,'PFF-Zones (Combined)'!$B$75:$W$81,21,FALSE)),0,VLOOKUP($B28,'PFF-Zones (Combined)'!$B$75:$W$81,21,FALSE)))</f>
        <v>0</v>
      </c>
      <c r="U28" s="602">
        <f>IF(IF(ISNA(VLOOKUP($B28,'PFF-Zones (Combined)'!$B$87:$W$105,21,FALSE)),0,VLOOKUP($B28,'PFF-Zones (Combined)'!$B$87:$W$105,21,FALSE))&gt;0,0.2,IF(ISNA(VLOOKUP($B28,'PFF-Zones (Combined)'!$B$87:$W$105,21,FALSE)),0,VLOOKUP($B28,'PFF-Zones (Combined)'!$B$87:$W$105,21,FALSE)))</f>
        <v>0.2</v>
      </c>
      <c r="V28" s="614"/>
      <c r="W28" s="614"/>
      <c r="X28" s="614">
        <f>IF(IF(ISNA(VLOOKUP($B28,'PFF-Zones (Combined)'!$B$109:$W$120,21,FALSE)),0,VLOOKUP($B28,'PFF-Zones (Combined)'!$B$109:$W$120,21,FALSE))&gt;0,0.2,IF(ISNA(VLOOKUP($B28,'PFF-Zones (Combined)'!$B$109:$W$120,21,FALSE)),0,VLOOKUP($B28,'PFF-Zones (Combined)'!$B$109:$W$120,21,FALSE)))</f>
        <v>0</v>
      </c>
      <c r="Z28" s="607">
        <f t="shared" si="6"/>
        <v>0</v>
      </c>
      <c r="AA28" s="607">
        <f t="shared" si="7"/>
        <v>68.170839999999998</v>
      </c>
      <c r="AB28" s="607">
        <f t="shared" si="8"/>
        <v>47.536200000000008</v>
      </c>
      <c r="AC28" s="607">
        <f t="shared" si="9"/>
        <v>0</v>
      </c>
      <c r="AD28" s="607">
        <f t="shared" si="10"/>
        <v>0</v>
      </c>
      <c r="AE28" s="607">
        <f t="shared" si="11"/>
        <v>0</v>
      </c>
      <c r="AF28" s="607">
        <f t="shared" si="12"/>
        <v>226.11684000000002</v>
      </c>
      <c r="AG28" s="602"/>
      <c r="AH28" s="602"/>
      <c r="AI28" s="607">
        <f t="shared" si="13"/>
        <v>0</v>
      </c>
      <c r="AK28" s="615">
        <f>IF(ISNA(VLOOKUP($B28,'3. EDU Calculation'!$B$10:$E$35,4,FALSE)),0,VLOOKUP($B28,'3. EDU Calculation'!$B$10:$E$35,4,FALSE))</f>
        <v>0.3</v>
      </c>
      <c r="AL28" s="607">
        <f t="shared" si="14"/>
        <v>0</v>
      </c>
      <c r="AM28" s="607">
        <f t="shared" si="15"/>
        <v>20.451252</v>
      </c>
      <c r="AN28" s="607">
        <f t="shared" si="16"/>
        <v>14.260860000000003</v>
      </c>
      <c r="AO28" s="607">
        <f t="shared" si="17"/>
        <v>0</v>
      </c>
      <c r="AP28" s="607">
        <f t="shared" si="18"/>
        <v>0</v>
      </c>
      <c r="AQ28" s="607">
        <f t="shared" si="19"/>
        <v>0</v>
      </c>
      <c r="AR28" s="607">
        <f t="shared" si="20"/>
        <v>67.835052000000005</v>
      </c>
      <c r="AS28" s="607"/>
      <c r="AT28" s="607"/>
      <c r="AU28" s="607">
        <f t="shared" si="21"/>
        <v>0</v>
      </c>
      <c r="AX28" s="749" t="str">
        <f>IF(ISNA(VLOOKUP($B28,'3. EDU Calculation'!$B$10:$I$35,8,FALSE)),0,VLOOKUP($B28,'3. EDU Calculation'!$B$10:$I$35,8,FALSE))</f>
        <v>Dwelling Unit</v>
      </c>
      <c r="AY28" s="749">
        <f>IF(ISNA(VLOOKUP($B28,'3. EDU Calculation'!$B$10:$J$35,9,FALSE)),0,VLOOKUP($B28,'3. EDU Calculation'!$B$10:$J$35,9,FALSE))</f>
        <v>5</v>
      </c>
      <c r="AZ28" s="586">
        <f t="shared" si="22"/>
        <v>0</v>
      </c>
      <c r="BA28" s="586">
        <f t="shared" si="23"/>
        <v>340.85419999999999</v>
      </c>
      <c r="BB28" s="586">
        <f t="shared" si="24"/>
        <v>237.68100000000004</v>
      </c>
      <c r="BC28" s="586">
        <f t="shared" si="25"/>
        <v>0</v>
      </c>
      <c r="BD28" s="586">
        <f t="shared" si="26"/>
        <v>0</v>
      </c>
      <c r="BE28" s="586">
        <f t="shared" si="27"/>
        <v>0</v>
      </c>
      <c r="BF28" s="586">
        <f t="shared" si="28"/>
        <v>1130.5842000000002</v>
      </c>
      <c r="BG28" s="586"/>
      <c r="BH28" s="586"/>
      <c r="BI28" s="586">
        <f t="shared" si="29"/>
        <v>0</v>
      </c>
      <c r="BK28" s="591">
        <f>IF(ISNA(VLOOKUP($B28,'3. EDU Calculation'!$B$10:$M$35,12,FALSE)),0,VLOOKUP($B28,'3. EDU Calculation'!$B$10:$M$35,12,FALSE))</f>
        <v>1</v>
      </c>
      <c r="BL28" s="591">
        <f>IF(ISNA(VLOOKUP($B28,'3. EDU Calculation'!$B$10:$M$35,12,FALSE)),0,VLOOKUP($B28,'3. EDU Calculation'!$B$10:$M$35,12,FALSE))</f>
        <v>1</v>
      </c>
      <c r="BM28" s="591">
        <f>IF(ISNA(VLOOKUP($B28,'3. EDU Calculation'!$B$10:$M$35,12,FALSE)),0,VLOOKUP($B28,'3. EDU Calculation'!$B$10:$M$35,12,FALSE))</f>
        <v>1</v>
      </c>
      <c r="BN28" s="591">
        <f>IF(ISNA(VLOOKUP($B28,'3. EDU Calculation'!$B$10:$M$35,12,FALSE)),0,VLOOKUP($B28,'3. EDU Calculation'!$B$10:$M$35,12,FALSE))</f>
        <v>1</v>
      </c>
      <c r="BO28" s="591">
        <f>IF(ISNA(VLOOKUP($B28,'3. EDU Calculation'!$B$10:$M$35,12,FALSE)),0,VLOOKUP($B28,'3. EDU Calculation'!$B$10:$M$35,12,FALSE))</f>
        <v>1</v>
      </c>
      <c r="BP28" s="591">
        <f>IF(ISNA(VLOOKUP($B28,'3. EDU Calculation'!$B$10:$M$35,12,FALSE)),0,VLOOKUP($B28,'3. EDU Calculation'!$B$10:$M$35,12,FALSE))</f>
        <v>1</v>
      </c>
      <c r="BQ28" s="591">
        <f>IF(ISNA(VLOOKUP($B28,'3. EDU Calculation'!$B$10:$M$35,12,FALSE)),0,VLOOKUP($B28,'3. EDU Calculation'!$B$10:$M$35,12,FALSE))</f>
        <v>1</v>
      </c>
      <c r="BR28" s="591"/>
      <c r="BS28" s="591"/>
      <c r="BT28" s="591">
        <f>IF(ISNA(VLOOKUP($B28,'3. EDU Calculation'!$B$10:$M$35,12,FALSE)),0,VLOOKUP($B28,'3. EDU Calculation'!$B$10:$M$35,12,FALSE))</f>
        <v>1</v>
      </c>
      <c r="BV28" s="591">
        <f t="shared" si="30"/>
        <v>0</v>
      </c>
      <c r="BW28" s="591">
        <f t="shared" si="31"/>
        <v>340.85419999999999</v>
      </c>
      <c r="BX28" s="591">
        <f t="shared" si="32"/>
        <v>237.68100000000004</v>
      </c>
      <c r="BY28" s="591">
        <f t="shared" si="33"/>
        <v>0</v>
      </c>
      <c r="BZ28" s="591">
        <f t="shared" si="34"/>
        <v>0</v>
      </c>
      <c r="CA28" s="591">
        <f t="shared" si="35"/>
        <v>0</v>
      </c>
      <c r="CB28" s="591">
        <f t="shared" si="36"/>
        <v>1130.5842000000002</v>
      </c>
      <c r="CC28" s="591"/>
      <c r="CD28" s="591"/>
      <c r="CE28" s="591">
        <f t="shared" si="37"/>
        <v>0</v>
      </c>
    </row>
    <row r="29" spans="2:83" x14ac:dyDescent="0.2">
      <c r="B29" t="s">
        <v>230</v>
      </c>
      <c r="D29" s="591">
        <f>IF(ISNA(VLOOKUP($B29,'PFF-Zones (Combined)'!$B$3:$W$11,18,FALSE)),0,VLOOKUP($B29,'PFF-Zones (Combined)'!$B$3:$W$11,18,FALSE))</f>
        <v>851.64589999999998</v>
      </c>
      <c r="E29" s="591">
        <f>IF(ISNA(VLOOKUP($B29,'PFF-Zones (Combined)'!$B$15:$W$31,18,FALSE)),0,VLOOKUP($B29,'PFF-Zones (Combined)'!$B$15:$W$31,18,FALSE))</f>
        <v>255.3398</v>
      </c>
      <c r="F29" s="591">
        <f>IF(ISNA(VLOOKUP($B29,'PFF-Zones (Combined)'!$B$34:$W$47,18,FALSE)),0,VLOOKUP($B29,'PFF-Zones (Combined)'!$B$34:$W$47,18,FALSE))</f>
        <v>47.572600000000001</v>
      </c>
      <c r="G29" s="591">
        <f>IF(ISNA(VLOOKUP($B29,'PFF-Zones (Combined)'!$B$50:$W$56,18,FALSE)),0,VLOOKUP($B29,'PFF-Zones (Combined)'!$B$50:$W$56,18,FALSE))</f>
        <v>0</v>
      </c>
      <c r="H29" s="591">
        <f>IF(ISNA(VLOOKUP($B29,'PFF-Zones (Combined)'!$B$61:$W$71,18,FALSE)),0,VLOOKUP($B29,'PFF-Zones (Combined)'!$B$61:$W$71,18,FALSE))</f>
        <v>0</v>
      </c>
      <c r="I29" s="591">
        <f>IF(ISNA(VLOOKUP($B29,'PFF-Zones (Combined)'!$B$75:$W$81,18,FALSE)),0,VLOOKUP($B29,'PFF-Zones (Combined)'!$B$75:$W$81,18,FALSE))</f>
        <v>0</v>
      </c>
      <c r="J29" s="591">
        <f>IF(ISNA(VLOOKUP($B29,'PFF-Zones (Combined)'!$B$87:$W$105,18,FALSE)),0,VLOOKUP($B29,'PFF-Zones (Combined)'!$B$87:$W$105,18,FALSE))</f>
        <v>459.1943</v>
      </c>
      <c r="K29" s="591"/>
      <c r="L29" s="591"/>
      <c r="M29" s="591">
        <f>IF(ISNA(VLOOKUP($B29,'PFF-Zones (Combined)'!$B$109:$W$120,18,FALSE)),0,VLOOKUP($B29,'PFF-Zones (Combined)'!$B$109:$W$120,18,FALSE))</f>
        <v>0</v>
      </c>
      <c r="N29" s="608"/>
      <c r="O29" s="602">
        <f>IF(IF(ISNA(VLOOKUP($B29,'PFF-Zones (Combined)'!$B$3:$W$11,21,FALSE)),0,VLOOKUP($B29,'PFF-Zones (Combined)'!$B$3:$W$11,21,FALSE))&gt;0,0.2,IF(ISNA(VLOOKUP($B29,'PFF-Zones (Combined)'!$B$3:$W$11,21,FALSE)),0,VLOOKUP($B29,'PFF-Zones (Combined)'!$B$3:$W$11,21,FALSE)))</f>
        <v>0.2</v>
      </c>
      <c r="P29" s="602">
        <f>IF(IF(ISNA(VLOOKUP($B29,'PFF-Zones (Combined)'!$B$15:$W$31,21,FALSE)),0,VLOOKUP($B29,'PFF-Zones (Combined)'!$B$15:$W$31,21,FALSE))&gt;0,0.2,IF(ISNA(VLOOKUP($B29,'PFF-Zones (Combined)'!$B$15:$W$31,21,FALSE)),0,VLOOKUP($B29,'PFF-Zones (Combined)'!$B$15:$W$31,21,FALSE)))</f>
        <v>0.2</v>
      </c>
      <c r="Q29" s="602">
        <f>IF(IF(ISNA(VLOOKUP($B29,'PFF-Zones (Combined)'!$B$34:$W$47,21,FALSE)),0,VLOOKUP($B29,'PFF-Zones (Combined)'!$B$34:$W$47,21,FALSE))&gt;0,0.2,IF(ISNA(VLOOKUP($B29,'PFF-Zones (Combined)'!$B$34:$W$47,21,FALSE)),0,VLOOKUP($B29,'PFF-Zones (Combined)'!$B$34:$W$47,21,FALSE)))</f>
        <v>0.2</v>
      </c>
      <c r="R29" s="614">
        <f>IF(IF(ISNA(VLOOKUP($B29,'PFF-Zones (Combined)'!$B$50:$W$56,21,FALSE)),0,VLOOKUP($B29,'PFF-Zones (Combined)'!$B$50:$W$56,21,FALSE))&gt;0,0.2,IF(ISNA(VLOOKUP($B29,'PFF-Zones (Combined)'!$B$50:$W$56,21,FALSE)),0,VLOOKUP($B29,'PFF-Zones (Combined)'!$B$50:$W$56,21,FALSE)))</f>
        <v>0</v>
      </c>
      <c r="S29" s="614">
        <f>IF(IF(ISNA(VLOOKUP($B29,'PFF-Zones (Combined)'!$B$61:$W$71,21,FALSE)),0,VLOOKUP($B29,'PFF-Zones (Combined)'!$B$61:$W$71,21,FALSE))&gt;0,0.2,IF(ISNA(VLOOKUP($B29,'PFF-Zones (Combined)'!$B$61:$W$71,21,FALSE)),0,VLOOKUP($B29,'PFF-Zones (Combined)'!$B$61:$W$71,21,FALSE)))</f>
        <v>0</v>
      </c>
      <c r="T29" s="614">
        <f>IF(IF(ISNA(VLOOKUP($B29,'PFF-Zones (Combined)'!$B$75:$W$81,21,FALSE)),0,VLOOKUP($B29,'PFF-Zones (Combined)'!$B$75:$W$81,21,FALSE))&gt;0,0.2,IF(ISNA(VLOOKUP($B29,'PFF-Zones (Combined)'!$B$75:$W$81,21,FALSE)),0,VLOOKUP($B29,'PFF-Zones (Combined)'!$B$75:$W$81,21,FALSE)))</f>
        <v>0</v>
      </c>
      <c r="U29" s="602">
        <f>IF(IF(ISNA(VLOOKUP($B29,'PFF-Zones (Combined)'!$B$87:$W$105,21,FALSE)),0,VLOOKUP($B29,'PFF-Zones (Combined)'!$B$87:$W$105,21,FALSE))&gt;0,0.2,IF(ISNA(VLOOKUP($B29,'PFF-Zones (Combined)'!$B$87:$W$105,21,FALSE)),0,VLOOKUP($B29,'PFF-Zones (Combined)'!$B$87:$W$105,21,FALSE)))</f>
        <v>0.2</v>
      </c>
      <c r="V29" s="614"/>
      <c r="W29" s="614"/>
      <c r="X29" s="614">
        <f>IF(IF(ISNA(VLOOKUP($B29,'PFF-Zones (Combined)'!$B$109:$W$120,21,FALSE)),0,VLOOKUP($B29,'PFF-Zones (Combined)'!$B$109:$W$120,21,FALSE))&gt;0,0.2,IF(ISNA(VLOOKUP($B29,'PFF-Zones (Combined)'!$B$109:$W$120,21,FALSE)),0,VLOOKUP($B29,'PFF-Zones (Combined)'!$B$109:$W$120,21,FALSE)))</f>
        <v>0</v>
      </c>
      <c r="Z29" s="607">
        <f t="shared" si="6"/>
        <v>170.32918000000001</v>
      </c>
      <c r="AA29" s="607">
        <f t="shared" si="7"/>
        <v>51.067959999999999</v>
      </c>
      <c r="AB29" s="607">
        <f t="shared" si="8"/>
        <v>9.514520000000001</v>
      </c>
      <c r="AC29" s="607">
        <f t="shared" si="9"/>
        <v>0</v>
      </c>
      <c r="AD29" s="607">
        <f t="shared" si="10"/>
        <v>0</v>
      </c>
      <c r="AE29" s="607">
        <f t="shared" si="11"/>
        <v>0</v>
      </c>
      <c r="AF29" s="607">
        <f t="shared" si="12"/>
        <v>91.838860000000011</v>
      </c>
      <c r="AG29" s="602"/>
      <c r="AH29" s="602"/>
      <c r="AI29" s="607">
        <f t="shared" si="13"/>
        <v>0</v>
      </c>
      <c r="AK29" s="615">
        <f>IF(ISNA(VLOOKUP($B29,'3. EDU Calculation'!$B$10:$E$35,4,FALSE)),0,VLOOKUP($B29,'3. EDU Calculation'!$B$10:$E$35,4,FALSE))</f>
        <v>0.3</v>
      </c>
      <c r="AL29" s="607">
        <f t="shared" si="14"/>
        <v>51.098754</v>
      </c>
      <c r="AM29" s="607">
        <f t="shared" si="15"/>
        <v>15.320387999999999</v>
      </c>
      <c r="AN29" s="607">
        <f t="shared" si="16"/>
        <v>2.8543560000000001</v>
      </c>
      <c r="AO29" s="607">
        <f t="shared" si="17"/>
        <v>0</v>
      </c>
      <c r="AP29" s="607">
        <f t="shared" si="18"/>
        <v>0</v>
      </c>
      <c r="AQ29" s="607">
        <f t="shared" si="19"/>
        <v>0</v>
      </c>
      <c r="AR29" s="607">
        <f t="shared" si="20"/>
        <v>27.551658000000003</v>
      </c>
      <c r="AS29" s="607"/>
      <c r="AT29" s="607"/>
      <c r="AU29" s="607">
        <f t="shared" si="21"/>
        <v>0</v>
      </c>
      <c r="AX29" s="749" t="str">
        <f>IF(ISNA(VLOOKUP($B29,'3. EDU Calculation'!$B$10:$I$35,8,FALSE)),0,VLOOKUP($B29,'3. EDU Calculation'!$B$10:$I$35,8,FALSE))</f>
        <v>Dwelling Unit</v>
      </c>
      <c r="AY29" s="749">
        <f>IF(ISNA(VLOOKUP($B29,'3. EDU Calculation'!$B$10:$J$35,9,FALSE)),0,VLOOKUP($B29,'3. EDU Calculation'!$B$10:$J$35,9,FALSE))</f>
        <v>5</v>
      </c>
      <c r="AZ29" s="586">
        <f t="shared" si="22"/>
        <v>851.64589999999998</v>
      </c>
      <c r="BA29" s="586">
        <f t="shared" si="23"/>
        <v>255.3398</v>
      </c>
      <c r="BB29" s="586">
        <f t="shared" si="24"/>
        <v>47.572600000000008</v>
      </c>
      <c r="BC29" s="586">
        <f t="shared" si="25"/>
        <v>0</v>
      </c>
      <c r="BD29" s="586">
        <f t="shared" si="26"/>
        <v>0</v>
      </c>
      <c r="BE29" s="586">
        <f t="shared" si="27"/>
        <v>0</v>
      </c>
      <c r="BF29" s="586">
        <f t="shared" si="28"/>
        <v>459.19430000000006</v>
      </c>
      <c r="BG29" s="586"/>
      <c r="BH29" s="586"/>
      <c r="BI29" s="586">
        <f t="shared" si="29"/>
        <v>0</v>
      </c>
      <c r="BK29" s="591">
        <f>IF(ISNA(VLOOKUP($B29,'3. EDU Calculation'!$B$10:$M$35,12,FALSE)),0,VLOOKUP($B29,'3. EDU Calculation'!$B$10:$M$35,12,FALSE))</f>
        <v>1</v>
      </c>
      <c r="BL29" s="591">
        <f>IF(ISNA(VLOOKUP($B29,'3. EDU Calculation'!$B$10:$M$35,12,FALSE)),0,VLOOKUP($B29,'3. EDU Calculation'!$B$10:$M$35,12,FALSE))</f>
        <v>1</v>
      </c>
      <c r="BM29" s="591">
        <f>IF(ISNA(VLOOKUP($B29,'3. EDU Calculation'!$B$10:$M$35,12,FALSE)),0,VLOOKUP($B29,'3. EDU Calculation'!$B$10:$M$35,12,FALSE))</f>
        <v>1</v>
      </c>
      <c r="BN29" s="591">
        <f>IF(ISNA(VLOOKUP($B29,'3. EDU Calculation'!$B$10:$M$35,12,FALSE)),0,VLOOKUP($B29,'3. EDU Calculation'!$B$10:$M$35,12,FALSE))</f>
        <v>1</v>
      </c>
      <c r="BO29" s="591">
        <f>IF(ISNA(VLOOKUP($B29,'3. EDU Calculation'!$B$10:$M$35,12,FALSE)),0,VLOOKUP($B29,'3. EDU Calculation'!$B$10:$M$35,12,FALSE))</f>
        <v>1</v>
      </c>
      <c r="BP29" s="591">
        <f>IF(ISNA(VLOOKUP($B29,'3. EDU Calculation'!$B$10:$M$35,12,FALSE)),0,VLOOKUP($B29,'3. EDU Calculation'!$B$10:$M$35,12,FALSE))</f>
        <v>1</v>
      </c>
      <c r="BQ29" s="591">
        <f>IF(ISNA(VLOOKUP($B29,'3. EDU Calculation'!$B$10:$M$35,12,FALSE)),0,VLOOKUP($B29,'3. EDU Calculation'!$B$10:$M$35,12,FALSE))</f>
        <v>1</v>
      </c>
      <c r="BR29" s="591"/>
      <c r="BS29" s="591"/>
      <c r="BT29" s="591">
        <f>IF(ISNA(VLOOKUP($B29,'3. EDU Calculation'!$B$10:$M$35,12,FALSE)),0,VLOOKUP($B29,'3. EDU Calculation'!$B$10:$M$35,12,FALSE))</f>
        <v>1</v>
      </c>
      <c r="BV29" s="591">
        <f t="shared" si="30"/>
        <v>851.64589999999998</v>
      </c>
      <c r="BW29" s="591">
        <f t="shared" si="31"/>
        <v>255.3398</v>
      </c>
      <c r="BX29" s="591">
        <f t="shared" si="32"/>
        <v>47.572600000000008</v>
      </c>
      <c r="BY29" s="591">
        <f t="shared" si="33"/>
        <v>0</v>
      </c>
      <c r="BZ29" s="591">
        <f t="shared" si="34"/>
        <v>0</v>
      </c>
      <c r="CA29" s="591">
        <f t="shared" si="35"/>
        <v>0</v>
      </c>
      <c r="CB29" s="591">
        <f t="shared" si="36"/>
        <v>459.19430000000006</v>
      </c>
      <c r="CC29" s="591"/>
      <c r="CD29" s="591"/>
      <c r="CE29" s="591">
        <f t="shared" si="37"/>
        <v>0</v>
      </c>
    </row>
    <row r="30" spans="2:83" x14ac:dyDescent="0.2">
      <c r="B30" t="s">
        <v>157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0</v>
      </c>
      <c r="F30" s="591">
        <f>IF(ISNA(VLOOKUP($B30,'PFF-Zones (Combined)'!$B$34:$W$47,18,FALSE)),0,VLOOKUP($B30,'PFF-Zones (Combined)'!$B$34:$W$47,18,FALSE))</f>
        <v>0</v>
      </c>
      <c r="G30" s="591">
        <f>IF(ISNA(VLOOKUP($B30,'PFF-Zones (Combined)'!$B$50:$W$56,18,FALSE)),0,VLOOKUP($B30,'PFF-Zones (Combined)'!$B$50:$W$56,18,FALSE))</f>
        <v>0</v>
      </c>
      <c r="H30" s="591">
        <f>IF(ISNA(VLOOKUP($B30,'PFF-Zones (Combined)'!$B$61:$W$71,18,FALSE)),0,VLOOKUP($B30,'PFF-Zones (Combined)'!$B$61:$W$71,18,FALSE))</f>
        <v>0</v>
      </c>
      <c r="I30" s="591">
        <f>IF(ISNA(VLOOKUP($B30,'PFF-Zones (Combined)'!$B$75:$W$81,18,FALSE)),0,VLOOKUP($B30,'PFF-Zones (Combined)'!$B$75:$W$81,18,FALSE))</f>
        <v>0</v>
      </c>
      <c r="J30" s="591">
        <f>IF(ISNA(VLOOKUP($B30,'PFF-Zones (Combined)'!$B$87:$W$105,18,FALSE)),0,VLOOKUP($B30,'PFF-Zones (Combined)'!$B$87:$W$105,18,FALSE))</f>
        <v>338.69659999999999</v>
      </c>
      <c r="K30" s="591"/>
      <c r="L30" s="591"/>
      <c r="M30" s="591">
        <f>IF(ISNA(VLOOKUP($B30,'PFF-Zones (Combined)'!$B$109:$W$120,18,FALSE)),0,VLOOKUP($B30,'PFF-Zones (Combined)'!$B$109:$W$120,18,FALSE))</f>
        <v>70.002499999999998</v>
      </c>
      <c r="N30" s="608"/>
      <c r="O30" s="614">
        <f>IF(IF(ISNA(VLOOKUP($B30,'PFF-Zones (Combined)'!$B$3:$W$11,21,FALSE)),0,VLOOKUP($B30,'PFF-Zones (Combined)'!$B$3:$W$11,21,FALSE))&gt;0,0.2,IF(ISNA(VLOOKUP($B30,'PFF-Zones (Combined)'!$B$3:$W$11,21,FALSE)),0,VLOOKUP($B30,'PFF-Zones (Combined)'!$B$3:$W$11,21,FALSE)))</f>
        <v>0</v>
      </c>
      <c r="P30" s="614">
        <f>IF(IF(ISNA(VLOOKUP($B30,'PFF-Zones (Combined)'!$B$15:$W$31,21,FALSE)),0,VLOOKUP($B30,'PFF-Zones (Combined)'!$B$15:$W$31,21,FALSE))&gt;0,0.2,IF(ISNA(VLOOKUP($B30,'PFF-Zones (Combined)'!$B$15:$W$31,21,FALSE)),0,VLOOKUP($B30,'PFF-Zones (Combined)'!$B$15:$W$31,21,FALSE)))</f>
        <v>0</v>
      </c>
      <c r="Q30" s="614">
        <f>IF(IF(ISNA(VLOOKUP($B30,'PFF-Zones (Combined)'!$B$34:$W$47,21,FALSE)),0,VLOOKUP($B30,'PFF-Zones (Combined)'!$B$34:$W$47,21,FALSE))&gt;0,0.2,IF(ISNA(VLOOKUP($B30,'PFF-Zones (Combined)'!$B$34:$W$47,21,FALSE)),0,VLOOKUP($B30,'PFF-Zones (Combined)'!$B$34:$W$47,21,FALSE)))</f>
        <v>0</v>
      </c>
      <c r="R30" s="614">
        <f>IF(IF(ISNA(VLOOKUP($B30,'PFF-Zones (Combined)'!$B$50:$W$56,21,FALSE)),0,VLOOKUP($B30,'PFF-Zones (Combined)'!$B$50:$W$56,21,FALSE))&gt;0,0.2,IF(ISNA(VLOOKUP($B30,'PFF-Zones (Combined)'!$B$50:$W$56,21,FALSE)),0,VLOOKUP($B30,'PFF-Zones (Combined)'!$B$50:$W$56,21,FALSE)))</f>
        <v>0</v>
      </c>
      <c r="S30" s="614">
        <f>IF(IF(ISNA(VLOOKUP($B30,'PFF-Zones (Combined)'!$B$61:$W$71,21,FALSE)),0,VLOOKUP($B30,'PFF-Zones (Combined)'!$B$61:$W$71,21,FALSE))&gt;0,0.2,IF(ISNA(VLOOKUP($B30,'PFF-Zones (Combined)'!$B$61:$W$71,21,FALSE)),0,VLOOKUP($B30,'PFF-Zones (Combined)'!$B$61:$W$71,21,FALSE)))</f>
        <v>0</v>
      </c>
      <c r="T30" s="614">
        <f>IF(IF(ISNA(VLOOKUP($B30,'PFF-Zones (Combined)'!$B$75:$W$81,21,FALSE)),0,VLOOKUP($B30,'PFF-Zones (Combined)'!$B$75:$W$81,21,FALSE))&gt;0,0.2,IF(ISNA(VLOOKUP($B30,'PFF-Zones (Combined)'!$B$75:$W$81,21,FALSE)),0,VLOOKUP($B30,'PFF-Zones (Combined)'!$B$75:$W$81,21,FALSE)))</f>
        <v>0</v>
      </c>
      <c r="U30" s="602">
        <f>IF(IF(ISNA(VLOOKUP($B30,'PFF-Zones (Combined)'!$B$87:$W$105,21,FALSE)),0,VLOOKUP($B30,'PFF-Zones (Combined)'!$B$87:$W$105,21,FALSE))&gt;0,0.2,IF(ISNA(VLOOKUP($B30,'PFF-Zones (Combined)'!$B$87:$W$105,21,FALSE)),0,VLOOKUP($B30,'PFF-Zones (Combined)'!$B$87:$W$105,21,FALSE)))</f>
        <v>0.2</v>
      </c>
      <c r="V30" s="614"/>
      <c r="W30" s="614"/>
      <c r="X30" s="592">
        <f>IF(IF(ISNA(VLOOKUP($B30,'PFF-Zones (Combined)'!$B$109:$W$120,21,FALSE)),0,VLOOKUP($B30,'PFF-Zones (Combined)'!$B$109:$W$120,21,FALSE))&gt;0,0.2,IF(ISNA(VLOOKUP($B30,'PFF-Zones (Combined)'!$B$109:$W$120,21,FALSE)),0,VLOOKUP($B30,'PFF-Zones (Combined)'!$B$109:$W$120,21,FALSE)))</f>
        <v>0.2</v>
      </c>
      <c r="Z30" s="607">
        <f t="shared" si="6"/>
        <v>0</v>
      </c>
      <c r="AA30" s="607">
        <f t="shared" si="7"/>
        <v>0</v>
      </c>
      <c r="AB30" s="607">
        <f t="shared" si="8"/>
        <v>0</v>
      </c>
      <c r="AC30" s="607">
        <f t="shared" si="9"/>
        <v>0</v>
      </c>
      <c r="AD30" s="607">
        <f t="shared" si="10"/>
        <v>0</v>
      </c>
      <c r="AE30" s="607">
        <f t="shared" si="11"/>
        <v>0</v>
      </c>
      <c r="AF30" s="607">
        <f t="shared" si="12"/>
        <v>67.739320000000006</v>
      </c>
      <c r="AG30" s="602"/>
      <c r="AH30" s="602"/>
      <c r="AI30" s="607">
        <f t="shared" si="13"/>
        <v>14.000500000000001</v>
      </c>
      <c r="AK30" s="615">
        <f>IF(ISNA(VLOOKUP($B30,'3. EDU Calculation'!$B$10:$E$35,4,FALSE)),0,VLOOKUP($B30,'3. EDU Calculation'!$B$10:$E$35,4,FALSE))</f>
        <v>0.7</v>
      </c>
      <c r="AL30" s="607">
        <f t="shared" si="14"/>
        <v>0</v>
      </c>
      <c r="AM30" s="607">
        <f t="shared" si="15"/>
        <v>0</v>
      </c>
      <c r="AN30" s="607">
        <f t="shared" si="16"/>
        <v>0</v>
      </c>
      <c r="AO30" s="607">
        <f t="shared" si="17"/>
        <v>0</v>
      </c>
      <c r="AP30" s="607">
        <f t="shared" si="18"/>
        <v>0</v>
      </c>
      <c r="AQ30" s="607">
        <f t="shared" si="19"/>
        <v>0</v>
      </c>
      <c r="AR30" s="607">
        <f t="shared" si="20"/>
        <v>47.417524</v>
      </c>
      <c r="AS30" s="607"/>
      <c r="AT30" s="607"/>
      <c r="AU30" s="607">
        <f t="shared" si="21"/>
        <v>9.8003499999999999</v>
      </c>
      <c r="AX30" s="749" t="str">
        <f>IF(ISNA(VLOOKUP($B30,'3. EDU Calculation'!$B$10:$I$35,8,FALSE)),0,VLOOKUP($B30,'3. EDU Calculation'!$B$10:$I$35,8,FALSE))</f>
        <v>Acre</v>
      </c>
      <c r="AY30" s="749">
        <f>IF(ISNA(VLOOKUP($B30,'3. EDU Calculation'!$B$10:$J$35,9,FALSE)),0,VLOOKUP($B30,'3. EDU Calculation'!$B$10:$J$35,9,FALSE))</f>
        <v>1</v>
      </c>
      <c r="AZ30" s="586">
        <f t="shared" si="22"/>
        <v>0</v>
      </c>
      <c r="BA30" s="586">
        <f t="shared" si="23"/>
        <v>0</v>
      </c>
      <c r="BB30" s="586">
        <f t="shared" si="24"/>
        <v>0</v>
      </c>
      <c r="BC30" s="586">
        <f t="shared" si="25"/>
        <v>0</v>
      </c>
      <c r="BD30" s="586">
        <f t="shared" si="26"/>
        <v>0</v>
      </c>
      <c r="BE30" s="586">
        <f t="shared" si="27"/>
        <v>0</v>
      </c>
      <c r="BF30" s="586">
        <f t="shared" si="28"/>
        <v>67.739320000000006</v>
      </c>
      <c r="BG30" s="586"/>
      <c r="BH30" s="586"/>
      <c r="BI30" s="586">
        <f t="shared" si="29"/>
        <v>14.000500000000001</v>
      </c>
      <c r="BK30" s="591">
        <f>IF(ISNA(VLOOKUP($B30,'3. EDU Calculation'!$B$10:$M$35,12,FALSE)),0,VLOOKUP($B30,'3. EDU Calculation'!$B$10:$M$35,12,FALSE))</f>
        <v>11.666666666666666</v>
      </c>
      <c r="BL30" s="591">
        <f>IF(ISNA(VLOOKUP($B30,'3. EDU Calculation'!$B$10:$M$35,12,FALSE)),0,VLOOKUP($B30,'3. EDU Calculation'!$B$10:$M$35,12,FALSE))</f>
        <v>11.666666666666666</v>
      </c>
      <c r="BM30" s="591">
        <f>IF(ISNA(VLOOKUP($B30,'3. EDU Calculation'!$B$10:$M$35,12,FALSE)),0,VLOOKUP($B30,'3. EDU Calculation'!$B$10:$M$35,12,FALSE))</f>
        <v>11.666666666666666</v>
      </c>
      <c r="BN30" s="591">
        <f>IF(ISNA(VLOOKUP($B30,'3. EDU Calculation'!$B$10:$M$35,12,FALSE)),0,VLOOKUP($B30,'3. EDU Calculation'!$B$10:$M$35,12,FALSE))</f>
        <v>11.666666666666666</v>
      </c>
      <c r="BO30" s="591">
        <f>IF(ISNA(VLOOKUP($B30,'3. EDU Calculation'!$B$10:$M$35,12,FALSE)),0,VLOOKUP($B30,'3. EDU Calculation'!$B$10:$M$35,12,FALSE))</f>
        <v>11.666666666666666</v>
      </c>
      <c r="BP30" s="591">
        <f>IF(ISNA(VLOOKUP($B30,'3. EDU Calculation'!$B$10:$M$35,12,FALSE)),0,VLOOKUP($B30,'3. EDU Calculation'!$B$10:$M$35,12,FALSE))</f>
        <v>11.666666666666666</v>
      </c>
      <c r="BQ30" s="591">
        <f>IF(ISNA(VLOOKUP($B30,'3. EDU Calculation'!$B$10:$M$35,12,FALSE)),0,VLOOKUP($B30,'3. EDU Calculation'!$B$10:$M$35,12,FALSE))</f>
        <v>11.666666666666666</v>
      </c>
      <c r="BR30" s="591"/>
      <c r="BS30" s="591"/>
      <c r="BT30" s="591">
        <f>IF(ISNA(VLOOKUP($B30,'3. EDU Calculation'!$B$10:$M$35,12,FALSE)),0,VLOOKUP($B30,'3. EDU Calculation'!$B$10:$M$35,12,FALSE))</f>
        <v>11.666666666666666</v>
      </c>
      <c r="BV30" s="591">
        <f t="shared" si="30"/>
        <v>0</v>
      </c>
      <c r="BW30" s="591">
        <f t="shared" si="31"/>
        <v>0</v>
      </c>
      <c r="BX30" s="591">
        <f t="shared" si="32"/>
        <v>0</v>
      </c>
      <c r="BY30" s="591">
        <f t="shared" si="33"/>
        <v>0</v>
      </c>
      <c r="BZ30" s="591">
        <f t="shared" si="34"/>
        <v>0</v>
      </c>
      <c r="CA30" s="591">
        <f t="shared" si="35"/>
        <v>0</v>
      </c>
      <c r="CB30" s="591">
        <f t="shared" si="36"/>
        <v>790.29206666666676</v>
      </c>
      <c r="CC30" s="591"/>
      <c r="CD30" s="591"/>
      <c r="CE30" s="591">
        <f t="shared" si="37"/>
        <v>163.33916666666667</v>
      </c>
    </row>
    <row r="31" spans="2:83" x14ac:dyDescent="0.2">
      <c r="B31" t="s">
        <v>150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43.057600000000001</v>
      </c>
      <c r="F31" s="591">
        <f>IF(ISNA(VLOOKUP($B31,'PFF-Zones (Combined)'!$B$34:$W$47,18,FALSE)),0,VLOOKUP($B31,'PFF-Zones (Combined)'!$B$34:$W$47,18,FALSE))</f>
        <v>0</v>
      </c>
      <c r="G31" s="591">
        <f>IF(ISNA(VLOOKUP($B31,'PFF-Zones (Combined)'!$B$50:$W$56,18,FALSE)),0,VLOOKUP($B31,'PFF-Zones (Combined)'!$B$50:$W$56,18,FALSE))</f>
        <v>0</v>
      </c>
      <c r="H31" s="591">
        <f>IF(ISNA(VLOOKUP($B31,'PFF-Zones (Combined)'!$B$61:$W$71,18,FALSE)),0,VLOOKUP($B31,'PFF-Zones (Combined)'!$B$61:$W$71,18,FALSE))</f>
        <v>0</v>
      </c>
      <c r="I31" s="591">
        <f>IF(ISNA(VLOOKUP($B31,'PFF-Zones (Combined)'!$B$75:$W$81,18,FALSE)),0,VLOOKUP($B31,'PFF-Zones (Combined)'!$B$75:$W$81,18,FALSE))</f>
        <v>0</v>
      </c>
      <c r="J31" s="591">
        <f>IF(ISNA(VLOOKUP($B31,'PFF-Zones (Combined)'!$B$87:$W$105,18,FALSE)),0,VLOOKUP($B31,'PFF-Zones (Combined)'!$B$87:$W$105,18,FALSE))</f>
        <v>273.27525000000003</v>
      </c>
      <c r="K31" s="591"/>
      <c r="L31" s="591"/>
      <c r="M31" s="591">
        <f>IF(ISNA(VLOOKUP($B31,'PFF-Zones (Combined)'!$B$109:$W$120,18,FALSE)),0,VLOOKUP($B31,'PFF-Zones (Combined)'!$B$109:$W$120,18,FALSE))</f>
        <v>98.809805999999995</v>
      </c>
      <c r="N31" s="608"/>
      <c r="O31" s="614">
        <f>IF(IF(ISNA(VLOOKUP($B31,'PFF-Zones (Combined)'!$B$3:$W$11,21,FALSE)),0,VLOOKUP($B31,'PFF-Zones (Combined)'!$B$3:$W$11,21,FALSE))&gt;0,0.2,IF(ISNA(VLOOKUP($B31,'PFF-Zones (Combined)'!$B$3:$W$11,21,FALSE)),0,VLOOKUP($B31,'PFF-Zones (Combined)'!$B$3:$W$11,21,FALSE)))</f>
        <v>0</v>
      </c>
      <c r="P31" s="602">
        <f>IF(IF(ISNA(VLOOKUP($B31,'PFF-Zones (Combined)'!$B$15:$W$31,21,FALSE)),0,VLOOKUP($B31,'PFF-Zones (Combined)'!$B$15:$W$31,21,FALSE))&gt;0,0.2,IF(ISNA(VLOOKUP($B31,'PFF-Zones (Combined)'!$B$15:$W$31,21,FALSE)),0,VLOOKUP($B31,'PFF-Zones (Combined)'!$B$15:$W$31,21,FALSE)))</f>
        <v>0.2</v>
      </c>
      <c r="Q31" s="614">
        <f>IF(IF(ISNA(VLOOKUP($B31,'PFF-Zones (Combined)'!$B$34:$W$47,21,FALSE)),0,VLOOKUP($B31,'PFF-Zones (Combined)'!$B$34:$W$47,21,FALSE))&gt;0,0.2,IF(ISNA(VLOOKUP($B31,'PFF-Zones (Combined)'!$B$34:$W$47,21,FALSE)),0,VLOOKUP($B31,'PFF-Zones (Combined)'!$B$34:$W$47,21,FALSE)))</f>
        <v>0</v>
      </c>
      <c r="R31" s="614">
        <f>IF(IF(ISNA(VLOOKUP($B31,'PFF-Zones (Combined)'!$B$50:$W$56,21,FALSE)),0,VLOOKUP($B31,'PFF-Zones (Combined)'!$B$50:$W$56,21,FALSE))&gt;0,0.2,IF(ISNA(VLOOKUP($B31,'PFF-Zones (Combined)'!$B$50:$W$56,21,FALSE)),0,VLOOKUP($B31,'PFF-Zones (Combined)'!$B$50:$W$56,21,FALSE)))</f>
        <v>0</v>
      </c>
      <c r="S31" s="614">
        <f>IF(IF(ISNA(VLOOKUP($B31,'PFF-Zones (Combined)'!$B$61:$W$71,21,FALSE)),0,VLOOKUP($B31,'PFF-Zones (Combined)'!$B$61:$W$71,21,FALSE))&gt;0,0.2,IF(ISNA(VLOOKUP($B31,'PFF-Zones (Combined)'!$B$61:$W$71,21,FALSE)),0,VLOOKUP($B31,'PFF-Zones (Combined)'!$B$61:$W$71,21,FALSE)))</f>
        <v>0</v>
      </c>
      <c r="T31" s="614">
        <f>IF(IF(ISNA(VLOOKUP($B31,'PFF-Zones (Combined)'!$B$75:$W$81,21,FALSE)),0,VLOOKUP($B31,'PFF-Zones (Combined)'!$B$75:$W$81,21,FALSE))&gt;0,0.2,IF(ISNA(VLOOKUP($B31,'PFF-Zones (Combined)'!$B$75:$W$81,21,FALSE)),0,VLOOKUP($B31,'PFF-Zones (Combined)'!$B$75:$W$81,21,FALSE)))</f>
        <v>0</v>
      </c>
      <c r="U31" s="602">
        <f>IF(IF(ISNA(VLOOKUP($B31,'PFF-Zones (Combined)'!$B$87:$W$105,21,FALSE)),0,VLOOKUP($B31,'PFF-Zones (Combined)'!$B$87:$W$105,21,FALSE))&gt;0,0.2,IF(ISNA(VLOOKUP($B31,'PFF-Zones (Combined)'!$B$87:$W$105,21,FALSE)),0,VLOOKUP($B31,'PFF-Zones (Combined)'!$B$87:$W$105,21,FALSE)))</f>
        <v>0.2</v>
      </c>
      <c r="V31" s="614"/>
      <c r="W31" s="614"/>
      <c r="X31" s="592">
        <f>IF(IF(ISNA(VLOOKUP($B31,'PFF-Zones (Combined)'!$B$109:$W$120,21,FALSE)),0,VLOOKUP($B31,'PFF-Zones (Combined)'!$B$109:$W$120,21,FALSE))&gt;0,0.2,IF(ISNA(VLOOKUP($B31,'PFF-Zones (Combined)'!$B$109:$W$120,21,FALSE)),0,VLOOKUP($B31,'PFF-Zones (Combined)'!$B$109:$W$120,21,FALSE)))</f>
        <v>0.2</v>
      </c>
      <c r="Z31" s="607">
        <f t="shared" si="6"/>
        <v>0</v>
      </c>
      <c r="AA31" s="607">
        <f t="shared" si="7"/>
        <v>8.6115200000000005</v>
      </c>
      <c r="AB31" s="607">
        <f t="shared" si="8"/>
        <v>0</v>
      </c>
      <c r="AC31" s="607">
        <f t="shared" si="9"/>
        <v>0</v>
      </c>
      <c r="AD31" s="607">
        <f t="shared" si="10"/>
        <v>0</v>
      </c>
      <c r="AE31" s="607">
        <f t="shared" si="11"/>
        <v>0</v>
      </c>
      <c r="AF31" s="607">
        <f t="shared" si="12"/>
        <v>54.65505000000001</v>
      </c>
      <c r="AG31" s="602"/>
      <c r="AH31" s="602"/>
      <c r="AI31" s="607">
        <f t="shared" si="13"/>
        <v>19.761961200000002</v>
      </c>
      <c r="AK31" s="615">
        <f>IF(ISNA(VLOOKUP($B31,'3. EDU Calculation'!$B$10:$E$35,4,FALSE)),0,VLOOKUP($B31,'3. EDU Calculation'!$B$10:$E$35,4,FALSE))</f>
        <v>0.9</v>
      </c>
      <c r="AL31" s="607">
        <f t="shared" si="14"/>
        <v>0</v>
      </c>
      <c r="AM31" s="607">
        <f t="shared" si="15"/>
        <v>7.7503680000000008</v>
      </c>
      <c r="AN31" s="607">
        <f t="shared" si="16"/>
        <v>0</v>
      </c>
      <c r="AO31" s="607">
        <f t="shared" si="17"/>
        <v>0</v>
      </c>
      <c r="AP31" s="607">
        <f t="shared" si="18"/>
        <v>0</v>
      </c>
      <c r="AQ31" s="607">
        <f t="shared" si="19"/>
        <v>0</v>
      </c>
      <c r="AR31" s="607">
        <f t="shared" si="20"/>
        <v>49.18954500000001</v>
      </c>
      <c r="AS31" s="607"/>
      <c r="AT31" s="607"/>
      <c r="AU31" s="607">
        <f t="shared" si="21"/>
        <v>17.785765080000001</v>
      </c>
      <c r="AX31" s="749" t="str">
        <f>IF(ISNA(VLOOKUP($B31,'3. EDU Calculation'!$B$10:$I$35,8,FALSE)),0,VLOOKUP($B31,'3. EDU Calculation'!$B$10:$I$35,8,FALSE))</f>
        <v>Acre</v>
      </c>
      <c r="AY31" s="749">
        <f>IF(ISNA(VLOOKUP($B31,'3. EDU Calculation'!$B$10:$J$35,9,FALSE)),0,VLOOKUP($B31,'3. EDU Calculation'!$B$10:$J$35,9,FALSE))</f>
        <v>1</v>
      </c>
      <c r="AZ31" s="586">
        <f t="shared" si="22"/>
        <v>0</v>
      </c>
      <c r="BA31" s="586">
        <f t="shared" si="23"/>
        <v>8.6115200000000005</v>
      </c>
      <c r="BB31" s="586">
        <f t="shared" si="24"/>
        <v>0</v>
      </c>
      <c r="BC31" s="586">
        <f t="shared" si="25"/>
        <v>0</v>
      </c>
      <c r="BD31" s="586">
        <f t="shared" si="26"/>
        <v>0</v>
      </c>
      <c r="BE31" s="586">
        <f t="shared" si="27"/>
        <v>0</v>
      </c>
      <c r="BF31" s="586">
        <f t="shared" si="28"/>
        <v>54.65505000000001</v>
      </c>
      <c r="BG31" s="586"/>
      <c r="BH31" s="586"/>
      <c r="BI31" s="586">
        <f t="shared" si="29"/>
        <v>19.761961200000002</v>
      </c>
      <c r="BK31" s="591">
        <f>IF(ISNA(VLOOKUP($B31,'3. EDU Calculation'!$B$10:$M$35,12,FALSE)),0,VLOOKUP($B31,'3. EDU Calculation'!$B$10:$M$35,12,FALSE))</f>
        <v>15.000000000000002</v>
      </c>
      <c r="BL31" s="591">
        <f>IF(ISNA(VLOOKUP($B31,'3. EDU Calculation'!$B$10:$M$35,12,FALSE)),0,VLOOKUP($B31,'3. EDU Calculation'!$B$10:$M$35,12,FALSE))</f>
        <v>15.000000000000002</v>
      </c>
      <c r="BM31" s="591">
        <f>IF(ISNA(VLOOKUP($B31,'3. EDU Calculation'!$B$10:$M$35,12,FALSE)),0,VLOOKUP($B31,'3. EDU Calculation'!$B$10:$M$35,12,FALSE))</f>
        <v>15.000000000000002</v>
      </c>
      <c r="BN31" s="591">
        <f>IF(ISNA(VLOOKUP($B31,'3. EDU Calculation'!$B$10:$M$35,12,FALSE)),0,VLOOKUP($B31,'3. EDU Calculation'!$B$10:$M$35,12,FALSE))</f>
        <v>15.000000000000002</v>
      </c>
      <c r="BO31" s="591">
        <f>IF(ISNA(VLOOKUP($B31,'3. EDU Calculation'!$B$10:$M$35,12,FALSE)),0,VLOOKUP($B31,'3. EDU Calculation'!$B$10:$M$35,12,FALSE))</f>
        <v>15.000000000000002</v>
      </c>
      <c r="BP31" s="591">
        <f>IF(ISNA(VLOOKUP($B31,'3. EDU Calculation'!$B$10:$M$35,12,FALSE)),0,VLOOKUP($B31,'3. EDU Calculation'!$B$10:$M$35,12,FALSE))</f>
        <v>15.000000000000002</v>
      </c>
      <c r="BQ31" s="591">
        <f>IF(ISNA(VLOOKUP($B31,'3. EDU Calculation'!$B$10:$M$35,12,FALSE)),0,VLOOKUP($B31,'3. EDU Calculation'!$B$10:$M$35,12,FALSE))</f>
        <v>15.000000000000002</v>
      </c>
      <c r="BR31" s="591"/>
      <c r="BS31" s="591"/>
      <c r="BT31" s="591">
        <f>IF(ISNA(VLOOKUP($B31,'3. EDU Calculation'!$B$10:$M$35,12,FALSE)),0,VLOOKUP($B31,'3. EDU Calculation'!$B$10:$M$35,12,FALSE))</f>
        <v>15.000000000000002</v>
      </c>
      <c r="BV31" s="591">
        <f t="shared" si="30"/>
        <v>0</v>
      </c>
      <c r="BW31" s="591">
        <f t="shared" si="31"/>
        <v>129.17280000000002</v>
      </c>
      <c r="BX31" s="591">
        <f t="shared" si="32"/>
        <v>0</v>
      </c>
      <c r="BY31" s="591">
        <f t="shared" si="33"/>
        <v>0</v>
      </c>
      <c r="BZ31" s="591">
        <f t="shared" si="34"/>
        <v>0</v>
      </c>
      <c r="CA31" s="591">
        <f t="shared" si="35"/>
        <v>0</v>
      </c>
      <c r="CB31" s="591">
        <f t="shared" si="36"/>
        <v>819.8257500000002</v>
      </c>
      <c r="CC31" s="591"/>
      <c r="CD31" s="591"/>
      <c r="CE31" s="591">
        <f t="shared" si="37"/>
        <v>296.42941800000006</v>
      </c>
    </row>
    <row r="32" spans="2:83" x14ac:dyDescent="0.2">
      <c r="B32" t="s">
        <v>151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40.434600000000003</v>
      </c>
      <c r="F32" s="591">
        <f>IF(ISNA(VLOOKUP($B32,'PFF-Zones (Combined)'!$B$34:$W$47,18,FALSE)),0,VLOOKUP($B32,'PFF-Zones (Combined)'!$B$34:$W$47,18,FALSE))</f>
        <v>0</v>
      </c>
      <c r="G32" s="591">
        <f>IF(ISNA(VLOOKUP($B32,'PFF-Zones (Combined)'!$B$50:$W$56,18,FALSE)),0,VLOOKUP($B32,'PFF-Zones (Combined)'!$B$50:$W$56,18,FALSE))</f>
        <v>0</v>
      </c>
      <c r="H32" s="591">
        <f>IF(ISNA(VLOOKUP($B32,'PFF-Zones (Combined)'!$B$61:$W$71,18,FALSE)),0,VLOOKUP($B32,'PFF-Zones (Combined)'!$B$61:$W$71,18,FALSE))</f>
        <v>0</v>
      </c>
      <c r="I32" s="591">
        <f>IF(ISNA(VLOOKUP($B32,'PFF-Zones (Combined)'!$B$75:$W$81,18,FALSE)),0,VLOOKUP($B32,'PFF-Zones (Combined)'!$B$75:$W$81,18,FALSE))</f>
        <v>0</v>
      </c>
      <c r="J32" s="591">
        <f>IF(ISNA(VLOOKUP($B32,'PFF-Zones (Combined)'!$B$87:$W$105,18,FALSE)),0,VLOOKUP($B32,'PFF-Zones (Combined)'!$B$87:$W$105,18,FALSE))</f>
        <v>0</v>
      </c>
      <c r="K32" s="591"/>
      <c r="L32" s="591"/>
      <c r="M32" s="591">
        <f>IF(ISNA(VLOOKUP($B32,'PFF-Zones (Combined)'!$B$109:$W$120,18,FALSE)),0,VLOOKUP($B32,'PFF-Zones (Combined)'!$B$109:$W$120,18,FALSE))</f>
        <v>0</v>
      </c>
      <c r="N32" s="608"/>
      <c r="O32" s="614">
        <f>IF(IF(ISNA(VLOOKUP($B32,'PFF-Zones (Combined)'!$B$3:$W$11,21,FALSE)),0,VLOOKUP($B32,'PFF-Zones (Combined)'!$B$3:$W$11,21,FALSE))&gt;0,0.2,IF(ISNA(VLOOKUP($B32,'PFF-Zones (Combined)'!$B$3:$W$11,21,FALSE)),0,VLOOKUP($B32,'PFF-Zones (Combined)'!$B$3:$W$11,21,FALSE)))</f>
        <v>0</v>
      </c>
      <c r="P32" s="602">
        <f>IF(IF(ISNA(VLOOKUP($B32,'PFF-Zones (Combined)'!$B$15:$W$31,21,FALSE)),0,VLOOKUP($B32,'PFF-Zones (Combined)'!$B$15:$W$31,21,FALSE))&gt;0,0.2,IF(ISNA(VLOOKUP($B32,'PFF-Zones (Combined)'!$B$15:$W$31,21,FALSE)),0,VLOOKUP($B32,'PFF-Zones (Combined)'!$B$15:$W$31,21,FALSE)))</f>
        <v>0.2</v>
      </c>
      <c r="Q32" s="614">
        <f>IF(IF(ISNA(VLOOKUP($B32,'PFF-Zones (Combined)'!$B$34:$W$47,21,FALSE)),0,VLOOKUP($B32,'PFF-Zones (Combined)'!$B$34:$W$47,21,FALSE))&gt;0,0.2,IF(ISNA(VLOOKUP($B32,'PFF-Zones (Combined)'!$B$34:$W$47,21,FALSE)),0,VLOOKUP($B32,'PFF-Zones (Combined)'!$B$34:$W$47,21,FALSE)))</f>
        <v>0</v>
      </c>
      <c r="R32" s="614">
        <f>IF(IF(ISNA(VLOOKUP($B32,'PFF-Zones (Combined)'!$B$50:$W$56,21,FALSE)),0,VLOOKUP($B32,'PFF-Zones (Combined)'!$B$50:$W$56,21,FALSE))&gt;0,0.2,IF(ISNA(VLOOKUP($B32,'PFF-Zones (Combined)'!$B$50:$W$56,21,FALSE)),0,VLOOKUP($B32,'PFF-Zones (Combined)'!$B$50:$W$56,21,FALSE)))</f>
        <v>0</v>
      </c>
      <c r="S32" s="614">
        <f>IF(IF(ISNA(VLOOKUP($B32,'PFF-Zones (Combined)'!$B$61:$W$71,21,FALSE)),0,VLOOKUP($B32,'PFF-Zones (Combined)'!$B$61:$W$71,21,FALSE))&gt;0,0.2,IF(ISNA(VLOOKUP($B32,'PFF-Zones (Combined)'!$B$61:$W$71,21,FALSE)),0,VLOOKUP($B32,'PFF-Zones (Combined)'!$B$61:$W$71,21,FALSE)))</f>
        <v>0</v>
      </c>
      <c r="T32" s="614">
        <f>IF(IF(ISNA(VLOOKUP($B32,'PFF-Zones (Combined)'!$B$75:$W$81,21,FALSE)),0,VLOOKUP($B32,'PFF-Zones (Combined)'!$B$75:$W$81,21,FALSE))&gt;0,0.2,IF(ISNA(VLOOKUP($B32,'PFF-Zones (Combined)'!$B$75:$W$81,21,FALSE)),0,VLOOKUP($B32,'PFF-Zones (Combined)'!$B$75:$W$81,21,FALSE)))</f>
        <v>0</v>
      </c>
      <c r="U32" s="614">
        <f>IF(IF(ISNA(VLOOKUP($B32,'PFF-Zones (Combined)'!$B$87:$W$105,21,FALSE)),0,VLOOKUP($B32,'PFF-Zones (Combined)'!$B$87:$W$105,21,FALSE))&gt;0,0.2,IF(ISNA(VLOOKUP($B32,'PFF-Zones (Combined)'!$B$87:$W$105,21,FALSE)),0,VLOOKUP($B32,'PFF-Zones (Combined)'!$B$87:$W$105,21,FALSE)))</f>
        <v>0</v>
      </c>
      <c r="V32" s="614"/>
      <c r="W32" s="614"/>
      <c r="X32" s="614">
        <f>IF(IF(ISNA(VLOOKUP($B32,'PFF-Zones (Combined)'!$B$109:$W$120,21,FALSE)),0,VLOOKUP($B32,'PFF-Zones (Combined)'!$B$109:$W$120,21,FALSE))&gt;0,0.2,IF(ISNA(VLOOKUP($B32,'PFF-Zones (Combined)'!$B$109:$W$120,21,FALSE)),0,VLOOKUP($B32,'PFF-Zones (Combined)'!$B$109:$W$120,21,FALSE)))</f>
        <v>0</v>
      </c>
      <c r="Z32" s="607">
        <f t="shared" si="6"/>
        <v>0</v>
      </c>
      <c r="AA32" s="607">
        <f t="shared" si="7"/>
        <v>8.086920000000001</v>
      </c>
      <c r="AB32" s="607">
        <f t="shared" si="8"/>
        <v>0</v>
      </c>
      <c r="AC32" s="607">
        <f t="shared" si="9"/>
        <v>0</v>
      </c>
      <c r="AD32" s="607">
        <f t="shared" si="10"/>
        <v>0</v>
      </c>
      <c r="AE32" s="607">
        <f t="shared" si="11"/>
        <v>0</v>
      </c>
      <c r="AF32" s="607">
        <f t="shared" si="12"/>
        <v>0</v>
      </c>
      <c r="AG32" s="602"/>
      <c r="AH32" s="602"/>
      <c r="AI32" s="607">
        <f t="shared" si="13"/>
        <v>0</v>
      </c>
      <c r="AK32" s="615">
        <f>IF(ISNA(VLOOKUP($B32,'3. EDU Calculation'!$B$10:$E$35,4,FALSE)),0,VLOOKUP($B32,'3. EDU Calculation'!$B$10:$E$35,4,FALSE))</f>
        <v>0.9</v>
      </c>
      <c r="AL32" s="607">
        <f t="shared" si="14"/>
        <v>0</v>
      </c>
      <c r="AM32" s="607">
        <f t="shared" si="15"/>
        <v>7.2782280000000013</v>
      </c>
      <c r="AN32" s="607">
        <f t="shared" si="16"/>
        <v>0</v>
      </c>
      <c r="AO32" s="607">
        <f t="shared" si="17"/>
        <v>0</v>
      </c>
      <c r="AP32" s="607">
        <f t="shared" si="18"/>
        <v>0</v>
      </c>
      <c r="AQ32" s="607">
        <f t="shared" si="19"/>
        <v>0</v>
      </c>
      <c r="AR32" s="607">
        <f t="shared" si="20"/>
        <v>0</v>
      </c>
      <c r="AS32" s="607"/>
      <c r="AT32" s="607"/>
      <c r="AU32" s="607">
        <f t="shared" si="21"/>
        <v>0</v>
      </c>
      <c r="AX32" s="749" t="str">
        <f>IF(ISNA(VLOOKUP($B32,'3. EDU Calculation'!$B$10:$I$35,8,FALSE)),0,VLOOKUP($B32,'3. EDU Calculation'!$B$10:$I$35,8,FALSE))</f>
        <v>Acre</v>
      </c>
      <c r="AY32" s="749">
        <f>IF(ISNA(VLOOKUP($B32,'3. EDU Calculation'!$B$10:$J$35,9,FALSE)),0,VLOOKUP($B32,'3. EDU Calculation'!$B$10:$J$35,9,FALSE))</f>
        <v>1</v>
      </c>
      <c r="AZ32" s="586">
        <f t="shared" si="22"/>
        <v>0</v>
      </c>
      <c r="BA32" s="586">
        <f t="shared" si="23"/>
        <v>8.086920000000001</v>
      </c>
      <c r="BB32" s="586">
        <f t="shared" si="24"/>
        <v>0</v>
      </c>
      <c r="BC32" s="586">
        <f t="shared" si="25"/>
        <v>0</v>
      </c>
      <c r="BD32" s="586">
        <f t="shared" si="26"/>
        <v>0</v>
      </c>
      <c r="BE32" s="586">
        <f t="shared" si="27"/>
        <v>0</v>
      </c>
      <c r="BF32" s="586">
        <f t="shared" si="28"/>
        <v>0</v>
      </c>
      <c r="BG32" s="586"/>
      <c r="BH32" s="586"/>
      <c r="BI32" s="586">
        <f t="shared" si="29"/>
        <v>0</v>
      </c>
      <c r="BK32" s="591">
        <f>IF(ISNA(VLOOKUP($B32,'3. EDU Calculation'!$B$10:$M$35,12,FALSE)),0,VLOOKUP($B32,'3. EDU Calculation'!$B$10:$M$35,12,FALSE))</f>
        <v>15.000000000000002</v>
      </c>
      <c r="BL32" s="591">
        <f>IF(ISNA(VLOOKUP($B32,'3. EDU Calculation'!$B$10:$M$35,12,FALSE)),0,VLOOKUP($B32,'3. EDU Calculation'!$B$10:$M$35,12,FALSE))</f>
        <v>15.000000000000002</v>
      </c>
      <c r="BM32" s="591">
        <f>IF(ISNA(VLOOKUP($B32,'3. EDU Calculation'!$B$10:$M$35,12,FALSE)),0,VLOOKUP($B32,'3. EDU Calculation'!$B$10:$M$35,12,FALSE))</f>
        <v>15.000000000000002</v>
      </c>
      <c r="BN32" s="591">
        <f>IF(ISNA(VLOOKUP($B32,'3. EDU Calculation'!$B$10:$M$35,12,FALSE)),0,VLOOKUP($B32,'3. EDU Calculation'!$B$10:$M$35,12,FALSE))</f>
        <v>15.000000000000002</v>
      </c>
      <c r="BO32" s="591">
        <f>IF(ISNA(VLOOKUP($B32,'3. EDU Calculation'!$B$10:$M$35,12,FALSE)),0,VLOOKUP($B32,'3. EDU Calculation'!$B$10:$M$35,12,FALSE))</f>
        <v>15.000000000000002</v>
      </c>
      <c r="BP32" s="591">
        <f>IF(ISNA(VLOOKUP($B32,'3. EDU Calculation'!$B$10:$M$35,12,FALSE)),0,VLOOKUP($B32,'3. EDU Calculation'!$B$10:$M$35,12,FALSE))</f>
        <v>15.000000000000002</v>
      </c>
      <c r="BQ32" s="591">
        <f>IF(ISNA(VLOOKUP($B32,'3. EDU Calculation'!$B$10:$M$35,12,FALSE)),0,VLOOKUP($B32,'3. EDU Calculation'!$B$10:$M$35,12,FALSE))</f>
        <v>15.000000000000002</v>
      </c>
      <c r="BR32" s="591"/>
      <c r="BS32" s="591"/>
      <c r="BT32" s="591">
        <f>IF(ISNA(VLOOKUP($B32,'3. EDU Calculation'!$B$10:$M$35,12,FALSE)),0,VLOOKUP($B32,'3. EDU Calculation'!$B$10:$M$35,12,FALSE))</f>
        <v>15.000000000000002</v>
      </c>
      <c r="BV32" s="591">
        <f t="shared" si="30"/>
        <v>0</v>
      </c>
      <c r="BW32" s="591">
        <f t="shared" si="31"/>
        <v>121.30380000000002</v>
      </c>
      <c r="BX32" s="591">
        <f t="shared" si="32"/>
        <v>0</v>
      </c>
      <c r="BY32" s="591">
        <f t="shared" si="33"/>
        <v>0</v>
      </c>
      <c r="BZ32" s="591">
        <f t="shared" si="34"/>
        <v>0</v>
      </c>
      <c r="CA32" s="591">
        <f t="shared" si="35"/>
        <v>0</v>
      </c>
      <c r="CB32" s="591">
        <f t="shared" si="36"/>
        <v>0</v>
      </c>
      <c r="CC32" s="591"/>
      <c r="CD32" s="591"/>
      <c r="CE32" s="591">
        <f t="shared" si="37"/>
        <v>0</v>
      </c>
    </row>
    <row r="33" spans="2:83" x14ac:dyDescent="0.2">
      <c r="B33" t="s">
        <v>153</v>
      </c>
      <c r="D33" s="591">
        <f>IF(ISNA(VLOOKUP($B33,'PFF-Zones (Combined)'!$B$3:$W$11,18,FALSE)),0,VLOOKUP($B33,'PFF-Zones (Combined)'!$B$3:$W$11,18,FALSE))</f>
        <v>0</v>
      </c>
      <c r="E33" s="591">
        <f>IF(ISNA(VLOOKUP($B33,'PFF-Zones (Combined)'!$B$15:$W$31,18,FALSE)),0,VLOOKUP($B33,'PFF-Zones (Combined)'!$B$15:$W$31,18,FALSE))</f>
        <v>675.66459999999995</v>
      </c>
      <c r="F33" s="591">
        <f>IF(ISNA(VLOOKUP($B33,'PFF-Zones (Combined)'!$B$34:$W$47,18,FALSE)),0,VLOOKUP($B33,'PFF-Zones (Combined)'!$B$34:$W$47,18,FALSE))</f>
        <v>78.713200000000001</v>
      </c>
      <c r="G33" s="591">
        <f>IF(ISNA(VLOOKUP($B33,'PFF-Zones (Combined)'!$B$50:$W$56,18,FALSE)),0,VLOOKUP($B33,'PFF-Zones (Combined)'!$B$50:$W$56,18,FALSE))</f>
        <v>0</v>
      </c>
      <c r="H33" s="591">
        <f>IF(ISNA(VLOOKUP($B33,'PFF-Zones (Combined)'!$B$61:$W$71,18,FALSE)),0,VLOOKUP($B33,'PFF-Zones (Combined)'!$B$61:$W$71,18,FALSE))</f>
        <v>0</v>
      </c>
      <c r="I33" s="591">
        <f>IF(ISNA(VLOOKUP($B33,'PFF-Zones (Combined)'!$B$75:$W$81,18,FALSE)),0,VLOOKUP($B33,'PFF-Zones (Combined)'!$B$75:$W$81,18,FALSE))</f>
        <v>0</v>
      </c>
      <c r="J33" s="591">
        <f>IF(ISNA(VLOOKUP($B33,'PFF-Zones (Combined)'!$B$87:$W$105,18,FALSE)),0,VLOOKUP($B33,'PFF-Zones (Combined)'!$B$87:$W$105,18,FALSE))</f>
        <v>481.45819999999998</v>
      </c>
      <c r="K33" s="591"/>
      <c r="L33" s="591"/>
      <c r="M33" s="591">
        <f>IF(ISNA(VLOOKUP($B33,'PFF-Zones (Combined)'!$B$109:$W$120,18,FALSE)),0,VLOOKUP($B33,'PFF-Zones (Combined)'!$B$109:$W$120,18,FALSE))</f>
        <v>145.5188</v>
      </c>
      <c r="N33" s="608"/>
      <c r="O33" s="614">
        <f>IF(IF(ISNA(VLOOKUP($B33,'PFF-Zones (Combined)'!$B$3:$W$11,21,FALSE)),0,VLOOKUP($B33,'PFF-Zones (Combined)'!$B$3:$W$11,21,FALSE))&gt;0,0.2,IF(ISNA(VLOOKUP($B33,'PFF-Zones (Combined)'!$B$3:$W$11,21,FALSE)),0,VLOOKUP($B33,'PFF-Zones (Combined)'!$B$3:$W$11,21,FALSE)))</f>
        <v>0</v>
      </c>
      <c r="P33" s="602">
        <f>IF(IF(ISNA(VLOOKUP($B33,'PFF-Zones (Combined)'!$B$15:$W$31,21,FALSE)),0,VLOOKUP($B33,'PFF-Zones (Combined)'!$B$15:$W$31,21,FALSE))&gt;0,0.2,IF(ISNA(VLOOKUP($B33,'PFF-Zones (Combined)'!$B$15:$W$31,21,FALSE)),0,VLOOKUP($B33,'PFF-Zones (Combined)'!$B$15:$W$31,21,FALSE)))</f>
        <v>0.2</v>
      </c>
      <c r="Q33" s="602">
        <f>IF(IF(ISNA(VLOOKUP($B33,'PFF-Zones (Combined)'!$B$34:$W$47,21,FALSE)),0,VLOOKUP($B33,'PFF-Zones (Combined)'!$B$34:$W$47,21,FALSE))&gt;0,0.2,IF(ISNA(VLOOKUP($B33,'PFF-Zones (Combined)'!$B$34:$W$47,21,FALSE)),0,VLOOKUP($B33,'PFF-Zones (Combined)'!$B$34:$W$47,21,FALSE)))</f>
        <v>0.2</v>
      </c>
      <c r="R33" s="614">
        <f>IF(IF(ISNA(VLOOKUP($B33,'PFF-Zones (Combined)'!$B$50:$W$56,21,FALSE)),0,VLOOKUP($B33,'PFF-Zones (Combined)'!$B$50:$W$56,21,FALSE))&gt;0,0.2,IF(ISNA(VLOOKUP($B33,'PFF-Zones (Combined)'!$B$50:$W$56,21,FALSE)),0,VLOOKUP($B33,'PFF-Zones (Combined)'!$B$50:$W$56,21,FALSE)))</f>
        <v>0</v>
      </c>
      <c r="S33" s="614">
        <f>IF(IF(ISNA(VLOOKUP($B33,'PFF-Zones (Combined)'!$B$61:$W$71,21,FALSE)),0,VLOOKUP($B33,'PFF-Zones (Combined)'!$B$61:$W$71,21,FALSE))&gt;0,0.2,IF(ISNA(VLOOKUP($B33,'PFF-Zones (Combined)'!$B$61:$W$71,21,FALSE)),0,VLOOKUP($B33,'PFF-Zones (Combined)'!$B$61:$W$71,21,FALSE)))</f>
        <v>0</v>
      </c>
      <c r="T33" s="614">
        <f>IF(IF(ISNA(VLOOKUP($B33,'PFF-Zones (Combined)'!$B$75:$W$81,21,FALSE)),0,VLOOKUP($B33,'PFF-Zones (Combined)'!$B$75:$W$81,21,FALSE))&gt;0,0.2,IF(ISNA(VLOOKUP($B33,'PFF-Zones (Combined)'!$B$75:$W$81,21,FALSE)),0,VLOOKUP($B33,'PFF-Zones (Combined)'!$B$75:$W$81,21,FALSE)))</f>
        <v>0</v>
      </c>
      <c r="U33" s="602">
        <f>IF(IF(ISNA(VLOOKUP($B33,'PFF-Zones (Combined)'!$B$87:$W$105,21,FALSE)),0,VLOOKUP($B33,'PFF-Zones (Combined)'!$B$87:$W$105,21,FALSE))&gt;0,0.2,IF(ISNA(VLOOKUP($B33,'PFF-Zones (Combined)'!$B$87:$W$105,21,FALSE)),0,VLOOKUP($B33,'PFF-Zones (Combined)'!$B$87:$W$105,21,FALSE)))</f>
        <v>0.2</v>
      </c>
      <c r="V33" s="614"/>
      <c r="W33" s="614"/>
      <c r="X33" s="592">
        <f>IF(IF(ISNA(VLOOKUP($B33,'PFF-Zones (Combined)'!$B$109:$W$120,21,FALSE)),0,VLOOKUP($B33,'PFF-Zones (Combined)'!$B$109:$W$120,21,FALSE))&gt;0,0.2,IF(ISNA(VLOOKUP($B33,'PFF-Zones (Combined)'!$B$109:$W$120,21,FALSE)),0,VLOOKUP($B33,'PFF-Zones (Combined)'!$B$109:$W$120,21,FALSE)))</f>
        <v>0.2</v>
      </c>
      <c r="Z33" s="607">
        <f t="shared" si="6"/>
        <v>0</v>
      </c>
      <c r="AA33" s="607">
        <f t="shared" si="7"/>
        <v>135.13291999999998</v>
      </c>
      <c r="AB33" s="607">
        <f t="shared" si="8"/>
        <v>15.742640000000002</v>
      </c>
      <c r="AC33" s="607">
        <f t="shared" si="9"/>
        <v>0</v>
      </c>
      <c r="AD33" s="607">
        <f t="shared" si="10"/>
        <v>0</v>
      </c>
      <c r="AE33" s="607">
        <f t="shared" si="11"/>
        <v>0</v>
      </c>
      <c r="AF33" s="607">
        <f t="shared" si="12"/>
        <v>96.291640000000001</v>
      </c>
      <c r="AG33" s="602"/>
      <c r="AH33" s="602"/>
      <c r="AI33" s="607">
        <f t="shared" si="13"/>
        <v>29.103760000000001</v>
      </c>
      <c r="AK33" s="615">
        <f>IF(ISNA(VLOOKUP($B33,'3. EDU Calculation'!$B$10:$E$35,4,FALSE)),0,VLOOKUP($B33,'3. EDU Calculation'!$B$10:$E$35,4,FALSE))</f>
        <v>0.3</v>
      </c>
      <c r="AL33" s="607">
        <f t="shared" si="14"/>
        <v>0</v>
      </c>
      <c r="AM33" s="607">
        <f t="shared" si="15"/>
        <v>40.539875999999992</v>
      </c>
      <c r="AN33" s="607">
        <f t="shared" si="16"/>
        <v>4.7227920000000001</v>
      </c>
      <c r="AO33" s="607">
        <f t="shared" si="17"/>
        <v>0</v>
      </c>
      <c r="AP33" s="607">
        <f t="shared" si="18"/>
        <v>0</v>
      </c>
      <c r="AQ33" s="607">
        <f t="shared" si="19"/>
        <v>0</v>
      </c>
      <c r="AR33" s="607">
        <f t="shared" si="20"/>
        <v>28.887491999999998</v>
      </c>
      <c r="AS33" s="607"/>
      <c r="AT33" s="607"/>
      <c r="AU33" s="607">
        <f t="shared" si="21"/>
        <v>8.731128</v>
      </c>
      <c r="AX33" s="749" t="str">
        <f>IF(ISNA(VLOOKUP($B33,'3. EDU Calculation'!$B$10:$I$35,8,FALSE)),0,VLOOKUP($B33,'3. EDU Calculation'!$B$10:$I$35,8,FALSE))</f>
        <v>Dwelling Unit</v>
      </c>
      <c r="AY33" s="749">
        <f>IF(ISNA(VLOOKUP($B33,'3. EDU Calculation'!$B$10:$J$35,9,FALSE)),0,VLOOKUP($B33,'3. EDU Calculation'!$B$10:$J$35,9,FALSE))</f>
        <v>5</v>
      </c>
      <c r="AZ33" s="586">
        <f t="shared" si="22"/>
        <v>0</v>
      </c>
      <c r="BA33" s="586">
        <f t="shared" si="23"/>
        <v>675.66459999999995</v>
      </c>
      <c r="BB33" s="586">
        <f t="shared" si="24"/>
        <v>78.713200000000001</v>
      </c>
      <c r="BC33" s="586">
        <f t="shared" si="25"/>
        <v>0</v>
      </c>
      <c r="BD33" s="586">
        <f t="shared" si="26"/>
        <v>0</v>
      </c>
      <c r="BE33" s="586">
        <f t="shared" si="27"/>
        <v>0</v>
      </c>
      <c r="BF33" s="586">
        <f t="shared" si="28"/>
        <v>481.45820000000003</v>
      </c>
      <c r="BG33" s="586"/>
      <c r="BH33" s="586"/>
      <c r="BI33" s="586">
        <f t="shared" si="29"/>
        <v>145.5188</v>
      </c>
      <c r="BK33" s="591">
        <f>IF(ISNA(VLOOKUP($B33,'3. EDU Calculation'!$B$10:$M$35,12,FALSE)),0,VLOOKUP($B33,'3. EDU Calculation'!$B$10:$M$35,12,FALSE))</f>
        <v>1</v>
      </c>
      <c r="BL33" s="591">
        <f>IF(ISNA(VLOOKUP($B33,'3. EDU Calculation'!$B$10:$M$35,12,FALSE)),0,VLOOKUP($B33,'3. EDU Calculation'!$B$10:$M$35,12,FALSE))</f>
        <v>1</v>
      </c>
      <c r="BM33" s="591">
        <f>IF(ISNA(VLOOKUP($B33,'3. EDU Calculation'!$B$10:$M$35,12,FALSE)),0,VLOOKUP($B33,'3. EDU Calculation'!$B$10:$M$35,12,FALSE))</f>
        <v>1</v>
      </c>
      <c r="BN33" s="591">
        <f>IF(ISNA(VLOOKUP($B33,'3. EDU Calculation'!$B$10:$M$35,12,FALSE)),0,VLOOKUP($B33,'3. EDU Calculation'!$B$10:$M$35,12,FALSE))</f>
        <v>1</v>
      </c>
      <c r="BO33" s="591">
        <f>IF(ISNA(VLOOKUP($B33,'3. EDU Calculation'!$B$10:$M$35,12,FALSE)),0,VLOOKUP($B33,'3. EDU Calculation'!$B$10:$M$35,12,FALSE))</f>
        <v>1</v>
      </c>
      <c r="BP33" s="591">
        <f>IF(ISNA(VLOOKUP($B33,'3. EDU Calculation'!$B$10:$M$35,12,FALSE)),0,VLOOKUP($B33,'3. EDU Calculation'!$B$10:$M$35,12,FALSE))</f>
        <v>1</v>
      </c>
      <c r="BQ33" s="591">
        <f>IF(ISNA(VLOOKUP($B33,'3. EDU Calculation'!$B$10:$M$35,12,FALSE)),0,VLOOKUP($B33,'3. EDU Calculation'!$B$10:$M$35,12,FALSE))</f>
        <v>1</v>
      </c>
      <c r="BR33" s="591"/>
      <c r="BS33" s="591"/>
      <c r="BT33" s="591">
        <f>IF(ISNA(VLOOKUP($B33,'3. EDU Calculation'!$B$10:$M$35,12,FALSE)),0,VLOOKUP($B33,'3. EDU Calculation'!$B$10:$M$35,12,FALSE))</f>
        <v>1</v>
      </c>
      <c r="BV33" s="591">
        <f t="shared" si="30"/>
        <v>0</v>
      </c>
      <c r="BW33" s="591">
        <f t="shared" si="31"/>
        <v>675.66459999999995</v>
      </c>
      <c r="BX33" s="591">
        <f t="shared" si="32"/>
        <v>78.713200000000001</v>
      </c>
      <c r="BY33" s="591">
        <f t="shared" si="33"/>
        <v>0</v>
      </c>
      <c r="BZ33" s="591">
        <f t="shared" si="34"/>
        <v>0</v>
      </c>
      <c r="CA33" s="591">
        <f t="shared" si="35"/>
        <v>0</v>
      </c>
      <c r="CB33" s="591">
        <f t="shared" si="36"/>
        <v>481.45820000000003</v>
      </c>
      <c r="CC33" s="591"/>
      <c r="CD33" s="591"/>
      <c r="CE33" s="591">
        <f t="shared" si="37"/>
        <v>145.5188</v>
      </c>
    </row>
    <row r="34" spans="2:83" x14ac:dyDescent="0.2">
      <c r="B34" t="s">
        <v>159</v>
      </c>
      <c r="D34" s="591">
        <f>IF(ISNA(VLOOKUP($B34,'PFF-Zones (Combined)'!$B$3:$W$11,18,FALSE)),0,VLOOKUP($B34,'PFF-Zones (Combined)'!$B$3:$W$11,18,FALSE))</f>
        <v>114.449</v>
      </c>
      <c r="E34" s="591">
        <f>IF(ISNA(VLOOKUP($B34,'PFF-Zones (Combined)'!$B$15:$W$31,18,FALSE)),0,VLOOKUP($B34,'PFF-Zones (Combined)'!$B$15:$W$31,18,FALSE))</f>
        <v>0</v>
      </c>
      <c r="F34" s="591">
        <f>IF(ISNA(VLOOKUP($B34,'PFF-Zones (Combined)'!$B$34:$W$47,18,FALSE)),0,VLOOKUP($B34,'PFF-Zones (Combined)'!$B$34:$W$47,18,FALSE))</f>
        <v>0</v>
      </c>
      <c r="G34" s="591">
        <f>IF(ISNA(VLOOKUP($B34,'PFF-Zones (Combined)'!$B$50:$W$56,18,FALSE)),0,VLOOKUP($B34,'PFF-Zones (Combined)'!$B$50:$W$56,18,FALSE))</f>
        <v>0</v>
      </c>
      <c r="H34" s="591">
        <f>IF(ISNA(VLOOKUP($B34,'PFF-Zones (Combined)'!$B$61:$W$71,18,FALSE)),0,VLOOKUP($B34,'PFF-Zones (Combined)'!$B$61:$W$71,18,FALSE))</f>
        <v>0</v>
      </c>
      <c r="I34" s="591">
        <f>IF(ISNA(VLOOKUP($B34,'PFF-Zones (Combined)'!$B$75:$W$81,18,FALSE)),0,VLOOKUP($B34,'PFF-Zones (Combined)'!$B$75:$W$81,18,FALSE))</f>
        <v>0</v>
      </c>
      <c r="J34" s="591">
        <f>IF(ISNA(VLOOKUP($B34,'PFF-Zones (Combined)'!$B$87:$W$105,18,FALSE)),0,VLOOKUP($B34,'PFF-Zones (Combined)'!$B$87:$W$105,18,FALSE))</f>
        <v>0</v>
      </c>
      <c r="K34" s="591"/>
      <c r="L34" s="591"/>
      <c r="M34" s="591">
        <f>IF(ISNA(VLOOKUP($B34,'PFF-Zones (Combined)'!$B$109:$W$120,18,FALSE)),0,VLOOKUP($B34,'PFF-Zones (Combined)'!$B$109:$W$120,18,FALSE))</f>
        <v>0</v>
      </c>
      <c r="N34" s="608"/>
      <c r="O34" s="602">
        <f>IF(IF(ISNA(VLOOKUP($B34,'PFF-Zones (Combined)'!$B$3:$W$11,21,FALSE)),0,VLOOKUP($B34,'PFF-Zones (Combined)'!$B$3:$W$11,21,FALSE))&gt;0,0.2,IF(ISNA(VLOOKUP($B34,'PFF-Zones (Combined)'!$B$3:$W$11,21,FALSE)),0,VLOOKUP($B34,'PFF-Zones (Combined)'!$B$3:$W$11,21,FALSE)))</f>
        <v>0.2</v>
      </c>
      <c r="P34" s="614">
        <f>IF(IF(ISNA(VLOOKUP($B34,'PFF-Zones (Combined)'!$B$15:$W$31,21,FALSE)),0,VLOOKUP($B34,'PFF-Zones (Combined)'!$B$15:$W$31,21,FALSE))&gt;0,0.2,IF(ISNA(VLOOKUP($B34,'PFF-Zones (Combined)'!$B$15:$W$31,21,FALSE)),0,VLOOKUP($B34,'PFF-Zones (Combined)'!$B$15:$W$31,21,FALSE)))</f>
        <v>0</v>
      </c>
      <c r="Q34" s="614">
        <f>IF(IF(ISNA(VLOOKUP($B34,'PFF-Zones (Combined)'!$B$34:$W$47,21,FALSE)),0,VLOOKUP($B34,'PFF-Zones (Combined)'!$B$34:$W$47,21,FALSE))&gt;0,0.2,IF(ISNA(VLOOKUP($B34,'PFF-Zones (Combined)'!$B$34:$W$47,21,FALSE)),0,VLOOKUP($B34,'PFF-Zones (Combined)'!$B$34:$W$47,21,FALSE)))</f>
        <v>0</v>
      </c>
      <c r="R34" s="614">
        <f>IF(IF(ISNA(VLOOKUP($B34,'PFF-Zones (Combined)'!$B$50:$W$56,21,FALSE)),0,VLOOKUP($B34,'PFF-Zones (Combined)'!$B$50:$W$56,21,FALSE))&gt;0,0.2,IF(ISNA(VLOOKUP($B34,'PFF-Zones (Combined)'!$B$50:$W$56,21,FALSE)),0,VLOOKUP($B34,'PFF-Zones (Combined)'!$B$50:$W$56,21,FALSE)))</f>
        <v>0</v>
      </c>
      <c r="S34" s="614">
        <f>IF(IF(ISNA(VLOOKUP($B34,'PFF-Zones (Combined)'!$B$61:$W$71,21,FALSE)),0,VLOOKUP($B34,'PFF-Zones (Combined)'!$B$61:$W$71,21,FALSE))&gt;0,0.2,IF(ISNA(VLOOKUP($B34,'PFF-Zones (Combined)'!$B$61:$W$71,21,FALSE)),0,VLOOKUP($B34,'PFF-Zones (Combined)'!$B$61:$W$71,21,FALSE)))</f>
        <v>0</v>
      </c>
      <c r="T34" s="614">
        <f>IF(IF(ISNA(VLOOKUP($B34,'PFF-Zones (Combined)'!$B$75:$W$81,21,FALSE)),0,VLOOKUP($B34,'PFF-Zones (Combined)'!$B$75:$W$81,21,FALSE))&gt;0,0.2,IF(ISNA(VLOOKUP($B34,'PFF-Zones (Combined)'!$B$75:$W$81,21,FALSE)),0,VLOOKUP($B34,'PFF-Zones (Combined)'!$B$75:$W$81,21,FALSE)))</f>
        <v>0</v>
      </c>
      <c r="U34" s="614">
        <f>IF(IF(ISNA(VLOOKUP($B34,'PFF-Zones (Combined)'!$B$87:$W$105,21,FALSE)),0,VLOOKUP($B34,'PFF-Zones (Combined)'!$B$87:$W$105,21,FALSE))&gt;0,0.2,IF(ISNA(VLOOKUP($B34,'PFF-Zones (Combined)'!$B$87:$W$105,21,FALSE)),0,VLOOKUP($B34,'PFF-Zones (Combined)'!$B$87:$W$105,21,FALSE)))</f>
        <v>0</v>
      </c>
      <c r="V34" s="614"/>
      <c r="W34" s="614"/>
      <c r="X34" s="614">
        <f>IF(IF(ISNA(VLOOKUP($B34,'PFF-Zones (Combined)'!$B$109:$W$120,21,FALSE)),0,VLOOKUP($B34,'PFF-Zones (Combined)'!$B$109:$W$120,21,FALSE))&gt;0,0.2,IF(ISNA(VLOOKUP($B34,'PFF-Zones (Combined)'!$B$109:$W$120,21,FALSE)),0,VLOOKUP($B34,'PFF-Zones (Combined)'!$B$109:$W$120,21,FALSE)))</f>
        <v>0</v>
      </c>
      <c r="Z34" s="607">
        <f t="shared" si="6"/>
        <v>22.889800000000001</v>
      </c>
      <c r="AA34" s="607">
        <f t="shared" si="7"/>
        <v>0</v>
      </c>
      <c r="AB34" s="607">
        <f t="shared" si="8"/>
        <v>0</v>
      </c>
      <c r="AC34" s="607">
        <f t="shared" si="9"/>
        <v>0</v>
      </c>
      <c r="AD34" s="607">
        <f t="shared" si="10"/>
        <v>0</v>
      </c>
      <c r="AE34" s="607">
        <f t="shared" si="11"/>
        <v>0</v>
      </c>
      <c r="AF34" s="607">
        <f t="shared" si="12"/>
        <v>0</v>
      </c>
      <c r="AG34" s="602"/>
      <c r="AH34" s="602"/>
      <c r="AI34" s="607">
        <f t="shared" si="13"/>
        <v>0</v>
      </c>
      <c r="AK34" s="615">
        <f>IF(ISNA(VLOOKUP($B34,'3. EDU Calculation'!$B$10:$E$35,4,FALSE)),0,VLOOKUP($B34,'3. EDU Calculation'!$B$10:$E$35,4,FALSE))</f>
        <v>0.7</v>
      </c>
      <c r="AL34" s="607">
        <f t="shared" si="14"/>
        <v>16.022860000000001</v>
      </c>
      <c r="AM34" s="607">
        <f t="shared" si="15"/>
        <v>0</v>
      </c>
      <c r="AN34" s="607">
        <f t="shared" si="16"/>
        <v>0</v>
      </c>
      <c r="AO34" s="607">
        <f t="shared" si="17"/>
        <v>0</v>
      </c>
      <c r="AP34" s="607">
        <f t="shared" si="18"/>
        <v>0</v>
      </c>
      <c r="AQ34" s="607">
        <f t="shared" si="19"/>
        <v>0</v>
      </c>
      <c r="AR34" s="607">
        <f t="shared" si="20"/>
        <v>0</v>
      </c>
      <c r="AS34" s="607"/>
      <c r="AT34" s="607"/>
      <c r="AU34" s="607">
        <f t="shared" si="21"/>
        <v>0</v>
      </c>
      <c r="AX34" s="749" t="str">
        <f>IF(ISNA(VLOOKUP($B34,'3. EDU Calculation'!$B$10:$I$35,8,FALSE)),0,VLOOKUP($B34,'3. EDU Calculation'!$B$10:$I$35,8,FALSE))</f>
        <v>Acre</v>
      </c>
      <c r="AY34" s="749">
        <f>IF(ISNA(VLOOKUP($B34,'3. EDU Calculation'!$B$10:$J$35,9,FALSE)),0,VLOOKUP($B34,'3. EDU Calculation'!$B$10:$J$35,9,FALSE))</f>
        <v>1</v>
      </c>
      <c r="AZ34" s="586">
        <f t="shared" si="22"/>
        <v>22.889800000000001</v>
      </c>
      <c r="BA34" s="586">
        <f t="shared" si="23"/>
        <v>0</v>
      </c>
      <c r="BB34" s="586">
        <f t="shared" si="24"/>
        <v>0</v>
      </c>
      <c r="BC34" s="586">
        <f t="shared" si="25"/>
        <v>0</v>
      </c>
      <c r="BD34" s="586">
        <f t="shared" si="26"/>
        <v>0</v>
      </c>
      <c r="BE34" s="586">
        <f t="shared" si="27"/>
        <v>0</v>
      </c>
      <c r="BF34" s="586">
        <f t="shared" si="28"/>
        <v>0</v>
      </c>
      <c r="BG34" s="586"/>
      <c r="BH34" s="586"/>
      <c r="BI34" s="586">
        <f t="shared" si="29"/>
        <v>0</v>
      </c>
      <c r="BK34" s="591">
        <f>IF(ISNA(VLOOKUP($B34,'3. EDU Calculation'!$B$10:$M$35,12,FALSE)),0,VLOOKUP($B34,'3. EDU Calculation'!$B$10:$M$35,12,FALSE))</f>
        <v>11.666666666666666</v>
      </c>
      <c r="BL34" s="591">
        <f>IF(ISNA(VLOOKUP($B34,'3. EDU Calculation'!$B$10:$M$35,12,FALSE)),0,VLOOKUP($B34,'3. EDU Calculation'!$B$10:$M$35,12,FALSE))</f>
        <v>11.666666666666666</v>
      </c>
      <c r="BM34" s="591">
        <f>IF(ISNA(VLOOKUP($B34,'3. EDU Calculation'!$B$10:$M$35,12,FALSE)),0,VLOOKUP($B34,'3. EDU Calculation'!$B$10:$M$35,12,FALSE))</f>
        <v>11.666666666666666</v>
      </c>
      <c r="BN34" s="591">
        <f>IF(ISNA(VLOOKUP($B34,'3. EDU Calculation'!$B$10:$M$35,12,FALSE)),0,VLOOKUP($B34,'3. EDU Calculation'!$B$10:$M$35,12,FALSE))</f>
        <v>11.666666666666666</v>
      </c>
      <c r="BO34" s="591">
        <f>IF(ISNA(VLOOKUP($B34,'3. EDU Calculation'!$B$10:$M$35,12,FALSE)),0,VLOOKUP($B34,'3. EDU Calculation'!$B$10:$M$35,12,FALSE))</f>
        <v>11.666666666666666</v>
      </c>
      <c r="BP34" s="591">
        <f>IF(ISNA(VLOOKUP($B34,'3. EDU Calculation'!$B$10:$M$35,12,FALSE)),0,VLOOKUP($B34,'3. EDU Calculation'!$B$10:$M$35,12,FALSE))</f>
        <v>11.666666666666666</v>
      </c>
      <c r="BQ34" s="591">
        <f>IF(ISNA(VLOOKUP($B34,'3. EDU Calculation'!$B$10:$M$35,12,FALSE)),0,VLOOKUP($B34,'3. EDU Calculation'!$B$10:$M$35,12,FALSE))</f>
        <v>11.666666666666666</v>
      </c>
      <c r="BR34" s="591"/>
      <c r="BS34" s="591"/>
      <c r="BT34" s="591">
        <f>IF(ISNA(VLOOKUP($B34,'3. EDU Calculation'!$B$10:$M$35,12,FALSE)),0,VLOOKUP($B34,'3. EDU Calculation'!$B$10:$M$35,12,FALSE))</f>
        <v>11.666666666666666</v>
      </c>
      <c r="BV34" s="591">
        <f t="shared" si="30"/>
        <v>267.04766666666666</v>
      </c>
      <c r="BW34" s="591">
        <f t="shared" si="31"/>
        <v>0</v>
      </c>
      <c r="BX34" s="591">
        <f t="shared" si="32"/>
        <v>0</v>
      </c>
      <c r="BY34" s="591">
        <f t="shared" si="33"/>
        <v>0</v>
      </c>
      <c r="BZ34" s="591">
        <f t="shared" si="34"/>
        <v>0</v>
      </c>
      <c r="CA34" s="591">
        <f t="shared" si="35"/>
        <v>0</v>
      </c>
      <c r="CB34" s="591">
        <f t="shared" si="36"/>
        <v>0</v>
      </c>
      <c r="CC34" s="591"/>
      <c r="CD34" s="591"/>
      <c r="CE34" s="591">
        <f t="shared" si="37"/>
        <v>0</v>
      </c>
    </row>
    <row r="35" spans="2:83" x14ac:dyDescent="0.2">
      <c r="B35" t="s">
        <v>154</v>
      </c>
      <c r="D35" s="591">
        <f>IF(ISNA(VLOOKUP($B35,'PFF-Zones (Combined)'!$B$3:$W$11,18,FALSE)),0,VLOOKUP($B35,'PFF-Zones (Combined)'!$B$3:$W$11,18,FALSE))</f>
        <v>0</v>
      </c>
      <c r="E35" s="591">
        <f>IF(ISNA(VLOOKUP($B35,'PFF-Zones (Combined)'!$B$15:$W$31,18,FALSE)),0,VLOOKUP($B35,'PFF-Zones (Combined)'!$B$15:$W$31,18,FALSE))</f>
        <v>19.7361</v>
      </c>
      <c r="F35" s="591">
        <f>IF(ISNA(VLOOKUP($B35,'PFF-Zones (Combined)'!$B$34:$W$47,18,FALSE)),0,VLOOKUP($B35,'PFF-Zones (Combined)'!$B$34:$W$47,18,FALSE))</f>
        <v>0</v>
      </c>
      <c r="G35" s="591">
        <f>IF(ISNA(VLOOKUP($B35,'PFF-Zones (Combined)'!$B$50:$W$56,18,FALSE)),0,VLOOKUP($B35,'PFF-Zones (Combined)'!$B$50:$W$56,18,FALSE))</f>
        <v>0</v>
      </c>
      <c r="H35" s="591">
        <f>IF(ISNA(VLOOKUP($B35,'PFF-Zones (Combined)'!$B$61:$W$71,18,FALSE)),0,VLOOKUP($B35,'PFF-Zones (Combined)'!$B$61:$W$71,18,FALSE))</f>
        <v>0</v>
      </c>
      <c r="I35" s="591">
        <f>IF(ISNA(VLOOKUP($B35,'PFF-Zones (Combined)'!$B$75:$W$81,18,FALSE)),0,VLOOKUP($B35,'PFF-Zones (Combined)'!$B$75:$W$81,18,FALSE))</f>
        <v>0</v>
      </c>
      <c r="J35" s="591">
        <f>IF(ISNA(VLOOKUP($B35,'PFF-Zones (Combined)'!$B$87:$W$105,18,FALSE)),0,VLOOKUP($B35,'PFF-Zones (Combined)'!$B$87:$W$105,18,FALSE))</f>
        <v>0</v>
      </c>
      <c r="K35" s="591"/>
      <c r="L35" s="591"/>
      <c r="M35" s="591">
        <f>IF(ISNA(VLOOKUP($B35,'PFF-Zones (Combined)'!$B$109:$W$120,18,FALSE)),0,VLOOKUP($B35,'PFF-Zones (Combined)'!$B$109:$W$120,18,FALSE))</f>
        <v>0</v>
      </c>
      <c r="N35" s="608"/>
      <c r="O35" s="614">
        <f>IF(IF(ISNA(VLOOKUP($B35,'PFF-Zones (Combined)'!$B$3:$W$11,21,FALSE)),0,VLOOKUP($B35,'PFF-Zones (Combined)'!$B$3:$W$11,21,FALSE))&gt;0,0.2,IF(ISNA(VLOOKUP($B35,'PFF-Zones (Combined)'!$B$3:$W$11,21,FALSE)),0,VLOOKUP($B35,'PFF-Zones (Combined)'!$B$3:$W$11,21,FALSE)))</f>
        <v>0</v>
      </c>
      <c r="P35" s="602">
        <f>IF(IF(ISNA(VLOOKUP($B35,'PFF-Zones (Combined)'!$B$15:$W$31,21,FALSE)),0,VLOOKUP($B35,'PFF-Zones (Combined)'!$B$15:$W$31,21,FALSE))&gt;0,0.2,IF(ISNA(VLOOKUP($B35,'PFF-Zones (Combined)'!$B$15:$W$31,21,FALSE)),0,VLOOKUP($B35,'PFF-Zones (Combined)'!$B$15:$W$31,21,FALSE)))</f>
        <v>0.2</v>
      </c>
      <c r="Q35" s="614">
        <f>IF(IF(ISNA(VLOOKUP($B35,'PFF-Zones (Combined)'!$B$34:$W$47,21,FALSE)),0,VLOOKUP($B35,'PFF-Zones (Combined)'!$B$34:$W$47,21,FALSE))&gt;0,0.2,IF(ISNA(VLOOKUP($B35,'PFF-Zones (Combined)'!$B$34:$W$47,21,FALSE)),0,VLOOKUP($B35,'PFF-Zones (Combined)'!$B$34:$W$47,21,FALSE)))</f>
        <v>0</v>
      </c>
      <c r="R35" s="614">
        <f>IF(IF(ISNA(VLOOKUP($B35,'PFF-Zones (Combined)'!$B$50:$W$56,21,FALSE)),0,VLOOKUP($B35,'PFF-Zones (Combined)'!$B$50:$W$56,21,FALSE))&gt;0,0.2,IF(ISNA(VLOOKUP($B35,'PFF-Zones (Combined)'!$B$50:$W$56,21,FALSE)),0,VLOOKUP($B35,'PFF-Zones (Combined)'!$B$50:$W$56,21,FALSE)))</f>
        <v>0</v>
      </c>
      <c r="S35" s="614">
        <f>IF(IF(ISNA(VLOOKUP($B35,'PFF-Zones (Combined)'!$B$61:$W$71,21,FALSE)),0,VLOOKUP($B35,'PFF-Zones (Combined)'!$B$61:$W$71,21,FALSE))&gt;0,0.2,IF(ISNA(VLOOKUP($B35,'PFF-Zones (Combined)'!$B$61:$W$71,21,FALSE)),0,VLOOKUP($B35,'PFF-Zones (Combined)'!$B$61:$W$71,21,FALSE)))</f>
        <v>0</v>
      </c>
      <c r="T35" s="614">
        <f>IF(IF(ISNA(VLOOKUP($B35,'PFF-Zones (Combined)'!$B$75:$W$81,21,FALSE)),0,VLOOKUP($B35,'PFF-Zones (Combined)'!$B$75:$W$81,21,FALSE))&gt;0,0.2,IF(ISNA(VLOOKUP($B35,'PFF-Zones (Combined)'!$B$75:$W$81,21,FALSE)),0,VLOOKUP($B35,'PFF-Zones (Combined)'!$B$75:$W$81,21,FALSE)))</f>
        <v>0</v>
      </c>
      <c r="U35" s="614">
        <f>IF(IF(ISNA(VLOOKUP($B35,'PFF-Zones (Combined)'!$B$87:$W$105,21,FALSE)),0,VLOOKUP($B35,'PFF-Zones (Combined)'!$B$87:$W$105,21,FALSE))&gt;0,0.2,IF(ISNA(VLOOKUP($B35,'PFF-Zones (Combined)'!$B$87:$W$105,21,FALSE)),0,VLOOKUP($B35,'PFF-Zones (Combined)'!$B$87:$W$105,21,FALSE)))</f>
        <v>0</v>
      </c>
      <c r="V35" s="614"/>
      <c r="W35" s="614"/>
      <c r="X35" s="614">
        <f>IF(IF(ISNA(VLOOKUP($B35,'PFF-Zones (Combined)'!$B$109:$W$120,21,FALSE)),0,VLOOKUP($B35,'PFF-Zones (Combined)'!$B$109:$W$120,21,FALSE))&gt;0,0.2,IF(ISNA(VLOOKUP($B35,'PFF-Zones (Combined)'!$B$109:$W$120,21,FALSE)),0,VLOOKUP($B35,'PFF-Zones (Combined)'!$B$109:$W$120,21,FALSE)))</f>
        <v>0</v>
      </c>
      <c r="Z35" s="607">
        <f t="shared" si="6"/>
        <v>0</v>
      </c>
      <c r="AA35" s="607">
        <f t="shared" si="7"/>
        <v>3.9472200000000002</v>
      </c>
      <c r="AB35" s="607">
        <f t="shared" si="8"/>
        <v>0</v>
      </c>
      <c r="AC35" s="607">
        <f t="shared" si="9"/>
        <v>0</v>
      </c>
      <c r="AD35" s="607">
        <f t="shared" si="10"/>
        <v>0</v>
      </c>
      <c r="AE35" s="607">
        <f t="shared" si="11"/>
        <v>0</v>
      </c>
      <c r="AF35" s="607">
        <f t="shared" si="12"/>
        <v>0</v>
      </c>
      <c r="AG35" s="602"/>
      <c r="AH35" s="602"/>
      <c r="AI35" s="607">
        <f t="shared" si="13"/>
        <v>0</v>
      </c>
      <c r="AK35" s="615">
        <f>IF(ISNA(VLOOKUP($B35,'3. EDU Calculation'!$B$10:$E$35,4,FALSE)),0,VLOOKUP($B35,'3. EDU Calculation'!$B$10:$E$35,4,FALSE))</f>
        <v>0.5</v>
      </c>
      <c r="AL35" s="607">
        <f t="shared" si="14"/>
        <v>0</v>
      </c>
      <c r="AM35" s="607">
        <f t="shared" si="15"/>
        <v>1.9736100000000001</v>
      </c>
      <c r="AN35" s="607">
        <f t="shared" si="16"/>
        <v>0</v>
      </c>
      <c r="AO35" s="607">
        <f t="shared" si="17"/>
        <v>0</v>
      </c>
      <c r="AP35" s="607">
        <f t="shared" si="18"/>
        <v>0</v>
      </c>
      <c r="AQ35" s="607">
        <f t="shared" si="19"/>
        <v>0</v>
      </c>
      <c r="AR35" s="607">
        <f t="shared" si="20"/>
        <v>0</v>
      </c>
      <c r="AS35" s="607"/>
      <c r="AT35" s="607"/>
      <c r="AU35" s="607">
        <f t="shared" si="21"/>
        <v>0</v>
      </c>
      <c r="AX35" s="749" t="str">
        <f>IF(ISNA(VLOOKUP($B35,'3. EDU Calculation'!$B$10:$I$35,8,FALSE)),0,VLOOKUP($B35,'3. EDU Calculation'!$B$10:$I$35,8,FALSE))</f>
        <v>Dwelling Unit</v>
      </c>
      <c r="AY35" s="749">
        <f>IF(ISNA(VLOOKUP($B35,'3. EDU Calculation'!$B$10:$J$35,9,FALSE)),0,VLOOKUP($B35,'3. EDU Calculation'!$B$10:$J$35,9,FALSE))</f>
        <v>9</v>
      </c>
      <c r="AZ35" s="586">
        <f t="shared" si="22"/>
        <v>0</v>
      </c>
      <c r="BA35" s="586">
        <f t="shared" si="23"/>
        <v>35.524979999999999</v>
      </c>
      <c r="BB35" s="586">
        <f t="shared" si="24"/>
        <v>0</v>
      </c>
      <c r="BC35" s="586">
        <f t="shared" si="25"/>
        <v>0</v>
      </c>
      <c r="BD35" s="586">
        <f t="shared" si="26"/>
        <v>0</v>
      </c>
      <c r="BE35" s="586">
        <f t="shared" si="27"/>
        <v>0</v>
      </c>
      <c r="BF35" s="586">
        <f t="shared" si="28"/>
        <v>0</v>
      </c>
      <c r="BG35" s="586"/>
      <c r="BH35" s="586"/>
      <c r="BI35" s="586">
        <f t="shared" si="29"/>
        <v>0</v>
      </c>
      <c r="BK35" s="591">
        <f>IF(ISNA(VLOOKUP($B35,'3. EDU Calculation'!$B$10:$M$35,12,FALSE)),0,VLOOKUP($B35,'3. EDU Calculation'!$B$10:$M$35,12,FALSE))</f>
        <v>0.92592592592592593</v>
      </c>
      <c r="BL35" s="591">
        <f>IF(ISNA(VLOOKUP($B35,'3. EDU Calculation'!$B$10:$M$35,12,FALSE)),0,VLOOKUP($B35,'3. EDU Calculation'!$B$10:$M$35,12,FALSE))</f>
        <v>0.92592592592592593</v>
      </c>
      <c r="BM35" s="591">
        <f>IF(ISNA(VLOOKUP($B35,'3. EDU Calculation'!$B$10:$M$35,12,FALSE)),0,VLOOKUP($B35,'3. EDU Calculation'!$B$10:$M$35,12,FALSE))</f>
        <v>0.92592592592592593</v>
      </c>
      <c r="BN35" s="591">
        <f>IF(ISNA(VLOOKUP($B35,'3. EDU Calculation'!$B$10:$M$35,12,FALSE)),0,VLOOKUP($B35,'3. EDU Calculation'!$B$10:$M$35,12,FALSE))</f>
        <v>0.92592592592592593</v>
      </c>
      <c r="BO35" s="591">
        <f>IF(ISNA(VLOOKUP($B35,'3. EDU Calculation'!$B$10:$M$35,12,FALSE)),0,VLOOKUP($B35,'3. EDU Calculation'!$B$10:$M$35,12,FALSE))</f>
        <v>0.92592592592592593</v>
      </c>
      <c r="BP35" s="591">
        <f>IF(ISNA(VLOOKUP($B35,'3. EDU Calculation'!$B$10:$M$35,12,FALSE)),0,VLOOKUP($B35,'3. EDU Calculation'!$B$10:$M$35,12,FALSE))</f>
        <v>0.92592592592592593</v>
      </c>
      <c r="BQ35" s="591">
        <f>IF(ISNA(VLOOKUP($B35,'3. EDU Calculation'!$B$10:$M$35,12,FALSE)),0,VLOOKUP($B35,'3. EDU Calculation'!$B$10:$M$35,12,FALSE))</f>
        <v>0.92592592592592593</v>
      </c>
      <c r="BR35" s="591"/>
      <c r="BS35" s="591"/>
      <c r="BT35" s="591">
        <f>IF(ISNA(VLOOKUP($B35,'3. EDU Calculation'!$B$10:$M$35,12,FALSE)),0,VLOOKUP($B35,'3. EDU Calculation'!$B$10:$M$35,12,FALSE))</f>
        <v>0.92592592592592593</v>
      </c>
      <c r="BV35" s="591">
        <f t="shared" si="30"/>
        <v>0</v>
      </c>
      <c r="BW35" s="591">
        <f t="shared" si="31"/>
        <v>32.893500000000003</v>
      </c>
      <c r="BX35" s="591">
        <f t="shared" si="32"/>
        <v>0</v>
      </c>
      <c r="BY35" s="591">
        <f t="shared" si="33"/>
        <v>0</v>
      </c>
      <c r="BZ35" s="591">
        <f t="shared" si="34"/>
        <v>0</v>
      </c>
      <c r="CA35" s="591">
        <f t="shared" si="35"/>
        <v>0</v>
      </c>
      <c r="CB35" s="591">
        <f t="shared" si="36"/>
        <v>0</v>
      </c>
      <c r="CC35" s="591"/>
      <c r="CD35" s="591"/>
      <c r="CE35" s="591">
        <f t="shared" si="37"/>
        <v>0</v>
      </c>
    </row>
    <row r="36" spans="2:83" x14ac:dyDescent="0.2">
      <c r="B36" s="870" t="s">
        <v>155</v>
      </c>
      <c r="D36" s="591">
        <f>IF(ISNA(VLOOKUP($B36,'PFF-Zones (Combined)'!$B$3:$W$11,18,FALSE)),0,VLOOKUP($B36,'PFF-Zones (Combined)'!$B$3:$W$11,18,FALSE))</f>
        <v>0</v>
      </c>
      <c r="E36" s="591">
        <f>IF(ISNA(VLOOKUP($B36,'PFF-Zones (Combined)'!$B$15:$W$31,18,FALSE)),0,VLOOKUP($B36,'PFF-Zones (Combined)'!$B$15:$W$31,18,FALSE))</f>
        <v>33.541600000000003</v>
      </c>
      <c r="F36" s="591">
        <f>IF(ISNA(VLOOKUP($B36,'PFF-Zones (Combined)'!$B$34:$W$47,18,FALSE)),0,VLOOKUP($B36,'PFF-Zones (Combined)'!$B$34:$W$47,18,FALSE))</f>
        <v>4.0133000000000001</v>
      </c>
      <c r="G36" s="591">
        <f>IF(ISNA(VLOOKUP($B36,'PFF-Zones (Combined)'!$B$50:$W$56,18,FALSE)),0,VLOOKUP($B36,'PFF-Zones (Combined)'!$B$50:$W$56,18,FALSE))</f>
        <v>0</v>
      </c>
      <c r="H36" s="591">
        <f>IF(ISNA(VLOOKUP($B36,'PFF-Zones (Combined)'!$B$61:$W$71,18,FALSE)),0,VLOOKUP($B36,'PFF-Zones (Combined)'!$B$61:$W$71,18,FALSE))</f>
        <v>0</v>
      </c>
      <c r="I36" s="591">
        <f>IF(ISNA(VLOOKUP($B36,'PFF-Zones (Combined)'!$B$75:$W$81,18,FALSE)),0,VLOOKUP($B36,'PFF-Zones (Combined)'!$B$75:$W$81,18,FALSE))</f>
        <v>0</v>
      </c>
      <c r="J36" s="591">
        <f>IF(ISNA(VLOOKUP($B36,'PFF-Zones (Combined)'!$B$87:$W$105,18,FALSE)),0,VLOOKUP($B36,'PFF-Zones (Combined)'!$B$87:$W$105,18,FALSE))</f>
        <v>29.9605</v>
      </c>
      <c r="K36" s="591"/>
      <c r="L36" s="591"/>
      <c r="M36" s="591">
        <f>IF(ISNA(VLOOKUP($B36,'PFF-Zones (Combined)'!$B$109:$W$120,18,FALSE)),0,VLOOKUP($B36,'PFF-Zones (Combined)'!$B$109:$W$120,18,FALSE))</f>
        <v>0</v>
      </c>
      <c r="N36" s="608"/>
      <c r="O36" s="859">
        <f>IF(IF(ISNA(VLOOKUP($B36,'PFF-Zones (Combined)'!$B$3:$W$11,21,FALSE)),0,VLOOKUP($B36,'PFF-Zones (Combined)'!$B$3:$W$11,21,FALSE))&gt;0,0.2,IF(ISNA(VLOOKUP($B36,'PFF-Zones (Combined)'!$B$3:$W$11,21,FALSE)),0,VLOOKUP($B36,'PFF-Zones (Combined)'!$B$3:$W$11,21,FALSE)))</f>
        <v>0</v>
      </c>
      <c r="P36" s="858">
        <f>IF(IF(ISNA(VLOOKUP($B36,'PFF-Zones (Combined)'!$B$15:$W$31,21,FALSE)),0,VLOOKUP($B36,'PFF-Zones (Combined)'!$B$15:$W$31,21,FALSE))&gt;0,0.2,IF(ISNA(VLOOKUP($B36,'PFF-Zones (Combined)'!$B$15:$W$31,21,FALSE)),0,VLOOKUP($B36,'PFF-Zones (Combined)'!$B$15:$W$31,21,FALSE)))</f>
        <v>0.2</v>
      </c>
      <c r="Q36" s="858">
        <f>IF(IF(ISNA(VLOOKUP($B36,'PFF-Zones (Combined)'!$B$34:$W$47,21,FALSE)),0,VLOOKUP($B36,'PFF-Zones (Combined)'!$B$34:$W$47,21,FALSE))&gt;0,0.2,IF(ISNA(VLOOKUP($B36,'PFF-Zones (Combined)'!$B$34:$W$47,21,FALSE)),0,VLOOKUP($B36,'PFF-Zones (Combined)'!$B$34:$W$47,21,FALSE)))</f>
        <v>0.2</v>
      </c>
      <c r="R36" s="859">
        <f>IF(IF(ISNA(VLOOKUP($B36,'PFF-Zones (Combined)'!$B$50:$W$56,21,FALSE)),0,VLOOKUP($B36,'PFF-Zones (Combined)'!$B$50:$W$56,21,FALSE))&gt;0,0.2,IF(ISNA(VLOOKUP($B36,'PFF-Zones (Combined)'!$B$50:$W$56,21,FALSE)),0,VLOOKUP($B36,'PFF-Zones (Combined)'!$B$50:$W$56,21,FALSE)))</f>
        <v>0</v>
      </c>
      <c r="S36" s="859">
        <f>IF(IF(ISNA(VLOOKUP($B36,'PFF-Zones (Combined)'!$B$61:$W$71,21,FALSE)),0,VLOOKUP($B36,'PFF-Zones (Combined)'!$B$61:$W$71,21,FALSE))&gt;0,0.2,IF(ISNA(VLOOKUP($B36,'PFF-Zones (Combined)'!$B$61:$W$71,21,FALSE)),0,VLOOKUP($B36,'PFF-Zones (Combined)'!$B$61:$W$71,21,FALSE)))</f>
        <v>0</v>
      </c>
      <c r="T36" s="859">
        <f>IF(IF(ISNA(VLOOKUP($B36,'PFF-Zones (Combined)'!$B$75:$W$81,21,FALSE)),0,VLOOKUP($B36,'PFF-Zones (Combined)'!$B$75:$W$81,21,FALSE))&gt;0,0.2,IF(ISNA(VLOOKUP($B36,'PFF-Zones (Combined)'!$B$75:$W$81,21,FALSE)),0,VLOOKUP($B36,'PFF-Zones (Combined)'!$B$75:$W$81,21,FALSE)))</f>
        <v>0</v>
      </c>
      <c r="U36" s="858">
        <f>IF(IF(ISNA(VLOOKUP($B36,'PFF-Zones (Combined)'!$B$87:$W$105,21,FALSE)),0,VLOOKUP($B36,'PFF-Zones (Combined)'!$B$87:$W$105,21,FALSE))&gt;0,0.2,IF(ISNA(VLOOKUP($B36,'PFF-Zones (Combined)'!$B$87:$W$105,21,FALSE)),0,VLOOKUP($B36,'PFF-Zones (Combined)'!$B$87:$W$105,21,FALSE)))</f>
        <v>0.2</v>
      </c>
      <c r="V36" s="859"/>
      <c r="W36" s="859"/>
      <c r="X36" s="859">
        <f>IF(IF(ISNA(VLOOKUP($B36,'PFF-Zones (Combined)'!$B$109:$W$120,21,FALSE)),0,VLOOKUP($B36,'PFF-Zones (Combined)'!$B$109:$W$120,21,FALSE))&gt;0,0.2,IF(ISNA(VLOOKUP($B36,'PFF-Zones (Combined)'!$B$109:$W$120,21,FALSE)),0,VLOOKUP($B36,'PFF-Zones (Combined)'!$B$109:$W$120,21,FALSE)))</f>
        <v>0</v>
      </c>
      <c r="Z36" s="872">
        <f t="shared" si="6"/>
        <v>0</v>
      </c>
      <c r="AA36" s="872">
        <f t="shared" si="7"/>
        <v>6.7083200000000005</v>
      </c>
      <c r="AB36" s="872">
        <f t="shared" si="8"/>
        <v>0.80266000000000004</v>
      </c>
      <c r="AC36" s="872">
        <f t="shared" si="9"/>
        <v>0</v>
      </c>
      <c r="AD36" s="872">
        <f t="shared" si="10"/>
        <v>0</v>
      </c>
      <c r="AE36" s="872">
        <f t="shared" si="11"/>
        <v>0</v>
      </c>
      <c r="AF36" s="872">
        <f t="shared" si="12"/>
        <v>5.9921000000000006</v>
      </c>
      <c r="AG36" s="873"/>
      <c r="AH36" s="873"/>
      <c r="AI36" s="872">
        <f t="shared" si="13"/>
        <v>0</v>
      </c>
      <c r="AK36" s="889">
        <v>0</v>
      </c>
      <c r="AL36" s="872">
        <f t="shared" si="14"/>
        <v>0</v>
      </c>
      <c r="AM36" s="872">
        <f t="shared" si="15"/>
        <v>0</v>
      </c>
      <c r="AN36" s="872">
        <f t="shared" si="16"/>
        <v>0</v>
      </c>
      <c r="AO36" s="872">
        <f t="shared" si="17"/>
        <v>0</v>
      </c>
      <c r="AP36" s="872">
        <f t="shared" si="18"/>
        <v>0</v>
      </c>
      <c r="AQ36" s="872">
        <f t="shared" si="19"/>
        <v>0</v>
      </c>
      <c r="AR36" s="872">
        <f t="shared" si="20"/>
        <v>0</v>
      </c>
      <c r="AS36" s="872"/>
      <c r="AT36" s="872"/>
      <c r="AU36" s="872">
        <f t="shared" si="21"/>
        <v>0</v>
      </c>
      <c r="AX36" s="749" t="str">
        <f>IF(ISNA(VLOOKUP($B36,'3. EDU Calculation'!$B$10:$I$35,8,FALSE)),0,VLOOKUP($B36,'3. EDU Calculation'!$B$10:$I$35,8,FALSE))</f>
        <v>Acre</v>
      </c>
      <c r="AY36" s="749">
        <f>IF(ISNA(VLOOKUP($B36,'3. EDU Calculation'!$B$10:$J$35,9,FALSE)),0,VLOOKUP($B36,'3. EDU Calculation'!$B$10:$J$35,9,FALSE))</f>
        <v>1</v>
      </c>
      <c r="AZ36" s="871">
        <f t="shared" si="22"/>
        <v>0</v>
      </c>
      <c r="BA36" s="871">
        <f t="shared" si="23"/>
        <v>6.7083200000000005</v>
      </c>
      <c r="BB36" s="871">
        <f t="shared" si="24"/>
        <v>0.80266000000000004</v>
      </c>
      <c r="BC36" s="871">
        <f t="shared" si="25"/>
        <v>0</v>
      </c>
      <c r="BD36" s="871">
        <f t="shared" si="26"/>
        <v>0</v>
      </c>
      <c r="BE36" s="871">
        <f t="shared" si="27"/>
        <v>0</v>
      </c>
      <c r="BF36" s="871">
        <f t="shared" si="28"/>
        <v>5.9921000000000006</v>
      </c>
      <c r="BG36" s="871"/>
      <c r="BH36" s="871"/>
      <c r="BI36" s="871">
        <f t="shared" si="29"/>
        <v>0</v>
      </c>
      <c r="BK36" s="591">
        <f>IF(ISNA(VLOOKUP($B36,'3. EDU Calculation'!$B$10:$M$35,12,FALSE)),0,VLOOKUP($B36,'3. EDU Calculation'!$B$10:$M$35,12,FALSE))</f>
        <v>0</v>
      </c>
      <c r="BL36" s="591">
        <f>IF(ISNA(VLOOKUP($B36,'3. EDU Calculation'!$B$10:$M$35,12,FALSE)),0,VLOOKUP($B36,'3. EDU Calculation'!$B$10:$M$35,12,FALSE))</f>
        <v>0</v>
      </c>
      <c r="BM36" s="591">
        <f>IF(ISNA(VLOOKUP($B36,'3. EDU Calculation'!$B$10:$M$35,12,FALSE)),0,VLOOKUP($B36,'3. EDU Calculation'!$B$10:$M$35,12,FALSE))</f>
        <v>0</v>
      </c>
      <c r="BN36" s="591">
        <f>IF(ISNA(VLOOKUP($B36,'3. EDU Calculation'!$B$10:$M$35,12,FALSE)),0,VLOOKUP($B36,'3. EDU Calculation'!$B$10:$M$35,12,FALSE))</f>
        <v>0</v>
      </c>
      <c r="BO36" s="591">
        <f>IF(ISNA(VLOOKUP($B36,'3. EDU Calculation'!$B$10:$M$35,12,FALSE)),0,VLOOKUP($B36,'3. EDU Calculation'!$B$10:$M$35,12,FALSE))</f>
        <v>0</v>
      </c>
      <c r="BP36" s="591">
        <f>IF(ISNA(VLOOKUP($B36,'3. EDU Calculation'!$B$10:$M$35,12,FALSE)),0,VLOOKUP($B36,'3. EDU Calculation'!$B$10:$M$35,12,FALSE))</f>
        <v>0</v>
      </c>
      <c r="BQ36" s="591">
        <f>IF(ISNA(VLOOKUP($B36,'3. EDU Calculation'!$B$10:$M$35,12,FALSE)),0,VLOOKUP($B36,'3. EDU Calculation'!$B$10:$M$35,12,FALSE))</f>
        <v>0</v>
      </c>
      <c r="BR36" s="591"/>
      <c r="BS36" s="591"/>
      <c r="BT36" s="591">
        <f>IF(ISNA(VLOOKUP($B36,'3. EDU Calculation'!$B$10:$M$35,12,FALSE)),0,VLOOKUP($B36,'3. EDU Calculation'!$B$10:$M$35,12,FALSE))</f>
        <v>0</v>
      </c>
      <c r="BV36" s="591">
        <f t="shared" si="30"/>
        <v>0</v>
      </c>
      <c r="BW36" s="591">
        <f t="shared" si="31"/>
        <v>0</v>
      </c>
      <c r="BX36" s="591">
        <f t="shared" si="32"/>
        <v>0</v>
      </c>
      <c r="BY36" s="591">
        <f t="shared" si="33"/>
        <v>0</v>
      </c>
      <c r="BZ36" s="591">
        <f t="shared" si="34"/>
        <v>0</v>
      </c>
      <c r="CA36" s="591">
        <f t="shared" si="35"/>
        <v>0</v>
      </c>
      <c r="CB36" s="591">
        <f t="shared" si="36"/>
        <v>0</v>
      </c>
      <c r="CC36" s="591"/>
      <c r="CD36" s="591"/>
      <c r="CE36" s="591">
        <f t="shared" si="37"/>
        <v>0</v>
      </c>
    </row>
    <row r="37" spans="2:83" x14ac:dyDescent="0.2">
      <c r="B37" s="870" t="s">
        <v>156</v>
      </c>
      <c r="D37" s="591">
        <f>IF(ISNA(VLOOKUP($B37,'PFF-Zones (Combined)'!$B$3:$W$11,18,FALSE)),0,VLOOKUP($B37,'PFF-Zones (Combined)'!$B$3:$W$11,18,FALSE))</f>
        <v>0</v>
      </c>
      <c r="E37" s="591">
        <f>IF(ISNA(VLOOKUP($B37,'PFF-Zones (Combined)'!$B$15:$W$31,18,FALSE)),0,VLOOKUP($B37,'PFF-Zones (Combined)'!$B$15:$W$31,18,FALSE))</f>
        <v>11.652799999999999</v>
      </c>
      <c r="F37" s="591">
        <f>IF(ISNA(VLOOKUP($B37,'PFF-Zones (Combined)'!$B$34:$W$47,18,FALSE)),0,VLOOKUP($B37,'PFF-Zones (Combined)'!$B$34:$W$47,18,FALSE))</f>
        <v>0</v>
      </c>
      <c r="G37" s="591">
        <f>IF(ISNA(VLOOKUP($B37,'PFF-Zones (Combined)'!$B$50:$W$56,18,FALSE)),0,VLOOKUP($B37,'PFF-Zones (Combined)'!$B$50:$W$56,18,FALSE))</f>
        <v>0</v>
      </c>
      <c r="H37" s="591">
        <f>IF(ISNA(VLOOKUP($B37,'PFF-Zones (Combined)'!$B$61:$W$71,18,FALSE)),0,VLOOKUP($B37,'PFF-Zones (Combined)'!$B$61:$W$71,18,FALSE))</f>
        <v>0</v>
      </c>
      <c r="I37" s="591">
        <f>IF(ISNA(VLOOKUP($B37,'PFF-Zones (Combined)'!$B$75:$W$81,18,FALSE)),0,VLOOKUP($B37,'PFF-Zones (Combined)'!$B$75:$W$81,18,FALSE))</f>
        <v>0</v>
      </c>
      <c r="J37" s="591">
        <f>IF(ISNA(VLOOKUP($B37,'PFF-Zones (Combined)'!$B$87:$W$105,18,FALSE)),0,VLOOKUP($B37,'PFF-Zones (Combined)'!$B$87:$W$105,18,FALSE))</f>
        <v>0</v>
      </c>
      <c r="K37" s="591"/>
      <c r="L37" s="591"/>
      <c r="M37" s="591">
        <f>IF(ISNA(VLOOKUP($B37,'PFF-Zones (Combined)'!$B$109:$W$120,18,FALSE)),0,VLOOKUP($B37,'PFF-Zones (Combined)'!$B$109:$W$120,18,FALSE))</f>
        <v>0</v>
      </c>
      <c r="N37" s="608"/>
      <c r="O37" s="859">
        <f>IF(IF(ISNA(VLOOKUP($B37,'PFF-Zones (Combined)'!$B$3:$W$11,21,FALSE)),0,VLOOKUP($B37,'PFF-Zones (Combined)'!$B$3:$W$11,21,FALSE))&gt;0,0.2,IF(ISNA(VLOOKUP($B37,'PFF-Zones (Combined)'!$B$3:$W$11,21,FALSE)),0,VLOOKUP($B37,'PFF-Zones (Combined)'!$B$3:$W$11,21,FALSE)))</f>
        <v>0</v>
      </c>
      <c r="P37" s="858">
        <f>IF(IF(ISNA(VLOOKUP($B37,'PFF-Zones (Combined)'!$B$15:$W$31,21,FALSE)),0,VLOOKUP($B37,'PFF-Zones (Combined)'!$B$15:$W$31,21,FALSE))&gt;0,0.2,IF(ISNA(VLOOKUP($B37,'PFF-Zones (Combined)'!$B$15:$W$31,21,FALSE)),0,VLOOKUP($B37,'PFF-Zones (Combined)'!$B$15:$W$31,21,FALSE)))</f>
        <v>0.2</v>
      </c>
      <c r="Q37" s="859">
        <f>IF(IF(ISNA(VLOOKUP($B37,'PFF-Zones (Combined)'!$B$34:$W$47,21,FALSE)),0,VLOOKUP($B37,'PFF-Zones (Combined)'!$B$34:$W$47,21,FALSE))&gt;0,0.2,IF(ISNA(VLOOKUP($B37,'PFF-Zones (Combined)'!$B$34:$W$47,21,FALSE)),0,VLOOKUP($B37,'PFF-Zones (Combined)'!$B$34:$W$47,21,FALSE)))</f>
        <v>0</v>
      </c>
      <c r="R37" s="859">
        <f>IF(IF(ISNA(VLOOKUP($B37,'PFF-Zones (Combined)'!$B$50:$W$56,21,FALSE)),0,VLOOKUP($B37,'PFF-Zones (Combined)'!$B$50:$W$56,21,FALSE))&gt;0,0.2,IF(ISNA(VLOOKUP($B37,'PFF-Zones (Combined)'!$B$50:$W$56,21,FALSE)),0,VLOOKUP($B37,'PFF-Zones (Combined)'!$B$50:$W$56,21,FALSE)))</f>
        <v>0</v>
      </c>
      <c r="S37" s="859">
        <f>IF(IF(ISNA(VLOOKUP($B37,'PFF-Zones (Combined)'!$B$61:$W$71,21,FALSE)),0,VLOOKUP($B37,'PFF-Zones (Combined)'!$B$61:$W$71,21,FALSE))&gt;0,0.2,IF(ISNA(VLOOKUP($B37,'PFF-Zones (Combined)'!$B$61:$W$71,21,FALSE)),0,VLOOKUP($B37,'PFF-Zones (Combined)'!$B$61:$W$71,21,FALSE)))</f>
        <v>0</v>
      </c>
      <c r="T37" s="859">
        <f>IF(IF(ISNA(VLOOKUP($B37,'PFF-Zones (Combined)'!$B$75:$W$81,21,FALSE)),0,VLOOKUP($B37,'PFF-Zones (Combined)'!$B$75:$W$81,21,FALSE))&gt;0,0.2,IF(ISNA(VLOOKUP($B37,'PFF-Zones (Combined)'!$B$75:$W$81,21,FALSE)),0,VLOOKUP($B37,'PFF-Zones (Combined)'!$B$75:$W$81,21,FALSE)))</f>
        <v>0</v>
      </c>
      <c r="U37" s="859">
        <f>IF(IF(ISNA(VLOOKUP($B37,'PFF-Zones (Combined)'!$B$87:$W$105,21,FALSE)),0,VLOOKUP($B37,'PFF-Zones (Combined)'!$B$87:$W$105,21,FALSE))&gt;0,0.2,IF(ISNA(VLOOKUP($B37,'PFF-Zones (Combined)'!$B$87:$W$105,21,FALSE)),0,VLOOKUP($B37,'PFF-Zones (Combined)'!$B$87:$W$105,21,FALSE)))</f>
        <v>0</v>
      </c>
      <c r="V37" s="859"/>
      <c r="W37" s="859"/>
      <c r="X37" s="859">
        <f>IF(IF(ISNA(VLOOKUP($B37,'PFF-Zones (Combined)'!$B$109:$W$120,21,FALSE)),0,VLOOKUP($B37,'PFF-Zones (Combined)'!$B$109:$W$120,21,FALSE))&gt;0,0.2,IF(ISNA(VLOOKUP($B37,'PFF-Zones (Combined)'!$B$109:$W$120,21,FALSE)),0,VLOOKUP($B37,'PFF-Zones (Combined)'!$B$109:$W$120,21,FALSE)))</f>
        <v>0</v>
      </c>
      <c r="Z37" s="872">
        <f t="shared" si="6"/>
        <v>0</v>
      </c>
      <c r="AA37" s="872">
        <f t="shared" si="7"/>
        <v>2.3305599999999997</v>
      </c>
      <c r="AB37" s="872">
        <f t="shared" si="8"/>
        <v>0</v>
      </c>
      <c r="AC37" s="872">
        <f t="shared" si="9"/>
        <v>0</v>
      </c>
      <c r="AD37" s="872">
        <f t="shared" si="10"/>
        <v>0</v>
      </c>
      <c r="AE37" s="872">
        <f t="shared" si="11"/>
        <v>0</v>
      </c>
      <c r="AF37" s="872">
        <f t="shared" si="12"/>
        <v>0</v>
      </c>
      <c r="AG37" s="873"/>
      <c r="AH37" s="873"/>
      <c r="AI37" s="872">
        <f t="shared" si="13"/>
        <v>0</v>
      </c>
      <c r="AK37" s="889">
        <v>0</v>
      </c>
      <c r="AL37" s="872">
        <f t="shared" si="14"/>
        <v>0</v>
      </c>
      <c r="AM37" s="872">
        <f t="shared" si="15"/>
        <v>0</v>
      </c>
      <c r="AN37" s="872">
        <f t="shared" si="16"/>
        <v>0</v>
      </c>
      <c r="AO37" s="872">
        <f t="shared" si="17"/>
        <v>0</v>
      </c>
      <c r="AP37" s="872">
        <f t="shared" si="18"/>
        <v>0</v>
      </c>
      <c r="AQ37" s="872">
        <f t="shared" si="19"/>
        <v>0</v>
      </c>
      <c r="AR37" s="872">
        <f t="shared" si="20"/>
        <v>0</v>
      </c>
      <c r="AS37" s="872"/>
      <c r="AT37" s="872"/>
      <c r="AU37" s="872">
        <f t="shared" si="21"/>
        <v>0</v>
      </c>
      <c r="AX37" s="749" t="str">
        <f>IF(ISNA(VLOOKUP($B37,'3. EDU Calculation'!$B$10:$I$35,8,FALSE)),0,VLOOKUP($B37,'3. EDU Calculation'!$B$10:$I$35,8,FALSE))</f>
        <v>Acre</v>
      </c>
      <c r="AY37" s="749">
        <f>IF(ISNA(VLOOKUP($B37,'3. EDU Calculation'!$B$10:$J$35,9,FALSE)),0,VLOOKUP($B37,'3. EDU Calculation'!$B$10:$J$35,9,FALSE))</f>
        <v>1</v>
      </c>
      <c r="AZ37" s="871">
        <f t="shared" si="22"/>
        <v>0</v>
      </c>
      <c r="BA37" s="871">
        <f t="shared" si="23"/>
        <v>2.3305599999999997</v>
      </c>
      <c r="BB37" s="871">
        <f t="shared" si="24"/>
        <v>0</v>
      </c>
      <c r="BC37" s="871">
        <f t="shared" si="25"/>
        <v>0</v>
      </c>
      <c r="BD37" s="871">
        <f t="shared" si="26"/>
        <v>0</v>
      </c>
      <c r="BE37" s="871">
        <f t="shared" si="27"/>
        <v>0</v>
      </c>
      <c r="BF37" s="871">
        <f t="shared" si="28"/>
        <v>0</v>
      </c>
      <c r="BG37" s="871"/>
      <c r="BH37" s="871"/>
      <c r="BI37" s="871">
        <f t="shared" si="29"/>
        <v>0</v>
      </c>
      <c r="BK37" s="591">
        <f>IF(ISNA(VLOOKUP($B37,'3. EDU Calculation'!$B$10:$M$35,12,FALSE)),0,VLOOKUP($B37,'3. EDU Calculation'!$B$10:$M$35,12,FALSE))</f>
        <v>0</v>
      </c>
      <c r="BL37" s="591">
        <f>IF(ISNA(VLOOKUP($B37,'3. EDU Calculation'!$B$10:$M$35,12,FALSE)),0,VLOOKUP($B37,'3. EDU Calculation'!$B$10:$M$35,12,FALSE))</f>
        <v>0</v>
      </c>
      <c r="BM37" s="591">
        <f>IF(ISNA(VLOOKUP($B37,'3. EDU Calculation'!$B$10:$M$35,12,FALSE)),0,VLOOKUP($B37,'3. EDU Calculation'!$B$10:$M$35,12,FALSE))</f>
        <v>0</v>
      </c>
      <c r="BN37" s="591">
        <f>IF(ISNA(VLOOKUP($B37,'3. EDU Calculation'!$B$10:$M$35,12,FALSE)),0,VLOOKUP($B37,'3. EDU Calculation'!$B$10:$M$35,12,FALSE))</f>
        <v>0</v>
      </c>
      <c r="BO37" s="591">
        <f>IF(ISNA(VLOOKUP($B37,'3. EDU Calculation'!$B$10:$M$35,12,FALSE)),0,VLOOKUP($B37,'3. EDU Calculation'!$B$10:$M$35,12,FALSE))</f>
        <v>0</v>
      </c>
      <c r="BP37" s="591">
        <f>IF(ISNA(VLOOKUP($B37,'3. EDU Calculation'!$B$10:$M$35,12,FALSE)),0,VLOOKUP($B37,'3. EDU Calculation'!$B$10:$M$35,12,FALSE))</f>
        <v>0</v>
      </c>
      <c r="BQ37" s="591">
        <f>IF(ISNA(VLOOKUP($B37,'3. EDU Calculation'!$B$10:$M$35,12,FALSE)),0,VLOOKUP($B37,'3. EDU Calculation'!$B$10:$M$35,12,FALSE))</f>
        <v>0</v>
      </c>
      <c r="BR37" s="591"/>
      <c r="BS37" s="591"/>
      <c r="BT37" s="591">
        <f>IF(ISNA(VLOOKUP($B37,'3. EDU Calculation'!$B$10:$M$35,12,FALSE)),0,VLOOKUP($B37,'3. EDU Calculation'!$B$10:$M$35,12,FALSE))</f>
        <v>0</v>
      </c>
      <c r="BV37" s="591">
        <f t="shared" si="30"/>
        <v>0</v>
      </c>
      <c r="BW37" s="591">
        <f t="shared" si="31"/>
        <v>0</v>
      </c>
      <c r="BX37" s="591">
        <f t="shared" si="32"/>
        <v>0</v>
      </c>
      <c r="BY37" s="591">
        <f t="shared" si="33"/>
        <v>0</v>
      </c>
      <c r="BZ37" s="591">
        <f t="shared" si="34"/>
        <v>0</v>
      </c>
      <c r="CA37" s="591">
        <f t="shared" si="35"/>
        <v>0</v>
      </c>
      <c r="CB37" s="591">
        <f t="shared" si="36"/>
        <v>0</v>
      </c>
      <c r="CC37" s="591"/>
      <c r="CD37" s="591"/>
      <c r="CE37" s="591">
        <f t="shared" si="37"/>
        <v>0</v>
      </c>
    </row>
    <row r="38" spans="2:83" x14ac:dyDescent="0.2">
      <c r="B38" t="s">
        <v>152</v>
      </c>
      <c r="D38" s="591">
        <f>IF(ISNA(VLOOKUP($B38,'PFF-Zones (Combined)'!$B$3:$W$11,18,FALSE)),0,VLOOKUP($B38,'PFF-Zones (Combined)'!$B$3:$W$11,18,FALSE))</f>
        <v>0</v>
      </c>
      <c r="E38" s="591">
        <f>IF(ISNA(VLOOKUP($B38,'PFF-Zones (Combined)'!$B$15:$W$31,18,FALSE)),0,VLOOKUP($B38,'PFF-Zones (Combined)'!$B$15:$W$31,18,FALSE))</f>
        <v>352.59190000000001</v>
      </c>
      <c r="F38" s="591">
        <f>IF(ISNA(VLOOKUP($B38,'PFF-Zones (Combined)'!$B$34:$W$47,18,FALSE)),0,VLOOKUP($B38,'PFF-Zones (Combined)'!$B$34:$W$47,18,FALSE))</f>
        <v>0</v>
      </c>
      <c r="G38" s="591">
        <f>IF(ISNA(VLOOKUP($B38,'PFF-Zones (Combined)'!$B$50:$W$56,18,FALSE)),0,VLOOKUP($B38,'PFF-Zones (Combined)'!$B$50:$W$56,18,FALSE))</f>
        <v>0</v>
      </c>
      <c r="H38" s="591">
        <f>IF(ISNA(VLOOKUP($B38,'PFF-Zones (Combined)'!$B$61:$W$71,18,FALSE)),0,VLOOKUP($B38,'PFF-Zones (Combined)'!$B$61:$W$71,18,FALSE))</f>
        <v>0</v>
      </c>
      <c r="I38" s="591">
        <f>IF(ISNA(VLOOKUP($B38,'PFF-Zones (Combined)'!$B$75:$W$81,18,FALSE)),0,VLOOKUP($B38,'PFF-Zones (Combined)'!$B$75:$W$81,18,FALSE))</f>
        <v>0</v>
      </c>
      <c r="J38" s="591">
        <f>IF(ISNA(VLOOKUP($B38,'PFF-Zones (Combined)'!$B$87:$W$105,18,FALSE)),0,VLOOKUP($B38,'PFF-Zones (Combined)'!$B$87:$W$105,18,FALSE))</f>
        <v>99.222800000000007</v>
      </c>
      <c r="K38" s="591"/>
      <c r="L38" s="591"/>
      <c r="M38" s="591">
        <f>IF(ISNA(VLOOKUP($B38,'PFF-Zones (Combined)'!$B$109:$W$120,18,FALSE)),0,VLOOKUP($B38,'PFF-Zones (Combined)'!$B$109:$W$120,18,FALSE))</f>
        <v>294.81889999999999</v>
      </c>
      <c r="N38" s="608"/>
      <c r="O38" s="614">
        <f>IF(IF(ISNA(VLOOKUP($B38,'PFF-Zones (Combined)'!$B$3:$W$11,21,FALSE)),0,VLOOKUP($B38,'PFF-Zones (Combined)'!$B$3:$W$11,21,FALSE))&gt;0,0.2,IF(ISNA(VLOOKUP($B38,'PFF-Zones (Combined)'!$B$3:$W$11,21,FALSE)),0,VLOOKUP($B38,'PFF-Zones (Combined)'!$B$3:$W$11,21,FALSE)))</f>
        <v>0</v>
      </c>
      <c r="P38" s="602">
        <f>IF(IF(ISNA(VLOOKUP($B38,'PFF-Zones (Combined)'!$B$15:$W$31,21,FALSE)),0,VLOOKUP($B38,'PFF-Zones (Combined)'!$B$15:$W$31,21,FALSE))&gt;0,0.2,IF(ISNA(VLOOKUP($B38,'PFF-Zones (Combined)'!$B$15:$W$31,21,FALSE)),0,VLOOKUP($B38,'PFF-Zones (Combined)'!$B$15:$W$31,21,FALSE)))</f>
        <v>0.2</v>
      </c>
      <c r="Q38" s="614">
        <f>IF(IF(ISNA(VLOOKUP($B38,'PFF-Zones (Combined)'!$B$34:$W$47,21,FALSE)),0,VLOOKUP($B38,'PFF-Zones (Combined)'!$B$34:$W$47,21,FALSE))&gt;0,0.2,IF(ISNA(VLOOKUP($B38,'PFF-Zones (Combined)'!$B$34:$W$47,21,FALSE)),0,VLOOKUP($B38,'PFF-Zones (Combined)'!$B$34:$W$47,21,FALSE)))</f>
        <v>0</v>
      </c>
      <c r="R38" s="614">
        <f>IF(IF(ISNA(VLOOKUP($B38,'PFF-Zones (Combined)'!$B$50:$W$56,21,FALSE)),0,VLOOKUP($B38,'PFF-Zones (Combined)'!$B$50:$W$56,21,FALSE))&gt;0,0.2,IF(ISNA(VLOOKUP($B38,'PFF-Zones (Combined)'!$B$50:$W$56,21,FALSE)),0,VLOOKUP($B38,'PFF-Zones (Combined)'!$B$50:$W$56,21,FALSE)))</f>
        <v>0</v>
      </c>
      <c r="S38" s="614">
        <f>IF(IF(ISNA(VLOOKUP($B38,'PFF-Zones (Combined)'!$B$61:$W$71,21,FALSE)),0,VLOOKUP($B38,'PFF-Zones (Combined)'!$B$61:$W$71,21,FALSE))&gt;0,0.2,IF(ISNA(VLOOKUP($B38,'PFF-Zones (Combined)'!$B$61:$W$71,21,FALSE)),0,VLOOKUP($B38,'PFF-Zones (Combined)'!$B$61:$W$71,21,FALSE)))</f>
        <v>0</v>
      </c>
      <c r="T38" s="614">
        <f>IF(IF(ISNA(VLOOKUP($B38,'PFF-Zones (Combined)'!$B$75:$W$81,21,FALSE)),0,VLOOKUP($B38,'PFF-Zones (Combined)'!$B$75:$W$81,21,FALSE))&gt;0,0.2,IF(ISNA(VLOOKUP($B38,'PFF-Zones (Combined)'!$B$75:$W$81,21,FALSE)),0,VLOOKUP($B38,'PFF-Zones (Combined)'!$B$75:$W$81,21,FALSE)))</f>
        <v>0</v>
      </c>
      <c r="U38" s="602">
        <f>IF(IF(ISNA(VLOOKUP($B38,'PFF-Zones (Combined)'!$B$87:$W$105,21,FALSE)),0,VLOOKUP($B38,'PFF-Zones (Combined)'!$B$87:$W$105,21,FALSE))&gt;0,0.2,IF(ISNA(VLOOKUP($B38,'PFF-Zones (Combined)'!$B$87:$W$105,21,FALSE)),0,VLOOKUP($B38,'PFF-Zones (Combined)'!$B$87:$W$105,21,FALSE)))</f>
        <v>0.2</v>
      </c>
      <c r="V38" s="614"/>
      <c r="W38" s="614"/>
      <c r="X38" s="592">
        <f>IF(IF(ISNA(VLOOKUP($B38,'PFF-Zones (Combined)'!$B$109:$W$120,21,FALSE)),0,VLOOKUP($B38,'PFF-Zones (Combined)'!$B$109:$W$120,21,FALSE))&gt;0,0.2,IF(ISNA(VLOOKUP($B38,'PFF-Zones (Combined)'!$B$109:$W$120,21,FALSE)),0,VLOOKUP($B38,'PFF-Zones (Combined)'!$B$109:$W$120,21,FALSE)))</f>
        <v>0.2</v>
      </c>
      <c r="Z38" s="607">
        <f t="shared" si="6"/>
        <v>0</v>
      </c>
      <c r="AA38" s="607">
        <f t="shared" si="7"/>
        <v>70.518380000000008</v>
      </c>
      <c r="AB38" s="607">
        <f t="shared" si="8"/>
        <v>0</v>
      </c>
      <c r="AC38" s="607">
        <f t="shared" si="9"/>
        <v>0</v>
      </c>
      <c r="AD38" s="607">
        <f t="shared" si="10"/>
        <v>0</v>
      </c>
      <c r="AE38" s="607">
        <f t="shared" si="11"/>
        <v>0</v>
      </c>
      <c r="AF38" s="607">
        <f t="shared" si="12"/>
        <v>19.844560000000001</v>
      </c>
      <c r="AG38" s="602"/>
      <c r="AH38" s="602"/>
      <c r="AI38" s="607">
        <f t="shared" si="13"/>
        <v>58.96378</v>
      </c>
      <c r="AK38" s="615">
        <f>IF(ISNA(VLOOKUP($B38,'3. EDU Calculation'!$B$10:$E$35,4,FALSE)),0,VLOOKUP($B38,'3. EDU Calculation'!$B$10:$E$35,4,FALSE))</f>
        <v>0.3</v>
      </c>
      <c r="AL38" s="607">
        <f t="shared" si="14"/>
        <v>0</v>
      </c>
      <c r="AM38" s="607">
        <f t="shared" si="15"/>
        <v>21.155514</v>
      </c>
      <c r="AN38" s="607">
        <f t="shared" si="16"/>
        <v>0</v>
      </c>
      <c r="AO38" s="607">
        <f t="shared" si="17"/>
        <v>0</v>
      </c>
      <c r="AP38" s="607">
        <f t="shared" si="18"/>
        <v>0</v>
      </c>
      <c r="AQ38" s="607">
        <f t="shared" si="19"/>
        <v>0</v>
      </c>
      <c r="AR38" s="607">
        <f t="shared" si="20"/>
        <v>5.9533680000000002</v>
      </c>
      <c r="AS38" s="607"/>
      <c r="AT38" s="607"/>
      <c r="AU38" s="607">
        <f t="shared" si="21"/>
        <v>17.689133999999999</v>
      </c>
      <c r="AX38" s="749" t="str">
        <f>IF(ISNA(VLOOKUP($B38,'3. EDU Calculation'!$B$10:$I$35,8,FALSE)),0,VLOOKUP($B38,'3. EDU Calculation'!$B$10:$I$35,8,FALSE))</f>
        <v>Dwelling Unit</v>
      </c>
      <c r="AY38" s="749">
        <f>IF(ISNA(VLOOKUP($B38,'3. EDU Calculation'!$B$10:$J$35,9,FALSE)),0,VLOOKUP($B38,'3. EDU Calculation'!$B$10:$J$35,9,FALSE))</f>
        <v>2</v>
      </c>
      <c r="AZ38" s="586">
        <f t="shared" si="22"/>
        <v>0</v>
      </c>
      <c r="BA38" s="586">
        <f t="shared" si="23"/>
        <v>141.03676000000002</v>
      </c>
      <c r="BB38" s="586">
        <f t="shared" si="24"/>
        <v>0</v>
      </c>
      <c r="BC38" s="586">
        <f t="shared" si="25"/>
        <v>0</v>
      </c>
      <c r="BD38" s="586">
        <f t="shared" si="26"/>
        <v>0</v>
      </c>
      <c r="BE38" s="586">
        <f t="shared" si="27"/>
        <v>0</v>
      </c>
      <c r="BF38" s="586">
        <f t="shared" si="28"/>
        <v>39.689120000000003</v>
      </c>
      <c r="BG38" s="586"/>
      <c r="BH38" s="586"/>
      <c r="BI38" s="586">
        <f t="shared" si="29"/>
        <v>117.92756</v>
      </c>
      <c r="BK38" s="591">
        <f>IF(ISNA(VLOOKUP($B38,'3. EDU Calculation'!$B$10:$M$35,12,FALSE)),0,VLOOKUP($B38,'3. EDU Calculation'!$B$10:$M$35,12,FALSE))</f>
        <v>2.5</v>
      </c>
      <c r="BL38" s="591">
        <f>IF(ISNA(VLOOKUP($B38,'3. EDU Calculation'!$B$10:$M$35,12,FALSE)),0,VLOOKUP($B38,'3. EDU Calculation'!$B$10:$M$35,12,FALSE))</f>
        <v>2.5</v>
      </c>
      <c r="BM38" s="591">
        <f>IF(ISNA(VLOOKUP($B38,'3. EDU Calculation'!$B$10:$M$35,12,FALSE)),0,VLOOKUP($B38,'3. EDU Calculation'!$B$10:$M$35,12,FALSE))</f>
        <v>2.5</v>
      </c>
      <c r="BN38" s="591">
        <f>IF(ISNA(VLOOKUP($B38,'3. EDU Calculation'!$B$10:$M$35,12,FALSE)),0,VLOOKUP($B38,'3. EDU Calculation'!$B$10:$M$35,12,FALSE))</f>
        <v>2.5</v>
      </c>
      <c r="BO38" s="591">
        <f>IF(ISNA(VLOOKUP($B38,'3. EDU Calculation'!$B$10:$M$35,12,FALSE)),0,VLOOKUP($B38,'3. EDU Calculation'!$B$10:$M$35,12,FALSE))</f>
        <v>2.5</v>
      </c>
      <c r="BP38" s="591">
        <f>IF(ISNA(VLOOKUP($B38,'3. EDU Calculation'!$B$10:$M$35,12,FALSE)),0,VLOOKUP($B38,'3. EDU Calculation'!$B$10:$M$35,12,FALSE))</f>
        <v>2.5</v>
      </c>
      <c r="BQ38" s="591">
        <f>IF(ISNA(VLOOKUP($B38,'3. EDU Calculation'!$B$10:$M$35,12,FALSE)),0,VLOOKUP($B38,'3. EDU Calculation'!$B$10:$M$35,12,FALSE))</f>
        <v>2.5</v>
      </c>
      <c r="BR38" s="591"/>
      <c r="BS38" s="591"/>
      <c r="BT38" s="591">
        <f>IF(ISNA(VLOOKUP($B38,'3. EDU Calculation'!$B$10:$M$35,12,FALSE)),0,VLOOKUP($B38,'3. EDU Calculation'!$B$10:$M$35,12,FALSE))</f>
        <v>2.5</v>
      </c>
      <c r="BV38" s="591">
        <f t="shared" si="30"/>
        <v>0</v>
      </c>
      <c r="BW38" s="591">
        <f t="shared" si="31"/>
        <v>352.59190000000001</v>
      </c>
      <c r="BX38" s="591">
        <f t="shared" si="32"/>
        <v>0</v>
      </c>
      <c r="BY38" s="591">
        <f t="shared" si="33"/>
        <v>0</v>
      </c>
      <c r="BZ38" s="591">
        <f t="shared" si="34"/>
        <v>0</v>
      </c>
      <c r="CA38" s="591">
        <f t="shared" si="35"/>
        <v>0</v>
      </c>
      <c r="CB38" s="591">
        <f t="shared" si="36"/>
        <v>99.222800000000007</v>
      </c>
      <c r="CC38" s="591"/>
      <c r="CD38" s="591"/>
      <c r="CE38" s="591">
        <f t="shared" si="37"/>
        <v>294.81889999999999</v>
      </c>
    </row>
    <row r="39" spans="2:83" x14ac:dyDescent="0.2">
      <c r="B39" t="s">
        <v>133</v>
      </c>
      <c r="D39" s="591">
        <f>IF(ISNA(VLOOKUP($B39,'PFF-Zones (Combined)'!$B$3:$W$11,18,FALSE)),0,VLOOKUP($B39,'PFF-Zones (Combined)'!$B$3:$W$11,18,FALSE))</f>
        <v>105.7921</v>
      </c>
      <c r="E39" s="591">
        <f>IF(ISNA(VLOOKUP($B39,'PFF-Zones (Combined)'!$B$15:$W$31,18,FALSE)),0,VLOOKUP($B39,'PFF-Zones (Combined)'!$B$15:$W$31,18,FALSE))</f>
        <v>25.8215</v>
      </c>
      <c r="F39" s="591">
        <f>IF(ISNA(VLOOKUP($B39,'PFF-Zones (Combined)'!$B$34:$W$47,18,FALSE)),0,VLOOKUP($B39,'PFF-Zones (Combined)'!$B$34:$W$47,18,FALSE))</f>
        <v>3.1368999999999998</v>
      </c>
      <c r="G39" s="591">
        <f>IF(ISNA(VLOOKUP($B39,'PFF-Zones (Combined)'!$B$50:$W$56,18,FALSE)),0,VLOOKUP($B39,'PFF-Zones (Combined)'!$B$50:$W$56,18,FALSE))</f>
        <v>0</v>
      </c>
      <c r="H39" s="591">
        <f>IF(ISNA(VLOOKUP($B39,'PFF-Zones (Combined)'!$B$61:$W$71,18,FALSE)),0,VLOOKUP($B39,'PFF-Zones (Combined)'!$B$61:$W$71,18,FALSE))</f>
        <v>0</v>
      </c>
      <c r="I39" s="591">
        <f>IF(ISNA(VLOOKUP($B39,'PFF-Zones (Combined)'!$B$75:$W$81,18,FALSE)),0,VLOOKUP($B39,'PFF-Zones (Combined)'!$B$75:$W$81,18,FALSE))</f>
        <v>0</v>
      </c>
      <c r="J39" s="591">
        <f>IF(ISNA(VLOOKUP($B39,'PFF-Zones (Combined)'!$B$87:$W$105,18,FALSE)),0,VLOOKUP($B39,'PFF-Zones (Combined)'!$B$87:$W$105,18,FALSE))</f>
        <v>524.75699999999995</v>
      </c>
      <c r="K39" s="591"/>
      <c r="L39" s="591"/>
      <c r="M39" s="591">
        <f>IF(ISNA(VLOOKUP($B39,'PFF-Zones (Combined)'!$B$109:$W$120,18,FALSE)),0,VLOOKUP($B39,'PFF-Zones (Combined)'!$B$109:$W$120,18,FALSE))</f>
        <v>0</v>
      </c>
      <c r="N39" s="608"/>
      <c r="O39" s="602">
        <f>IF(ISNA(VLOOKUP($B39,'PFF-Zones (Combined)'!$B$3:$W$11,21,FALSE)),0,VLOOKUP($B39,'PFF-Zones (Combined)'!$B$3:$W$11,21,FALSE))</f>
        <v>0.25</v>
      </c>
      <c r="P39" s="602">
        <f>IF(ISNA(VLOOKUP($B39,'PFF-Zones (Combined)'!$B$15:$W$31,21,FALSE)),0,VLOOKUP($B39,'PFF-Zones (Combined)'!$B$15:$W$31,21,FALSE))</f>
        <v>0.25</v>
      </c>
      <c r="Q39" s="602">
        <f>IF(ISNA(VLOOKUP($B39,'PFF-Zones (Combined)'!$B$34:$W$47,21,FALSE)),0,VLOOKUP($B39,'PFF-Zones (Combined)'!$B$34:$W$47,21,FALSE))</f>
        <v>0.25</v>
      </c>
      <c r="R39" s="614">
        <f>IF(ISNA(VLOOKUP($B39,'PFF-Zones (Combined)'!$B$50:$W$56,21,FALSE)),0,VLOOKUP($B39,'PFF-Zones (Combined)'!$B$50:$W$56,21,FALSE))</f>
        <v>0</v>
      </c>
      <c r="S39" s="614">
        <f>IF(ISNA(VLOOKUP($B39,'PFF-Zones (Combined)'!$B$61:$W$71,21,FALSE)),0,VLOOKUP($B39,'PFF-Zones (Combined)'!$B$61:$W$71,21,FALSE))</f>
        <v>0</v>
      </c>
      <c r="T39" s="614">
        <f>IF(ISNA(VLOOKUP($B39,'PFF-Zones (Combined)'!$B$75:$W$81,21,FALSE)),0,VLOOKUP($B39,'PFF-Zones (Combined)'!$B$75:$W$81,21,FALSE))</f>
        <v>0</v>
      </c>
      <c r="U39" s="602">
        <f>IF(ISNA(VLOOKUP($B39,'PFF-Zones (Combined)'!$B$87:$W$105,21,FALSE)),0,VLOOKUP($B39,'PFF-Zones (Combined)'!$B$87:$W$105,21,FALSE))</f>
        <v>0.25</v>
      </c>
      <c r="V39" s="614"/>
      <c r="W39" s="614"/>
      <c r="X39" s="614">
        <f>IF(ISNA(VLOOKUP($B39,'PFF-Zones (Combined)'!$B$109:$W$120,21,FALSE)),0,VLOOKUP($B39,'PFF-Zones (Combined)'!$B$109:$W$120,21,FALSE))</f>
        <v>0</v>
      </c>
      <c r="Z39" s="607">
        <f t="shared" si="6"/>
        <v>26.448025000000001</v>
      </c>
      <c r="AA39" s="607">
        <f t="shared" si="7"/>
        <v>6.4553750000000001</v>
      </c>
      <c r="AB39" s="607">
        <f t="shared" si="8"/>
        <v>0.78422499999999995</v>
      </c>
      <c r="AC39" s="607">
        <f t="shared" si="9"/>
        <v>0</v>
      </c>
      <c r="AD39" s="607">
        <f t="shared" si="10"/>
        <v>0</v>
      </c>
      <c r="AE39" s="607">
        <f t="shared" si="11"/>
        <v>0</v>
      </c>
      <c r="AF39" s="607">
        <f t="shared" si="12"/>
        <v>131.18924999999999</v>
      </c>
      <c r="AG39" s="602"/>
      <c r="AH39" s="602"/>
      <c r="AI39" s="607">
        <f t="shared" si="13"/>
        <v>0</v>
      </c>
      <c r="AK39" s="615">
        <f>IF(ISNA(VLOOKUP($B39,'3. EDU Calculation'!$B$10:$E$35,4,FALSE)),0,VLOOKUP($B39,'3. EDU Calculation'!$B$10:$E$35,4,FALSE))</f>
        <v>0.3</v>
      </c>
      <c r="AL39" s="607">
        <f t="shared" si="14"/>
        <v>7.9344074999999998</v>
      </c>
      <c r="AM39" s="607">
        <f t="shared" si="15"/>
        <v>1.9366124999999998</v>
      </c>
      <c r="AN39" s="607">
        <f t="shared" si="16"/>
        <v>0.23526749999999996</v>
      </c>
      <c r="AO39" s="607">
        <f t="shared" si="17"/>
        <v>0</v>
      </c>
      <c r="AP39" s="607">
        <f t="shared" si="18"/>
        <v>0</v>
      </c>
      <c r="AQ39" s="607">
        <f t="shared" si="19"/>
        <v>0</v>
      </c>
      <c r="AR39" s="607">
        <f t="shared" si="20"/>
        <v>39.356774999999992</v>
      </c>
      <c r="AS39" s="607"/>
      <c r="AT39" s="607"/>
      <c r="AU39" s="607">
        <f t="shared" si="21"/>
        <v>0</v>
      </c>
      <c r="AX39" s="749" t="str">
        <f>IF(ISNA(VLOOKUP($B39,'3. EDU Calculation'!$B$10:$I$35,8,FALSE)),0,VLOOKUP($B39,'3. EDU Calculation'!$B$10:$I$35,8,FALSE))</f>
        <v>Dwelling Unit</v>
      </c>
      <c r="AY39" s="749">
        <f>IF(ISNA(VLOOKUP($B39,'3. EDU Calculation'!$B$10:$J$35,9,FALSE)),0,VLOOKUP($B39,'3. EDU Calculation'!$B$10:$J$35,9,FALSE))</f>
        <v>2</v>
      </c>
      <c r="AZ39" s="586">
        <f t="shared" si="22"/>
        <v>52.896050000000002</v>
      </c>
      <c r="BA39" s="586">
        <f t="shared" si="23"/>
        <v>12.91075</v>
      </c>
      <c r="BB39" s="586">
        <f t="shared" si="24"/>
        <v>1.5684499999999999</v>
      </c>
      <c r="BC39" s="586">
        <f t="shared" si="25"/>
        <v>0</v>
      </c>
      <c r="BD39" s="586">
        <f t="shared" si="26"/>
        <v>0</v>
      </c>
      <c r="BE39" s="586">
        <f t="shared" si="27"/>
        <v>0</v>
      </c>
      <c r="BF39" s="586">
        <f t="shared" si="28"/>
        <v>262.37849999999997</v>
      </c>
      <c r="BG39" s="586"/>
      <c r="BH39" s="586"/>
      <c r="BI39" s="586">
        <f t="shared" si="29"/>
        <v>0</v>
      </c>
      <c r="BK39" s="591">
        <f>IF(ISNA(VLOOKUP($B39,'3. EDU Calculation'!$B$10:$M$35,12,FALSE)),0,VLOOKUP($B39,'3. EDU Calculation'!$B$10:$M$35,12,FALSE))</f>
        <v>2.5</v>
      </c>
      <c r="BL39" s="591">
        <f>IF(ISNA(VLOOKUP($B39,'3. EDU Calculation'!$B$10:$M$35,12,FALSE)),0,VLOOKUP($B39,'3. EDU Calculation'!$B$10:$M$35,12,FALSE))</f>
        <v>2.5</v>
      </c>
      <c r="BM39" s="591">
        <f>IF(ISNA(VLOOKUP($B39,'3. EDU Calculation'!$B$10:$M$35,12,FALSE)),0,VLOOKUP($B39,'3. EDU Calculation'!$B$10:$M$35,12,FALSE))</f>
        <v>2.5</v>
      </c>
      <c r="BN39" s="591">
        <f>IF(ISNA(VLOOKUP($B39,'3. EDU Calculation'!$B$10:$M$35,12,FALSE)),0,VLOOKUP($B39,'3. EDU Calculation'!$B$10:$M$35,12,FALSE))</f>
        <v>2.5</v>
      </c>
      <c r="BO39" s="591">
        <f>IF(ISNA(VLOOKUP($B39,'3. EDU Calculation'!$B$10:$M$35,12,FALSE)),0,VLOOKUP($B39,'3. EDU Calculation'!$B$10:$M$35,12,FALSE))</f>
        <v>2.5</v>
      </c>
      <c r="BP39" s="591">
        <f>IF(ISNA(VLOOKUP($B39,'3. EDU Calculation'!$B$10:$M$35,12,FALSE)),0,VLOOKUP($B39,'3. EDU Calculation'!$B$10:$M$35,12,FALSE))</f>
        <v>2.5</v>
      </c>
      <c r="BQ39" s="591">
        <f>IF(ISNA(VLOOKUP($B39,'3. EDU Calculation'!$B$10:$M$35,12,FALSE)),0,VLOOKUP($B39,'3. EDU Calculation'!$B$10:$M$35,12,FALSE))</f>
        <v>2.5</v>
      </c>
      <c r="BR39" s="591"/>
      <c r="BS39" s="591"/>
      <c r="BT39" s="591">
        <f>IF(ISNA(VLOOKUP($B39,'3. EDU Calculation'!$B$10:$M$35,12,FALSE)),0,VLOOKUP($B39,'3. EDU Calculation'!$B$10:$M$35,12,FALSE))</f>
        <v>2.5</v>
      </c>
      <c r="BV39" s="591">
        <f t="shared" si="30"/>
        <v>132.24012500000001</v>
      </c>
      <c r="BW39" s="591">
        <f t="shared" si="31"/>
        <v>32.276875000000004</v>
      </c>
      <c r="BX39" s="591">
        <f t="shared" si="32"/>
        <v>3.921125</v>
      </c>
      <c r="BY39" s="591">
        <f t="shared" si="33"/>
        <v>0</v>
      </c>
      <c r="BZ39" s="591">
        <f t="shared" si="34"/>
        <v>0</v>
      </c>
      <c r="CA39" s="591">
        <f t="shared" si="35"/>
        <v>0</v>
      </c>
      <c r="CB39" s="591">
        <f t="shared" si="36"/>
        <v>655.94624999999996</v>
      </c>
      <c r="CC39" s="591"/>
      <c r="CD39" s="591"/>
      <c r="CE39" s="591">
        <f t="shared" si="37"/>
        <v>0</v>
      </c>
    </row>
    <row r="40" spans="2:83" x14ac:dyDescent="0.2"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608"/>
    </row>
    <row r="41" spans="2:83" x14ac:dyDescent="0.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608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Z41" s="590"/>
      <c r="AA41" s="590"/>
      <c r="AB41" s="590"/>
      <c r="AC41" s="590"/>
      <c r="AD41" s="590"/>
      <c r="AE41" s="590"/>
      <c r="AF41" s="590"/>
      <c r="AG41" s="590"/>
      <c r="AH41" s="590"/>
      <c r="AI41" s="590"/>
      <c r="AL41" s="590"/>
      <c r="AM41" s="590"/>
      <c r="AN41" s="590"/>
      <c r="AO41" s="590"/>
      <c r="AP41" s="590"/>
      <c r="AQ41" s="590"/>
      <c r="AR41" s="590"/>
      <c r="AS41" s="590"/>
      <c r="AT41" s="590"/>
      <c r="AU41" s="590"/>
      <c r="AZ41" s="590"/>
      <c r="BA41" s="590"/>
      <c r="BB41" s="590"/>
      <c r="BC41" s="590"/>
      <c r="BD41" s="590"/>
      <c r="BE41" s="590"/>
      <c r="BF41" s="590"/>
      <c r="BG41" s="590"/>
      <c r="BH41" s="590"/>
      <c r="BI41" s="590"/>
      <c r="BK41" s="590"/>
      <c r="BL41" s="590"/>
      <c r="BM41" s="590"/>
      <c r="BN41" s="590"/>
      <c r="BO41" s="590"/>
      <c r="BP41" s="590"/>
      <c r="BQ41" s="590"/>
      <c r="BR41" s="590"/>
      <c r="BS41" s="590"/>
      <c r="BT41" s="590"/>
      <c r="BV41" s="590"/>
      <c r="BW41" s="590"/>
      <c r="BX41" s="590"/>
      <c r="BY41" s="590"/>
      <c r="BZ41" s="590"/>
      <c r="CA41" s="590"/>
      <c r="CB41" s="590"/>
      <c r="CC41" s="590"/>
      <c r="CD41" s="590"/>
      <c r="CE41" s="590"/>
    </row>
    <row r="42" spans="2:83" x14ac:dyDescent="0.2">
      <c r="N42" s="608"/>
    </row>
    <row r="43" spans="2:83" x14ac:dyDescent="0.2">
      <c r="B43" t="s">
        <v>0</v>
      </c>
      <c r="D43" s="601">
        <f t="shared" ref="D43:M43" si="46">SUM(D14:D41)</f>
        <v>5161.1941999999999</v>
      </c>
      <c r="E43" s="601">
        <f t="shared" si="46"/>
        <v>2187.6359000000002</v>
      </c>
      <c r="F43" s="601">
        <f t="shared" si="46"/>
        <v>1097.5920000000001</v>
      </c>
      <c r="G43" s="601">
        <f t="shared" si="46"/>
        <v>253.02780000000004</v>
      </c>
      <c r="H43" s="601">
        <f t="shared" si="46"/>
        <v>351.22140000000002</v>
      </c>
      <c r="I43" s="601">
        <f t="shared" si="46"/>
        <v>431.279</v>
      </c>
      <c r="J43" s="601">
        <f t="shared" si="46"/>
        <v>5724.6829500000003</v>
      </c>
      <c r="K43" s="601">
        <f t="shared" si="46"/>
        <v>0</v>
      </c>
      <c r="L43" s="601">
        <f t="shared" si="46"/>
        <v>0</v>
      </c>
      <c r="M43" s="601">
        <f t="shared" si="46"/>
        <v>2170.607806</v>
      </c>
      <c r="N43" s="608"/>
      <c r="Z43" s="601">
        <f t="shared" ref="Z43:AI43" si="47">SUM(Z14:Z41)</f>
        <v>2304.4362925</v>
      </c>
      <c r="AA43" s="601">
        <f t="shared" si="47"/>
        <v>644.19047249999994</v>
      </c>
      <c r="AB43" s="601">
        <f t="shared" si="47"/>
        <v>691.88399499999991</v>
      </c>
      <c r="AC43" s="601">
        <f t="shared" si="47"/>
        <v>215.07363000000001</v>
      </c>
      <c r="AD43" s="601">
        <f t="shared" si="47"/>
        <v>298.53818999999999</v>
      </c>
      <c r="AE43" s="601">
        <f t="shared" si="47"/>
        <v>366.58715000000001</v>
      </c>
      <c r="AF43" s="601">
        <f t="shared" si="47"/>
        <v>2673.5710474999996</v>
      </c>
      <c r="AG43" s="601">
        <f t="shared" si="47"/>
        <v>0</v>
      </c>
      <c r="AH43" s="601">
        <f t="shared" si="47"/>
        <v>0</v>
      </c>
      <c r="AI43" s="601">
        <f t="shared" si="47"/>
        <v>1367.7109562000001</v>
      </c>
      <c r="AL43" s="601">
        <f t="shared" ref="AL43:AU43" si="48">SUM(AL14:AL41)</f>
        <v>796.29042675000005</v>
      </c>
      <c r="AM43" s="601">
        <f t="shared" si="48"/>
        <v>185.35510725</v>
      </c>
      <c r="AN43" s="601">
        <f t="shared" si="48"/>
        <v>304.86584875</v>
      </c>
      <c r="AO43" s="601">
        <f t="shared" si="48"/>
        <v>140.95735300000001</v>
      </c>
      <c r="AP43" s="601">
        <f t="shared" si="48"/>
        <v>140.67301950000001</v>
      </c>
      <c r="AQ43" s="601">
        <f t="shared" si="48"/>
        <v>239.51074749999998</v>
      </c>
      <c r="AR43" s="601">
        <f t="shared" si="48"/>
        <v>1050.0678612500001</v>
      </c>
      <c r="AS43" s="601">
        <f t="shared" si="48"/>
        <v>0</v>
      </c>
      <c r="AT43" s="601">
        <f t="shared" si="48"/>
        <v>0</v>
      </c>
      <c r="AU43" s="601">
        <f t="shared" si="48"/>
        <v>461.89244307999991</v>
      </c>
      <c r="AZ43" s="601"/>
      <c r="BA43" s="601"/>
      <c r="BB43" s="601"/>
      <c r="BC43" s="601"/>
      <c r="BD43" s="601"/>
      <c r="BE43" s="601"/>
      <c r="BF43" s="601"/>
      <c r="BG43" s="601"/>
      <c r="BH43" s="601"/>
      <c r="BI43" s="601"/>
      <c r="BK43" s="601"/>
      <c r="BL43" s="601"/>
      <c r="BM43" s="601"/>
      <c r="BN43" s="601"/>
      <c r="BO43" s="601"/>
      <c r="BP43" s="601"/>
      <c r="BQ43" s="601"/>
      <c r="BR43" s="601"/>
      <c r="BS43" s="601"/>
      <c r="BT43" s="601"/>
      <c r="BV43" s="601">
        <f t="shared" ref="BV43:CE43" si="49">SUM(BV14:BV42)</f>
        <v>13271.507112499999</v>
      </c>
      <c r="BW43" s="601">
        <f t="shared" si="49"/>
        <v>3089.2517874999999</v>
      </c>
      <c r="BX43" s="601">
        <f t="shared" si="49"/>
        <v>5081.0974791666667</v>
      </c>
      <c r="BY43" s="601">
        <f t="shared" si="49"/>
        <v>2349.2892166666666</v>
      </c>
      <c r="BZ43" s="601">
        <f t="shared" si="49"/>
        <v>2344.5503249999997</v>
      </c>
      <c r="CA43" s="601">
        <f t="shared" si="49"/>
        <v>3991.8457916666666</v>
      </c>
      <c r="CB43" s="601">
        <f t="shared" si="49"/>
        <v>17501.131020833334</v>
      </c>
      <c r="CC43" s="601">
        <f t="shared" si="49"/>
        <v>0</v>
      </c>
      <c r="CD43" s="601">
        <f t="shared" si="49"/>
        <v>0</v>
      </c>
      <c r="CE43" s="601">
        <f t="shared" si="49"/>
        <v>7698.2073846666663</v>
      </c>
    </row>
    <row r="44" spans="2:83" x14ac:dyDescent="0.2">
      <c r="N44" s="608"/>
      <c r="AL44" s="592">
        <f>AL43/SUM($AL$43:$AU$43)</f>
        <v>0.23987448929335636</v>
      </c>
      <c r="AM44" s="592">
        <f t="shared" ref="AM44:AU44" si="50">AM43/SUM($AL$43:$AU$43)</f>
        <v>5.5836363462232273E-2</v>
      </c>
      <c r="AN44" s="592">
        <f t="shared" si="50"/>
        <v>9.1837773399291805E-2</v>
      </c>
      <c r="AO44" s="592">
        <f t="shared" si="50"/>
        <v>4.2461986138675321E-2</v>
      </c>
      <c r="AP44" s="592">
        <f t="shared" si="50"/>
        <v>4.2376333529011455E-2</v>
      </c>
      <c r="AQ44" s="592">
        <f t="shared" si="50"/>
        <v>7.2150205888221824E-2</v>
      </c>
      <c r="AR44" s="592">
        <f t="shared" si="50"/>
        <v>0.3163223912772109</v>
      </c>
      <c r="AS44" s="592">
        <f t="shared" si="50"/>
        <v>0</v>
      </c>
      <c r="AT44" s="592">
        <f t="shared" si="50"/>
        <v>0</v>
      </c>
      <c r="AU44" s="592">
        <f t="shared" si="50"/>
        <v>0.13914045701200017</v>
      </c>
      <c r="BV44" s="592">
        <f>BV43/SUM($BV$43:$CE$43)</f>
        <v>0.23987448929335628</v>
      </c>
      <c r="BW44" s="592">
        <f t="shared" ref="BW44:CE44" si="51">BW43/SUM($BV$43:$CE$43)</f>
        <v>5.5836363462232252E-2</v>
      </c>
      <c r="BX44" s="592">
        <f t="shared" si="51"/>
        <v>9.1837773399291792E-2</v>
      </c>
      <c r="BY44" s="592">
        <f t="shared" si="51"/>
        <v>4.2461986138675301E-2</v>
      </c>
      <c r="BZ44" s="592">
        <f t="shared" si="51"/>
        <v>4.2376333529011434E-2</v>
      </c>
      <c r="CA44" s="592">
        <f t="shared" si="51"/>
        <v>7.2150205888221811E-2</v>
      </c>
      <c r="CB44" s="592">
        <f t="shared" si="51"/>
        <v>0.31632239127721079</v>
      </c>
      <c r="CC44" s="592">
        <f t="shared" si="51"/>
        <v>0</v>
      </c>
      <c r="CD44" s="592">
        <f t="shared" si="51"/>
        <v>0</v>
      </c>
      <c r="CE44" s="592">
        <f t="shared" si="51"/>
        <v>0.13914045701200015</v>
      </c>
    </row>
    <row r="45" spans="2:83" x14ac:dyDescent="0.2">
      <c r="N45" s="608"/>
      <c r="BV45" s="803">
        <f>AL44</f>
        <v>0.23987448929335636</v>
      </c>
      <c r="BW45" s="803">
        <f t="shared" ref="BW45:CE45" si="52">AM44</f>
        <v>5.5836363462232273E-2</v>
      </c>
      <c r="BX45" s="803">
        <f t="shared" si="52"/>
        <v>9.1837773399291805E-2</v>
      </c>
      <c r="BY45" s="803">
        <f t="shared" si="52"/>
        <v>4.2461986138675321E-2</v>
      </c>
      <c r="BZ45" s="803">
        <f t="shared" si="52"/>
        <v>4.2376333529011455E-2</v>
      </c>
      <c r="CA45" s="803">
        <f t="shared" si="52"/>
        <v>7.2150205888221824E-2</v>
      </c>
      <c r="CB45" s="803">
        <f t="shared" si="52"/>
        <v>0.3163223912772109</v>
      </c>
      <c r="CC45" s="803">
        <f t="shared" si="52"/>
        <v>0</v>
      </c>
      <c r="CD45" s="803">
        <f t="shared" si="52"/>
        <v>0</v>
      </c>
      <c r="CE45" s="803">
        <f t="shared" si="52"/>
        <v>0.13914045701200017</v>
      </c>
    </row>
    <row r="46" spans="2:83" x14ac:dyDescent="0.2">
      <c r="C46" s="744"/>
      <c r="D46" s="744"/>
      <c r="E46" s="744"/>
      <c r="F46" s="744"/>
      <c r="G46" s="744"/>
      <c r="H46" s="744"/>
      <c r="I46" s="744"/>
      <c r="J46" s="744"/>
      <c r="K46" s="744"/>
      <c r="Z46" s="601">
        <f>SUM(Z43:AI43)</f>
        <v>8561.9917337000006</v>
      </c>
      <c r="AL46" s="601">
        <f>SUM(AL43:AU43)</f>
        <v>3319.6128070799996</v>
      </c>
      <c r="BV46" s="804">
        <f>BV44-BV45</f>
        <v>0</v>
      </c>
      <c r="BW46" s="804">
        <f t="shared" ref="BW46:CE46" si="53">BW44-BW45</f>
        <v>0</v>
      </c>
      <c r="BX46" s="804">
        <f t="shared" si="53"/>
        <v>0</v>
      </c>
      <c r="BY46" s="804">
        <f t="shared" si="53"/>
        <v>0</v>
      </c>
      <c r="BZ46" s="804">
        <f t="shared" si="53"/>
        <v>0</v>
      </c>
      <c r="CA46" s="804">
        <f t="shared" si="53"/>
        <v>0</v>
      </c>
      <c r="CB46" s="804">
        <f t="shared" si="53"/>
        <v>0</v>
      </c>
      <c r="CC46" s="804">
        <f t="shared" si="53"/>
        <v>0</v>
      </c>
      <c r="CD46" s="804">
        <f t="shared" si="53"/>
        <v>0</v>
      </c>
      <c r="CE46" s="804">
        <f t="shared" si="53"/>
        <v>0</v>
      </c>
    </row>
    <row r="47" spans="2:83" x14ac:dyDescent="0.2">
      <c r="BV47" s="744" t="s">
        <v>563</v>
      </c>
      <c r="BW47" s="774"/>
      <c r="BX47" s="774"/>
      <c r="BY47" s="774"/>
      <c r="BZ47" s="774"/>
      <c r="CA47" s="774"/>
      <c r="CB47" s="774"/>
      <c r="CC47" s="774"/>
      <c r="CD47" s="774"/>
      <c r="CE47" s="774"/>
    </row>
    <row r="48" spans="2:83" x14ac:dyDescent="0.2">
      <c r="BV48" s="608"/>
      <c r="BW48" s="608"/>
      <c r="BX48" s="608"/>
      <c r="BY48" s="608"/>
      <c r="BZ48" s="608"/>
      <c r="CA48" s="608"/>
      <c r="CB48" s="608"/>
      <c r="CC48" s="608"/>
      <c r="CD48" s="608"/>
      <c r="CE48" s="608"/>
    </row>
    <row r="49" spans="74:83" x14ac:dyDescent="0.2">
      <c r="BV49" s="775"/>
      <c r="BW49" s="775"/>
      <c r="BX49" s="608"/>
      <c r="BY49" s="608"/>
      <c r="BZ49" s="608"/>
      <c r="CA49" s="608"/>
      <c r="CB49" s="608"/>
      <c r="CC49" s="608"/>
      <c r="CD49" s="608"/>
      <c r="CE49" s="608"/>
    </row>
    <row r="50" spans="74:83" x14ac:dyDescent="0.2">
      <c r="BX50" s="608"/>
      <c r="BY50" s="608"/>
      <c r="BZ50" s="608"/>
      <c r="CA50" s="608"/>
      <c r="CB50" s="608"/>
    </row>
    <row r="51" spans="74:83" x14ac:dyDescent="0.2">
      <c r="BX51" s="608"/>
      <c r="BY51" s="608"/>
      <c r="BZ51" s="608"/>
      <c r="CA51" s="608"/>
      <c r="CB51" s="608"/>
    </row>
    <row r="52" spans="74:83" x14ac:dyDescent="0.2">
      <c r="BX52" s="608"/>
      <c r="BY52" s="608"/>
      <c r="BZ52" s="608"/>
      <c r="CA52" s="608"/>
      <c r="CB52" s="608"/>
    </row>
    <row r="53" spans="74:83" x14ac:dyDescent="0.2">
      <c r="BX53" s="608"/>
      <c r="BY53" s="608"/>
      <c r="BZ53" s="608"/>
      <c r="CA53" s="608"/>
      <c r="CB53" s="608"/>
    </row>
    <row r="54" spans="74:83" x14ac:dyDescent="0.2">
      <c r="BX54" s="608"/>
      <c r="BY54" s="608"/>
      <c r="BZ54" s="608"/>
      <c r="CA54" s="608"/>
      <c r="CB54" s="608"/>
    </row>
    <row r="55" spans="74:83" x14ac:dyDescent="0.2">
      <c r="BX55" s="608"/>
      <c r="BY55" s="608"/>
      <c r="BZ55" s="608"/>
      <c r="CA55" s="608"/>
      <c r="CB55" s="608"/>
    </row>
    <row r="56" spans="74:83" x14ac:dyDescent="0.2">
      <c r="BX56" s="608"/>
      <c r="BY56" s="608"/>
      <c r="BZ56" s="608"/>
      <c r="CA56" s="608"/>
      <c r="CB56" s="608"/>
    </row>
    <row r="57" spans="74:83" x14ac:dyDescent="0.2">
      <c r="BX57" s="608"/>
      <c r="BY57" s="608"/>
      <c r="BZ57" s="608"/>
      <c r="CA57" s="608"/>
      <c r="CB57" s="608"/>
    </row>
    <row r="58" spans="74:83" x14ac:dyDescent="0.2">
      <c r="BX58" s="608"/>
      <c r="BY58" s="608"/>
      <c r="BZ58" s="608"/>
      <c r="CA58" s="608"/>
      <c r="CB58" s="608"/>
    </row>
    <row r="59" spans="74:83" x14ac:dyDescent="0.2">
      <c r="BX59" s="608"/>
      <c r="BY59" s="608"/>
      <c r="BZ59" s="608"/>
      <c r="CA59" s="608"/>
      <c r="CB59" s="608"/>
    </row>
    <row r="60" spans="74:83" x14ac:dyDescent="0.2">
      <c r="BX60" s="608"/>
      <c r="BY60" s="608"/>
      <c r="BZ60" s="608"/>
      <c r="CA60" s="608"/>
      <c r="CB60" s="608"/>
    </row>
    <row r="61" spans="74:83" x14ac:dyDescent="0.2">
      <c r="BX61" s="608"/>
      <c r="BY61" s="608"/>
      <c r="BZ61" s="608"/>
      <c r="CA61" s="608"/>
      <c r="CB61" s="608"/>
    </row>
  </sheetData>
  <mergeCells count="19">
    <mergeCell ref="BK12:BT12"/>
    <mergeCell ref="CC1:CE1"/>
    <mergeCell ref="CC2:CE2"/>
    <mergeCell ref="CC3:CE3"/>
    <mergeCell ref="BR1:BT1"/>
    <mergeCell ref="BR2:BT2"/>
    <mergeCell ref="BR3:BT3"/>
    <mergeCell ref="BV12:CE12"/>
    <mergeCell ref="D12:M12"/>
    <mergeCell ref="Z12:AI12"/>
    <mergeCell ref="AZ12:BI12"/>
    <mergeCell ref="AL12:AU12"/>
    <mergeCell ref="AS1:AU1"/>
    <mergeCell ref="AS2:AU2"/>
    <mergeCell ref="AS3:AU3"/>
    <mergeCell ref="V1:X1"/>
    <mergeCell ref="V2:X2"/>
    <mergeCell ref="V3:X3"/>
    <mergeCell ref="O12:X12"/>
  </mergeCells>
  <pageMargins left="0.45" right="0.45" top="0.75" bottom="0.75" header="0.3" footer="0.3"/>
  <pageSetup scale="45" orientation="landscape" r:id="rId1"/>
  <colBreaks count="2" manualBreakCount="2">
    <brk id="35" max="1048575" man="1"/>
    <brk id="7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QD2UCF5UJE4V-699202894-396</_dlc_DocId>
    <_dlc_DocIdUrl xmlns="7184055b-e5ea-4162-8b19-ace5c644b73a">
      <Url>http://intranet2/pw/_layouts/15/DocIdRedir.aspx?ID=QD2UCF5UJE4V-699202894-396</Url>
      <Description>QD2UCF5UJE4V-699202894-396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9E932E-D656-4BC2-8A34-F1EB9DDC28A9}"/>
</file>

<file path=customXml/itemProps2.xml><?xml version="1.0" encoding="utf-8"?>
<ds:datastoreItem xmlns:ds="http://schemas.openxmlformats.org/officeDocument/2006/customXml" ds:itemID="{351B820F-0A30-4BB3-A7A2-AE832FCBECD2}"/>
</file>

<file path=customXml/itemProps3.xml><?xml version="1.0" encoding="utf-8"?>
<ds:datastoreItem xmlns:ds="http://schemas.openxmlformats.org/officeDocument/2006/customXml" ds:itemID="{37BAC3C2-E2F9-432C-829C-F7453FD44043}"/>
</file>

<file path=customXml/itemProps4.xml><?xml version="1.0" encoding="utf-8"?>
<ds:datastoreItem xmlns:ds="http://schemas.openxmlformats.org/officeDocument/2006/customXml" ds:itemID="{07F558D7-AEF5-42B3-982F-632D17672B9F}"/>
</file>

<file path=customXml/itemProps5.xml><?xml version="1.0" encoding="utf-8"?>
<ds:datastoreItem xmlns:ds="http://schemas.openxmlformats.org/officeDocument/2006/customXml" ds:itemID="{0212FC22-478D-4B0E-89A9-4FF5FB46D3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10</vt:i4>
      </vt:variant>
    </vt:vector>
  </HeadingPairs>
  <TitlesOfParts>
    <vt:vector size="33" baseType="lpstr">
      <vt:lpstr>Log</vt:lpstr>
      <vt:lpstr>PFF-Zones (Combined)</vt:lpstr>
      <vt:lpstr>PFF-Zones</vt:lpstr>
      <vt:lpstr>1. Storm Drainage Fee Calc Sum</vt:lpstr>
      <vt:lpstr>2. Fee Per Unit</vt:lpstr>
      <vt:lpstr>3. EDU Calculation</vt:lpstr>
      <vt:lpstr>3a. EDU Calculation Ex wo 85%</vt:lpstr>
      <vt:lpstr>4. Proj Allocations To Zones</vt:lpstr>
      <vt:lpstr>5. Vacant Land + Dev Summary</vt:lpstr>
      <vt:lpstr>Vacant Land Summary</vt:lpstr>
      <vt:lpstr>5M</vt:lpstr>
      <vt:lpstr>5M Old %'s</vt:lpstr>
      <vt:lpstr>6. Finance Assumptions</vt:lpstr>
      <vt:lpstr>7. Beginning Fund Balance</vt:lpstr>
      <vt:lpstr>Future Improve</vt:lpstr>
      <vt:lpstr>North</vt:lpstr>
      <vt:lpstr>South &amp; Levee</vt:lpstr>
      <vt:lpstr>Summary+Austin (Shed D)</vt:lpstr>
      <vt:lpstr>Storm Sheds</vt:lpstr>
      <vt:lpstr>Trails</vt:lpstr>
      <vt:lpstr>Levee &amp; Monitor</vt:lpstr>
      <vt:lpstr>Land Use</vt:lpstr>
      <vt:lpstr>Zone 70</vt:lpstr>
      <vt:lpstr>_FIN_ASSUM_03</vt:lpstr>
      <vt:lpstr>_ISSUANCE_COST</vt:lpstr>
      <vt:lpstr>P_FINANCE_ASSUM</vt:lpstr>
      <vt:lpstr>'Zone 70'!Print_Area</vt:lpstr>
      <vt:lpstr>'5. Vacant Land + Dev Summary'!Print_Titles</vt:lpstr>
      <vt:lpstr>'PFF-Zones'!Print_Titles</vt:lpstr>
      <vt:lpstr>'PFF-Zones (Combined)'!Print_Titles</vt:lpstr>
      <vt:lpstr>'Summary+Austin (Shed D)'!Print_Titles</vt:lpstr>
      <vt:lpstr>'Vacant Land Summary'!Print_Titles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Koosun Kim, PE, QSD</dc:creator>
  <cp:lastModifiedBy>grich6769</cp:lastModifiedBy>
  <cp:lastPrinted>2012-12-05T19:08:42Z</cp:lastPrinted>
  <dcterms:created xsi:type="dcterms:W3CDTF">2007-09-04T17:19:10Z</dcterms:created>
  <dcterms:modified xsi:type="dcterms:W3CDTF">2013-01-16T01:12:45Z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96b8175c-e07e-4a80-99f1-47d84de4b730</vt:lpwstr>
  </property>
  <property fmtid="{D5CDD505-2E9C-101B-9397-08002B2CF9AE}" pid="4" name="Order">
    <vt:r8>16600</vt:r8>
  </property>
  <property fmtid="{D5CDD505-2E9C-101B-9397-08002B2CF9AE}" pid="5" name="TemplateUrl">
    <vt:lpwstr/>
  </property>
  <property fmtid="{D5CDD505-2E9C-101B-9397-08002B2CF9AE}" pid="6" name="_dlc_DocId">
    <vt:lpwstr>DS6S4WKU732Q-3-166</vt:lpwstr>
  </property>
  <property fmtid="{D5CDD505-2E9C-101B-9397-08002B2CF9AE}" pid="7" name="_dlc_DocIdUrl">
    <vt:lpwstr>http://intranet:12013/_layouts/DocIdRedir.aspx?ID=DS6S4WKU732Q-3-166, DS6S4WKU732Q-3-166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