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" yWindow="60" windowWidth="17112" windowHeight="9660" tabRatio="853" firstSheet="2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32" i="20" l="1"/>
  <c r="X38" i="17" l="1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36" i="21"/>
  <c r="AN36" i="21" s="1"/>
  <c r="AH35" i="21"/>
  <c r="AN35" i="21" s="1"/>
  <c r="AH37" i="21"/>
  <c r="AH34" i="21"/>
  <c r="AH33" i="21"/>
  <c r="AH32" i="21"/>
  <c r="AH31" i="21"/>
  <c r="AH23" i="21"/>
  <c r="AH22" i="21"/>
  <c r="AN22" i="21" s="1"/>
  <c r="AH21" i="21"/>
  <c r="AN21" i="21" s="1"/>
  <c r="AH20" i="21"/>
  <c r="AN20" i="21" s="1"/>
  <c r="AH17" i="21"/>
  <c r="AH18" i="21"/>
  <c r="AH19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V30" i="21"/>
  <c r="AV29" i="21"/>
  <c r="AV28" i="21"/>
  <c r="AV27" i="21"/>
  <c r="AV26" i="21"/>
  <c r="AV25" i="21"/>
  <c r="AV24" i="21"/>
  <c r="AV23" i="21"/>
  <c r="AV22" i="21"/>
  <c r="AV21" i="21"/>
  <c r="BL21" i="21" s="1"/>
  <c r="AV20" i="21"/>
  <c r="AV19" i="21"/>
  <c r="AV18" i="21"/>
  <c r="AV17" i="21"/>
  <c r="AV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L20" i="21"/>
  <c r="BM20" i="21"/>
  <c r="BI21" i="21"/>
  <c r="BK21" i="21"/>
  <c r="BM21" i="21"/>
  <c r="BH22" i="21"/>
  <c r="BI22" i="21"/>
  <c r="BK22" i="21"/>
  <c r="BL22" i="21"/>
  <c r="BM22" i="21"/>
  <c r="BM46" i="21"/>
  <c r="BL46" i="21"/>
  <c r="BN21" i="21"/>
  <c r="AX30" i="21"/>
  <c r="AX29" i="21"/>
  <c r="AX28" i="21"/>
  <c r="AX27" i="21"/>
  <c r="AX26" i="21"/>
  <c r="AX25" i="21"/>
  <c r="AX24" i="21"/>
  <c r="AX23" i="21"/>
  <c r="AX22" i="21"/>
  <c r="AX21" i="21"/>
  <c r="AX20" i="21"/>
  <c r="AX19" i="21"/>
  <c r="AX18" i="21"/>
  <c r="AX17" i="21"/>
  <c r="AX1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AI20" i="21" l="1"/>
  <c r="AK20" i="21"/>
  <c r="AM20" i="21"/>
  <c r="AI21" i="21"/>
  <c r="AK21" i="21"/>
  <c r="AM21" i="21"/>
  <c r="AI22" i="21"/>
  <c r="AK22" i="21"/>
  <c r="AM22" i="21"/>
  <c r="AI35" i="21"/>
  <c r="AK35" i="21"/>
  <c r="AM35" i="21"/>
  <c r="AI36" i="21"/>
  <c r="AK36" i="21"/>
  <c r="AM36" i="21"/>
  <c r="AJ20" i="21"/>
  <c r="AL20" i="21"/>
  <c r="AJ21" i="21"/>
  <c r="AL21" i="21"/>
  <c r="AJ22" i="21"/>
  <c r="AL22" i="21"/>
  <c r="AJ35" i="21"/>
  <c r="AL35" i="21"/>
  <c r="AJ36" i="21"/>
  <c r="AL36" i="21"/>
  <c r="BI18" i="21"/>
  <c r="BK18" i="21"/>
  <c r="BM18" i="21"/>
  <c r="BH18" i="21"/>
  <c r="BM16" i="21"/>
  <c r="BK16" i="21"/>
  <c r="BI16" i="21"/>
  <c r="BL30" i="21"/>
  <c r="BH30" i="21"/>
  <c r="BL29" i="21"/>
  <c r="BH29" i="21"/>
  <c r="BL28" i="21"/>
  <c r="BH28" i="21"/>
  <c r="BL27" i="21"/>
  <c r="BH27" i="21"/>
  <c r="BL26" i="21"/>
  <c r="BH26" i="21"/>
  <c r="BL25" i="21"/>
  <c r="BH25" i="21"/>
  <c r="BL24" i="21"/>
  <c r="BH24" i="21"/>
  <c r="BL23" i="21"/>
  <c r="BH23" i="21"/>
  <c r="BL19" i="21"/>
  <c r="BL18" i="21"/>
  <c r="BI17" i="21"/>
  <c r="BK17" i="21"/>
  <c r="BM17" i="21"/>
  <c r="BH17" i="21"/>
  <c r="BL17" i="21"/>
  <c r="BL16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BN30" i="21"/>
  <c r="BN28" i="21"/>
  <c r="BN26" i="21"/>
  <c r="BN22" i="21"/>
  <c r="BN20" i="21"/>
  <c r="BN18" i="21"/>
  <c r="BN16" i="21"/>
  <c r="BN23" i="21" l="1"/>
  <c r="BN24" i="21"/>
  <c r="BN25" i="21"/>
  <c r="BN27" i="21"/>
  <c r="BN29" i="21"/>
  <c r="BN19" i="21"/>
  <c r="BN17" i="21"/>
  <c r="AA106" i="15" l="1"/>
  <c r="AB106" i="15"/>
  <c r="Z106" i="15"/>
  <c r="D15" i="28" l="1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14" i="28"/>
  <c r="D43" i="28"/>
  <c r="Z25" i="17" l="1"/>
  <c r="AA25" i="17"/>
  <c r="AB25" i="17"/>
  <c r="AC25" i="17"/>
  <c r="AD25" i="17"/>
  <c r="AE25" i="17"/>
  <c r="AF25" i="17"/>
  <c r="AI25" i="17"/>
  <c r="Z26" i="17"/>
  <c r="AA26" i="17"/>
  <c r="AB26" i="17"/>
  <c r="AC26" i="17"/>
  <c r="AD26" i="17"/>
  <c r="AE26" i="17"/>
  <c r="AF26" i="17"/>
  <c r="AI26" i="17"/>
  <c r="Z27" i="17"/>
  <c r="AA27" i="17"/>
  <c r="AB27" i="17"/>
  <c r="AC27" i="17"/>
  <c r="AD27" i="17"/>
  <c r="AE27" i="17"/>
  <c r="AF27" i="17"/>
  <c r="AI27" i="17"/>
  <c r="Z36" i="17"/>
  <c r="AS35" i="21" s="1"/>
  <c r="AA36" i="17"/>
  <c r="AB36" i="17"/>
  <c r="AC36" i="17"/>
  <c r="AD36" i="17"/>
  <c r="AE36" i="17"/>
  <c r="AF36" i="17"/>
  <c r="AV35" i="21" s="1"/>
  <c r="BL35" i="21" s="1"/>
  <c r="AI36" i="17"/>
  <c r="AW35" i="21" s="1"/>
  <c r="BM35" i="21" s="1"/>
  <c r="Z37" i="17"/>
  <c r="AS36" i="21" s="1"/>
  <c r="AA37" i="17"/>
  <c r="AB37" i="17"/>
  <c r="AC37" i="17"/>
  <c r="AD37" i="17"/>
  <c r="AE37" i="17"/>
  <c r="AF37" i="17"/>
  <c r="AV36" i="21" s="1"/>
  <c r="BL36" i="21" s="1"/>
  <c r="AI37" i="17"/>
  <c r="AW36" i="21" s="1"/>
  <c r="BM36" i="21" s="1"/>
  <c r="AZ25" i="17"/>
  <c r="BA25" i="17"/>
  <c r="BB25" i="17"/>
  <c r="BC25" i="17"/>
  <c r="BD25" i="17"/>
  <c r="BE25" i="17"/>
  <c r="BF25" i="17"/>
  <c r="BI25" i="17"/>
  <c r="AZ26" i="17"/>
  <c r="BA26" i="17"/>
  <c r="BB26" i="17"/>
  <c r="BC26" i="17"/>
  <c r="BD26" i="17"/>
  <c r="BE26" i="17"/>
  <c r="BF26" i="17"/>
  <c r="BI26" i="17"/>
  <c r="AZ27" i="17"/>
  <c r="BA27" i="17"/>
  <c r="BB27" i="17"/>
  <c r="BC27" i="17"/>
  <c r="BD27" i="17"/>
  <c r="BE27" i="17"/>
  <c r="BF27" i="17"/>
  <c r="BI27" i="17"/>
  <c r="AZ36" i="17"/>
  <c r="BA36" i="17"/>
  <c r="BB36" i="17"/>
  <c r="BC36" i="17"/>
  <c r="BD36" i="17"/>
  <c r="BE36" i="17"/>
  <c r="BF36" i="17"/>
  <c r="BI36" i="17"/>
  <c r="AZ37" i="17"/>
  <c r="BA37" i="17"/>
  <c r="BB37" i="17"/>
  <c r="BC37" i="17"/>
  <c r="BD37" i="17"/>
  <c r="BE37" i="17"/>
  <c r="BF37" i="17"/>
  <c r="BI37" i="17"/>
  <c r="K141" i="27"/>
  <c r="E141" i="27"/>
  <c r="F141" i="27"/>
  <c r="G141" i="27"/>
  <c r="H141" i="27"/>
  <c r="I141" i="27"/>
  <c r="J141" i="27"/>
  <c r="D141" i="27"/>
  <c r="AU36" i="21" l="1"/>
  <c r="BK36" i="21" s="1"/>
  <c r="AU35" i="21"/>
  <c r="BK35" i="21" s="1"/>
  <c r="AT36" i="21"/>
  <c r="BI36" i="21" s="1"/>
  <c r="AT35" i="21"/>
  <c r="BI35" i="21" s="1"/>
  <c r="BH36" i="21"/>
  <c r="BN36" i="21" s="1"/>
  <c r="BH35" i="21"/>
  <c r="BN35" i="21" s="1"/>
  <c r="AX35" i="21"/>
  <c r="K140" i="27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K106" i="26"/>
  <c r="G260" i="27"/>
  <c r="J255" i="27"/>
  <c r="F241" i="27"/>
  <c r="C137" i="27"/>
  <c r="I137" i="27" s="1"/>
  <c r="D136" i="27"/>
  <c r="C136" i="27"/>
  <c r="C135" i="27"/>
  <c r="I135" i="27" s="1"/>
  <c r="D134" i="27"/>
  <c r="C134" i="27"/>
  <c r="C133" i="27"/>
  <c r="I133" i="27" s="1"/>
  <c r="D132" i="27"/>
  <c r="C132" i="27"/>
  <c r="C131" i="27"/>
  <c r="I131" i="27" s="1"/>
  <c r="D130" i="27"/>
  <c r="C130" i="27"/>
  <c r="C129" i="27"/>
  <c r="I129" i="27" s="1"/>
  <c r="D128" i="27"/>
  <c r="C128" i="27"/>
  <c r="C127" i="27"/>
  <c r="I127" i="27" s="1"/>
  <c r="D126" i="27"/>
  <c r="C126" i="27"/>
  <c r="C125" i="27"/>
  <c r="I125" i="27" s="1"/>
  <c r="D124" i="27"/>
  <c r="C124" i="27"/>
  <c r="C123" i="27"/>
  <c r="I123" i="27" s="1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J32" i="26"/>
  <c r="I32" i="26"/>
  <c r="H32" i="26"/>
  <c r="G32" i="26"/>
  <c r="E32" i="26"/>
  <c r="D32" i="26"/>
  <c r="L31" i="26"/>
  <c r="K31" i="26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J28" i="26"/>
  <c r="I28" i="26"/>
  <c r="H28" i="26"/>
  <c r="G28" i="26"/>
  <c r="E28" i="26"/>
  <c r="D28" i="26"/>
  <c r="L27" i="26"/>
  <c r="K27" i="26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J24" i="26"/>
  <c r="I24" i="26"/>
  <c r="H24" i="26"/>
  <c r="G24" i="26"/>
  <c r="E24" i="26"/>
  <c r="D24" i="26"/>
  <c r="L23" i="26"/>
  <c r="K23" i="26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J20" i="26"/>
  <c r="I20" i="26"/>
  <c r="H20" i="26"/>
  <c r="G20" i="26"/>
  <c r="E20" i="26"/>
  <c r="D20" i="26"/>
  <c r="L19" i="26"/>
  <c r="K19" i="26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J16" i="26"/>
  <c r="I16" i="26"/>
  <c r="H16" i="26"/>
  <c r="G16" i="26"/>
  <c r="E16" i="26"/>
  <c r="D16" i="26"/>
  <c r="L15" i="26"/>
  <c r="K15" i="26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J12" i="26"/>
  <c r="I12" i="26"/>
  <c r="H12" i="26"/>
  <c r="G12" i="26"/>
  <c r="E12" i="26"/>
  <c r="D12" i="26"/>
  <c r="L11" i="26"/>
  <c r="K11" i="26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I102" i="26"/>
  <c r="I136" i="26" s="1"/>
  <c r="H102" i="26"/>
  <c r="H269" i="26" s="1"/>
  <c r="G102" i="26"/>
  <c r="G269" i="26" s="1"/>
  <c r="E102" i="26"/>
  <c r="D102" i="26"/>
  <c r="D269" i="26" s="1"/>
  <c r="J101" i="26"/>
  <c r="J268" i="26" s="1"/>
  <c r="I101" i="26"/>
  <c r="I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I98" i="26"/>
  <c r="I265" i="26" s="1"/>
  <c r="H98" i="26"/>
  <c r="H265" i="26" s="1"/>
  <c r="G98" i="26"/>
  <c r="G265" i="26" s="1"/>
  <c r="E98" i="26"/>
  <c r="D98" i="26"/>
  <c r="D132" i="26" s="1"/>
  <c r="J97" i="26"/>
  <c r="J131" i="26" s="1"/>
  <c r="I97" i="26"/>
  <c r="I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I94" i="26"/>
  <c r="I128" i="26" s="1"/>
  <c r="H94" i="26"/>
  <c r="H261" i="26" s="1"/>
  <c r="G94" i="26"/>
  <c r="G261" i="26" s="1"/>
  <c r="E94" i="26"/>
  <c r="D94" i="26"/>
  <c r="D261" i="26" s="1"/>
  <c r="J93" i="26"/>
  <c r="J260" i="26" s="1"/>
  <c r="I93" i="26"/>
  <c r="I127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I90" i="26"/>
  <c r="I124" i="26" s="1"/>
  <c r="H90" i="26"/>
  <c r="H124" i="26" s="1"/>
  <c r="G90" i="26"/>
  <c r="G124" i="26" s="1"/>
  <c r="E90" i="26"/>
  <c r="D90" i="26"/>
  <c r="D124" i="26" s="1"/>
  <c r="J89" i="26"/>
  <c r="J123" i="26" s="1"/>
  <c r="I89" i="26"/>
  <c r="I256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I86" i="26"/>
  <c r="I120" i="26" s="1"/>
  <c r="H86" i="26"/>
  <c r="H120" i="26" s="1"/>
  <c r="G86" i="26"/>
  <c r="G120" i="26" s="1"/>
  <c r="E86" i="26"/>
  <c r="D86" i="26"/>
  <c r="D120" i="26" s="1"/>
  <c r="J85" i="26"/>
  <c r="J119" i="26" s="1"/>
  <c r="I85" i="26"/>
  <c r="I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I82" i="26"/>
  <c r="I116" i="26" s="1"/>
  <c r="H82" i="26"/>
  <c r="H116" i="26" s="1"/>
  <c r="G82" i="26"/>
  <c r="G116" i="26" s="1"/>
  <c r="E82" i="26"/>
  <c r="D82" i="26"/>
  <c r="D249" i="26" s="1"/>
  <c r="J81" i="26"/>
  <c r="J115" i="26" s="1"/>
  <c r="I81" i="26"/>
  <c r="I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I78" i="26"/>
  <c r="I112" i="26" s="1"/>
  <c r="H78" i="26"/>
  <c r="H245" i="26" s="1"/>
  <c r="G78" i="26"/>
  <c r="G245" i="26" s="1"/>
  <c r="E78" i="26"/>
  <c r="D78" i="26"/>
  <c r="D112" i="26" s="1"/>
  <c r="L36" i="26"/>
  <c r="K36" i="26"/>
  <c r="J36" i="26"/>
  <c r="I36" i="26"/>
  <c r="H36" i="26"/>
  <c r="G36" i="26"/>
  <c r="E36" i="26"/>
  <c r="D38" i="26" s="1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AX36" i="21" l="1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53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H159" i="27" l="1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I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E172" i="27" l="1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BF14" i="17" s="1"/>
  <c r="CB14" i="17" s="1"/>
  <c r="X14" i="17"/>
  <c r="AI14" i="17" s="1"/>
  <c r="BI14" i="17" s="1"/>
  <c r="CE14" i="17" s="1"/>
  <c r="AC14" i="17"/>
  <c r="BC14" i="17" s="1"/>
  <c r="BY14" i="17" s="1"/>
  <c r="AC19" i="19" l="1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C37" i="19" l="1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8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8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93" i="16"/>
  <c r="D83" i="16"/>
  <c r="B139" i="9"/>
  <c r="B140" i="9"/>
  <c r="F104" i="16"/>
  <c r="F110" i="16"/>
  <c r="R90" i="9"/>
  <c r="P86" i="9"/>
  <c r="E35" i="25" l="1"/>
  <c r="K34" i="25"/>
  <c r="F34" i="25"/>
  <c r="L33" i="25"/>
  <c r="N33" i="25" s="1"/>
  <c r="O33" i="25"/>
  <c r="F34" i="19"/>
  <c r="L33" i="19"/>
  <c r="P33" i="19" s="1"/>
  <c r="G33" i="19"/>
  <c r="D100" i="16"/>
  <c r="D119" i="16" s="1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M15" i="17"/>
  <c r="J16" i="17"/>
  <c r="M16" i="17"/>
  <c r="J17" i="17"/>
  <c r="M17" i="17"/>
  <c r="J18" i="17"/>
  <c r="M18" i="17"/>
  <c r="J19" i="17"/>
  <c r="M19" i="17"/>
  <c r="J20" i="17"/>
  <c r="M20" i="17"/>
  <c r="J21" i="17"/>
  <c r="M21" i="17"/>
  <c r="J22" i="17"/>
  <c r="M22" i="17"/>
  <c r="J23" i="17"/>
  <c r="M23" i="17"/>
  <c r="J24" i="17"/>
  <c r="M24" i="17"/>
  <c r="J25" i="17"/>
  <c r="M25" i="17"/>
  <c r="J26" i="17"/>
  <c r="M26" i="17"/>
  <c r="J27" i="17"/>
  <c r="M27" i="17"/>
  <c r="J28" i="17"/>
  <c r="M28" i="17"/>
  <c r="J29" i="17"/>
  <c r="M29" i="17"/>
  <c r="J30" i="17"/>
  <c r="M30" i="17"/>
  <c r="J31" i="17"/>
  <c r="M31" i="17"/>
  <c r="J32" i="17"/>
  <c r="M32" i="17"/>
  <c r="J33" i="17"/>
  <c r="M33" i="17"/>
  <c r="J34" i="17"/>
  <c r="M34" i="17"/>
  <c r="J35" i="17"/>
  <c r="M35" i="17"/>
  <c r="J36" i="17"/>
  <c r="M36" i="17"/>
  <c r="J37" i="17"/>
  <c r="M37" i="17"/>
  <c r="J38" i="17"/>
  <c r="M38" i="17"/>
  <c r="J39" i="17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D37" i="19" l="1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BF39" i="17" s="1"/>
  <c r="CB39" i="17" s="1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CB37" i="17"/>
  <c r="BZ37" i="17"/>
  <c r="BX37" i="17"/>
  <c r="BV37" i="17"/>
  <c r="CB36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CB27" i="17"/>
  <c r="BZ27" i="17"/>
  <c r="BX27" i="17"/>
  <c r="BV27" i="17"/>
  <c r="CB26" i="17"/>
  <c r="BZ26" i="17"/>
  <c r="BX26" i="17"/>
  <c r="BV26" i="17"/>
  <c r="CB25" i="17"/>
  <c r="BZ25" i="17"/>
  <c r="BX25" i="17"/>
  <c r="BV25" i="17"/>
  <c r="AF24" i="17"/>
  <c r="BF24" i="17" s="1"/>
  <c r="CB24" i="17" s="1"/>
  <c r="AD24" i="17"/>
  <c r="BD24" i="17" s="1"/>
  <c r="BZ24" i="17" s="1"/>
  <c r="AB24" i="17"/>
  <c r="BB24" i="17" s="1"/>
  <c r="BX24" i="17" s="1"/>
  <c r="Z24" i="17"/>
  <c r="AZ24" i="17" s="1"/>
  <c r="BV24" i="17" s="1"/>
  <c r="AF23" i="17"/>
  <c r="BF23" i="17" s="1"/>
  <c r="CB23" i="17" s="1"/>
  <c r="AD23" i="17"/>
  <c r="BD23" i="17" s="1"/>
  <c r="BZ23" i="17" s="1"/>
  <c r="AB23" i="17"/>
  <c r="BB23" i="17" s="1"/>
  <c r="BX23" i="17" s="1"/>
  <c r="Z23" i="17"/>
  <c r="AZ23" i="17" s="1"/>
  <c r="BV23" i="17" s="1"/>
  <c r="AF22" i="17"/>
  <c r="BF22" i="17" s="1"/>
  <c r="CB22" i="17" s="1"/>
  <c r="AD22" i="17"/>
  <c r="BD22" i="17" s="1"/>
  <c r="BZ22" i="17" s="1"/>
  <c r="AB22" i="17"/>
  <c r="BB22" i="17" s="1"/>
  <c r="BX22" i="17" s="1"/>
  <c r="Z22" i="17"/>
  <c r="AZ22" i="17" s="1"/>
  <c r="BV22" i="17" s="1"/>
  <c r="AF21" i="17"/>
  <c r="BF21" i="17" s="1"/>
  <c r="CB21" i="17" s="1"/>
  <c r="AD21" i="17"/>
  <c r="BD21" i="17" s="1"/>
  <c r="BZ21" i="17" s="1"/>
  <c r="AB21" i="17"/>
  <c r="BB21" i="17" s="1"/>
  <c r="BX21" i="17" s="1"/>
  <c r="Z21" i="17"/>
  <c r="AZ21" i="17" s="1"/>
  <c r="BV21" i="17" s="1"/>
  <c r="AF20" i="17"/>
  <c r="BF20" i="17" s="1"/>
  <c r="CB20" i="17" s="1"/>
  <c r="AD20" i="17"/>
  <c r="BD20" i="17" s="1"/>
  <c r="BZ20" i="17" s="1"/>
  <c r="AB20" i="17"/>
  <c r="BB20" i="17" s="1"/>
  <c r="BX20" i="17" s="1"/>
  <c r="Z20" i="17"/>
  <c r="AZ20" i="17" s="1"/>
  <c r="BV20" i="17" s="1"/>
  <c r="AF19" i="17"/>
  <c r="BF19" i="17" s="1"/>
  <c r="CB19" i="17" s="1"/>
  <c r="AD19" i="17"/>
  <c r="BD19" i="17" s="1"/>
  <c r="BZ19" i="17" s="1"/>
  <c r="AB19" i="17"/>
  <c r="BB19" i="17" s="1"/>
  <c r="BX19" i="17" s="1"/>
  <c r="Z19" i="17"/>
  <c r="AZ19" i="17" s="1"/>
  <c r="BV19" i="17" s="1"/>
  <c r="AF18" i="17"/>
  <c r="BF18" i="17" s="1"/>
  <c r="CB18" i="17" s="1"/>
  <c r="AD18" i="17"/>
  <c r="BD18" i="17" s="1"/>
  <c r="BZ18" i="17" s="1"/>
  <c r="AB18" i="17"/>
  <c r="BB18" i="17" s="1"/>
  <c r="BX18" i="17" s="1"/>
  <c r="Z18" i="17"/>
  <c r="AZ18" i="17" s="1"/>
  <c r="BV18" i="17" s="1"/>
  <c r="AF17" i="17"/>
  <c r="BF17" i="17" s="1"/>
  <c r="CB17" i="17" s="1"/>
  <c r="AD17" i="17"/>
  <c r="BD17" i="17" s="1"/>
  <c r="BZ17" i="17" s="1"/>
  <c r="AB17" i="17"/>
  <c r="BB17" i="17" s="1"/>
  <c r="BX17" i="17" s="1"/>
  <c r="Z17" i="17"/>
  <c r="AZ17" i="17" s="1"/>
  <c r="BV17" i="17" s="1"/>
  <c r="AF16" i="17"/>
  <c r="BF16" i="17" s="1"/>
  <c r="CB16" i="17" s="1"/>
  <c r="AD16" i="17"/>
  <c r="BD16" i="17" s="1"/>
  <c r="BZ16" i="17" s="1"/>
  <c r="AB16" i="17"/>
  <c r="BB16" i="17" s="1"/>
  <c r="BX16" i="17" s="1"/>
  <c r="Z16" i="17"/>
  <c r="AZ16" i="17" s="1"/>
  <c r="BV16" i="17" s="1"/>
  <c r="AF15" i="17"/>
  <c r="BF15" i="17" s="1"/>
  <c r="CB15" i="17" s="1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F93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4" i="5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F14" i="5"/>
  <c r="C19" i="8" s="1"/>
  <c r="D19" i="8" s="1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BC29" i="17" l="1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C43" i="20" l="1"/>
  <c r="AX32" i="21"/>
  <c r="BH32" i="21"/>
  <c r="BN32" i="21" s="1"/>
  <c r="BI31" i="21"/>
  <c r="BI44" i="21" s="1"/>
  <c r="AT44" i="21"/>
  <c r="AT48" i="21" s="1"/>
  <c r="BL31" i="21"/>
  <c r="BL44" i="21" s="1"/>
  <c r="BL48" i="21" s="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AX44" i="21" l="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G18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33" i="20" l="1"/>
  <c r="C130" i="9"/>
  <c r="B138" i="9"/>
  <c r="G27" i="20"/>
  <c r="G42" i="16"/>
  <c r="M42" i="16"/>
  <c r="M71" i="16" s="1"/>
  <c r="I42" i="16"/>
  <c r="I71" i="16" s="1"/>
  <c r="I78" i="16" s="1"/>
  <c r="I100" i="16" s="1"/>
  <c r="I119" i="16" s="1"/>
  <c r="D16" i="20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C15" i="20" l="1"/>
  <c r="C16" i="20" s="1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D27" i="20"/>
  <c r="D28" i="20" s="1"/>
  <c r="D29" i="20" s="1"/>
  <c r="M119" i="16"/>
  <c r="F15" i="20" s="1"/>
  <c r="F16" i="20" s="1"/>
  <c r="J78" i="16"/>
  <c r="J100" i="16" s="1"/>
  <c r="J119" i="16" s="1"/>
  <c r="E15" i="20" s="1"/>
  <c r="E16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C33" i="20" l="1"/>
  <c r="C27" i="20"/>
  <c r="C28" i="20" s="1"/>
  <c r="C29" i="20" s="1"/>
  <c r="F18" i="20"/>
  <c r="F23" i="20" s="1"/>
  <c r="E18" i="20"/>
  <c r="E23" i="20" s="1"/>
  <c r="B16" i="20"/>
  <c r="B18" i="20" s="1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E33" i="20" l="1"/>
  <c r="F33" i="20"/>
  <c r="F27" i="20"/>
  <c r="E27" i="20"/>
  <c r="F28" i="20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I41" i="20" s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9" i="20" s="1"/>
  <c r="Z13" i="21" s="1"/>
  <c r="Z40" i="21" l="1"/>
  <c r="AI40" i="21" s="1"/>
  <c r="Z38" i="21"/>
  <c r="AI38" i="21" s="1"/>
  <c r="Z36" i="21"/>
  <c r="Z34" i="21"/>
  <c r="AI34" i="21" s="1"/>
  <c r="Z32" i="21"/>
  <c r="AI32" i="21" s="1"/>
  <c r="Z30" i="21"/>
  <c r="AI30" i="21" s="1"/>
  <c r="Z28" i="21"/>
  <c r="AI28" i="21" s="1"/>
  <c r="Z26" i="21"/>
  <c r="AI26" i="21" s="1"/>
  <c r="Z24" i="21"/>
  <c r="AI24" i="21" s="1"/>
  <c r="Z22" i="21"/>
  <c r="Z20" i="21"/>
  <c r="Z18" i="21"/>
  <c r="AI18" i="21" s="1"/>
  <c r="Z16" i="21"/>
  <c r="AI16" i="21" s="1"/>
  <c r="Z41" i="21"/>
  <c r="AI41" i="21" s="1"/>
  <c r="Z39" i="21"/>
  <c r="AI39" i="21" s="1"/>
  <c r="Z37" i="21"/>
  <c r="AI37" i="21" s="1"/>
  <c r="Z35" i="21"/>
  <c r="Z33" i="21"/>
  <c r="AI33" i="21" s="1"/>
  <c r="Z31" i="21"/>
  <c r="AI31" i="21" s="1"/>
  <c r="Z29" i="21"/>
  <c r="AI29" i="21" s="1"/>
  <c r="Z27" i="21"/>
  <c r="AI27" i="21" s="1"/>
  <c r="Z25" i="21"/>
  <c r="AI25" i="21" s="1"/>
  <c r="Z23" i="21"/>
  <c r="AI23" i="21" s="1"/>
  <c r="Z21" i="21"/>
  <c r="Z19" i="21"/>
  <c r="AI19" i="21" s="1"/>
  <c r="Z17" i="21"/>
  <c r="AI17" i="21" s="1"/>
  <c r="B45" i="20"/>
  <c r="G13" i="21" s="1"/>
  <c r="D174" i="27"/>
  <c r="D174" i="26"/>
  <c r="B32" i="22"/>
  <c r="B36" i="22" s="1"/>
  <c r="I29" i="20"/>
  <c r="B79" i="22"/>
  <c r="C78" i="22" s="1"/>
  <c r="G34" i="20"/>
  <c r="G41" i="20" s="1"/>
  <c r="G49" i="20" s="1"/>
  <c r="AE13" i="21" s="1"/>
  <c r="D34" i="20"/>
  <c r="D41" i="20" s="1"/>
  <c r="D49" i="20" s="1"/>
  <c r="AB13" i="21" s="1"/>
  <c r="F34" i="20"/>
  <c r="F41" i="20" s="1"/>
  <c r="F49" i="20" s="1"/>
  <c r="AD13" i="21" s="1"/>
  <c r="H34" i="20"/>
  <c r="C34" i="20"/>
  <c r="C41" i="20" s="1"/>
  <c r="C49" i="20" s="1"/>
  <c r="AA13" i="21" s="1"/>
  <c r="E34" i="20"/>
  <c r="E41" i="20" s="1"/>
  <c r="E49" i="20" s="1"/>
  <c r="AC13" i="21" s="1"/>
  <c r="AZ19" i="21" l="1"/>
  <c r="AZ23" i="21"/>
  <c r="AZ27" i="21"/>
  <c r="AZ31" i="21"/>
  <c r="AZ35" i="21"/>
  <c r="AZ39" i="21"/>
  <c r="AZ16" i="21"/>
  <c r="AZ20" i="21"/>
  <c r="AZ24" i="21"/>
  <c r="AZ28" i="21"/>
  <c r="AZ32" i="21"/>
  <c r="AZ36" i="21"/>
  <c r="AZ40" i="21"/>
  <c r="AZ17" i="21"/>
  <c r="AZ21" i="21"/>
  <c r="AZ25" i="21"/>
  <c r="AZ29" i="21"/>
  <c r="AZ33" i="21"/>
  <c r="AZ37" i="21"/>
  <c r="AZ41" i="21"/>
  <c r="AZ18" i="21"/>
  <c r="AZ22" i="21"/>
  <c r="AZ26" i="21"/>
  <c r="AZ30" i="21"/>
  <c r="AZ34" i="21"/>
  <c r="AZ38" i="21"/>
  <c r="AA16" i="21"/>
  <c r="AJ16" i="21" s="1"/>
  <c r="AA20" i="21"/>
  <c r="AA24" i="21"/>
  <c r="AJ24" i="21" s="1"/>
  <c r="AA28" i="21"/>
  <c r="AJ28" i="21" s="1"/>
  <c r="AA32" i="21"/>
  <c r="AJ32" i="21" s="1"/>
  <c r="AA36" i="21"/>
  <c r="AA40" i="21"/>
  <c r="AJ40" i="21" s="1"/>
  <c r="AA19" i="21"/>
  <c r="AJ19" i="21" s="1"/>
  <c r="AA23" i="21"/>
  <c r="AJ23" i="21" s="1"/>
  <c r="AA27" i="21"/>
  <c r="AJ27" i="21" s="1"/>
  <c r="AA31" i="21"/>
  <c r="AJ31" i="21" s="1"/>
  <c r="AA35" i="21"/>
  <c r="AA39" i="21"/>
  <c r="AJ39" i="21" s="1"/>
  <c r="AA18" i="21"/>
  <c r="AJ18" i="21" s="1"/>
  <c r="AA22" i="21"/>
  <c r="AA26" i="21"/>
  <c r="AJ26" i="21" s="1"/>
  <c r="AA30" i="21"/>
  <c r="AJ30" i="21" s="1"/>
  <c r="AA34" i="21"/>
  <c r="AJ34" i="21" s="1"/>
  <c r="AA38" i="21"/>
  <c r="AJ38" i="21" s="1"/>
  <c r="AA17" i="21"/>
  <c r="AJ17" i="21" s="1"/>
  <c r="AA21" i="21"/>
  <c r="AA25" i="21"/>
  <c r="AJ25" i="21" s="1"/>
  <c r="AA29" i="21"/>
  <c r="AJ29" i="21" s="1"/>
  <c r="AA33" i="21"/>
  <c r="AJ33" i="21" s="1"/>
  <c r="AA37" i="21"/>
  <c r="AJ37" i="21" s="1"/>
  <c r="AA41" i="21"/>
  <c r="AJ41" i="21" s="1"/>
  <c r="AE16" i="21"/>
  <c r="AN16" i="21" s="1"/>
  <c r="AE20" i="21"/>
  <c r="AE24" i="21"/>
  <c r="AN24" i="21" s="1"/>
  <c r="AE28" i="21"/>
  <c r="AN28" i="21" s="1"/>
  <c r="AE32" i="21"/>
  <c r="AN32" i="21" s="1"/>
  <c r="AE36" i="21"/>
  <c r="AE40" i="21"/>
  <c r="AN40" i="21" s="1"/>
  <c r="AE19" i="21"/>
  <c r="AN19" i="21" s="1"/>
  <c r="AE23" i="21"/>
  <c r="AN23" i="21" s="1"/>
  <c r="AE27" i="21"/>
  <c r="AN27" i="21" s="1"/>
  <c r="AE31" i="21"/>
  <c r="AN31" i="21" s="1"/>
  <c r="AE35" i="21"/>
  <c r="AE39" i="21"/>
  <c r="AN39" i="21" s="1"/>
  <c r="AE18" i="21"/>
  <c r="AN18" i="21" s="1"/>
  <c r="AE22" i="21"/>
  <c r="AE26" i="21"/>
  <c r="AN26" i="21" s="1"/>
  <c r="AE30" i="21"/>
  <c r="AN30" i="21" s="1"/>
  <c r="AE34" i="21"/>
  <c r="AN34" i="21" s="1"/>
  <c r="AE38" i="21"/>
  <c r="AN38" i="21" s="1"/>
  <c r="AE17" i="21"/>
  <c r="AN17" i="21" s="1"/>
  <c r="AE21" i="21"/>
  <c r="AE25" i="21"/>
  <c r="AN25" i="21" s="1"/>
  <c r="AE29" i="21"/>
  <c r="AN29" i="21" s="1"/>
  <c r="AE33" i="21"/>
  <c r="AN33" i="21" s="1"/>
  <c r="AE37" i="21"/>
  <c r="AN37" i="21" s="1"/>
  <c r="AE41" i="21"/>
  <c r="AN41" i="21" s="1"/>
  <c r="AC16" i="21"/>
  <c r="AL16" i="21" s="1"/>
  <c r="AC20" i="21"/>
  <c r="AC24" i="21"/>
  <c r="AL24" i="21" s="1"/>
  <c r="AC28" i="21"/>
  <c r="AL28" i="21" s="1"/>
  <c r="AC32" i="21"/>
  <c r="AL32" i="21" s="1"/>
  <c r="AC36" i="21"/>
  <c r="AC40" i="21"/>
  <c r="AL40" i="21" s="1"/>
  <c r="AC19" i="21"/>
  <c r="AL19" i="21" s="1"/>
  <c r="AC23" i="21"/>
  <c r="AL23" i="21" s="1"/>
  <c r="AC27" i="21"/>
  <c r="AL27" i="21" s="1"/>
  <c r="AC31" i="21"/>
  <c r="AL31" i="21" s="1"/>
  <c r="AC35" i="21"/>
  <c r="AC39" i="21"/>
  <c r="AL39" i="21" s="1"/>
  <c r="AC18" i="21"/>
  <c r="AL18" i="21" s="1"/>
  <c r="AC22" i="21"/>
  <c r="AC26" i="21"/>
  <c r="AL26" i="21" s="1"/>
  <c r="AC30" i="21"/>
  <c r="AL30" i="21" s="1"/>
  <c r="AC34" i="21"/>
  <c r="AL34" i="21" s="1"/>
  <c r="AC38" i="21"/>
  <c r="AL38" i="21" s="1"/>
  <c r="AC17" i="21"/>
  <c r="AL17" i="21" s="1"/>
  <c r="AC21" i="21"/>
  <c r="AC25" i="21"/>
  <c r="AL25" i="21" s="1"/>
  <c r="AC29" i="21"/>
  <c r="AL29" i="21" s="1"/>
  <c r="AC33" i="21"/>
  <c r="AL33" i="21" s="1"/>
  <c r="AC37" i="21"/>
  <c r="AL37" i="21" s="1"/>
  <c r="AC41" i="21"/>
  <c r="AL41" i="21" s="1"/>
  <c r="H41" i="20"/>
  <c r="H49" i="20" s="1"/>
  <c r="AB17" i="21"/>
  <c r="AK17" i="21" s="1"/>
  <c r="AB29" i="21"/>
  <c r="AK29" i="21" s="1"/>
  <c r="AB37" i="21"/>
  <c r="AK37" i="21" s="1"/>
  <c r="AB18" i="21"/>
  <c r="AK18" i="21" s="1"/>
  <c r="AB26" i="21"/>
  <c r="AK26" i="21" s="1"/>
  <c r="AB34" i="21"/>
  <c r="AK34" i="21" s="1"/>
  <c r="AB19" i="21"/>
  <c r="AK19" i="21" s="1"/>
  <c r="AB23" i="21"/>
  <c r="AK23" i="21" s="1"/>
  <c r="AB27" i="21"/>
  <c r="AK27" i="21" s="1"/>
  <c r="AB31" i="21"/>
  <c r="AK31" i="21" s="1"/>
  <c r="AB35" i="21"/>
  <c r="AB39" i="21"/>
  <c r="AK39" i="21" s="1"/>
  <c r="AB16" i="21"/>
  <c r="AK16" i="21" s="1"/>
  <c r="AB20" i="21"/>
  <c r="AB24" i="21"/>
  <c r="AK24" i="21" s="1"/>
  <c r="AB28" i="21"/>
  <c r="AK28" i="21" s="1"/>
  <c r="AB32" i="21"/>
  <c r="AK32" i="21" s="1"/>
  <c r="AB36" i="21"/>
  <c r="AB40" i="21"/>
  <c r="AK40" i="21" s="1"/>
  <c r="AB21" i="21"/>
  <c r="AB25" i="21"/>
  <c r="AK25" i="21" s="1"/>
  <c r="AB33" i="21"/>
  <c r="AK33" i="21" s="1"/>
  <c r="AB41" i="21"/>
  <c r="AK41" i="21" s="1"/>
  <c r="AB22" i="21"/>
  <c r="AB30" i="21"/>
  <c r="AK30" i="21" s="1"/>
  <c r="AB38" i="21"/>
  <c r="AK38" i="21" s="1"/>
  <c r="AD17" i="21"/>
  <c r="AM17" i="21" s="1"/>
  <c r="AD21" i="21"/>
  <c r="AD25" i="21"/>
  <c r="AM25" i="21" s="1"/>
  <c r="AD29" i="21"/>
  <c r="AM29" i="21" s="1"/>
  <c r="AD33" i="21"/>
  <c r="AM33" i="21" s="1"/>
  <c r="AD37" i="21"/>
  <c r="AM37" i="21" s="1"/>
  <c r="AD41" i="21"/>
  <c r="AM41" i="21" s="1"/>
  <c r="AD18" i="21"/>
  <c r="AM18" i="21" s="1"/>
  <c r="AD22" i="21"/>
  <c r="AD30" i="21"/>
  <c r="AM30" i="21" s="1"/>
  <c r="AD34" i="21"/>
  <c r="AM34" i="21" s="1"/>
  <c r="AD19" i="21"/>
  <c r="AM19" i="21" s="1"/>
  <c r="AD23" i="21"/>
  <c r="AM23" i="21" s="1"/>
  <c r="AD27" i="21"/>
  <c r="AM27" i="21" s="1"/>
  <c r="AD31" i="21"/>
  <c r="AM31" i="21" s="1"/>
  <c r="AD35" i="21"/>
  <c r="AD39" i="21"/>
  <c r="AM39" i="21" s="1"/>
  <c r="AD16" i="21"/>
  <c r="AM16" i="21" s="1"/>
  <c r="AD20" i="21"/>
  <c r="AD24" i="21"/>
  <c r="AM24" i="21" s="1"/>
  <c r="AD28" i="21"/>
  <c r="AM28" i="21" s="1"/>
  <c r="AD32" i="21"/>
  <c r="AM32" i="21" s="1"/>
  <c r="AD36" i="21"/>
  <c r="AD40" i="21"/>
  <c r="AM40" i="21" s="1"/>
  <c r="AD26" i="21"/>
  <c r="AM26" i="21" s="1"/>
  <c r="AD38" i="21"/>
  <c r="AM38" i="21" s="1"/>
  <c r="AZ44" i="21"/>
  <c r="F45" i="20"/>
  <c r="K13" i="21" s="1"/>
  <c r="I174" i="27"/>
  <c r="I174" i="26"/>
  <c r="G45" i="20"/>
  <c r="J174" i="27"/>
  <c r="J174" i="26"/>
  <c r="D201" i="26"/>
  <c r="D189" i="26"/>
  <c r="D181" i="26"/>
  <c r="D185" i="26"/>
  <c r="D217" i="26" s="1"/>
  <c r="D251" i="26" s="1"/>
  <c r="D200" i="26"/>
  <c r="D204" i="26"/>
  <c r="D236" i="26" s="1"/>
  <c r="D270" i="26" s="1"/>
  <c r="D191" i="26"/>
  <c r="D223" i="26" s="1"/>
  <c r="D257" i="26" s="1"/>
  <c r="D203" i="26"/>
  <c r="D193" i="26"/>
  <c r="D184" i="26"/>
  <c r="D180" i="26"/>
  <c r="D202" i="26"/>
  <c r="D187" i="26"/>
  <c r="D219" i="26" s="1"/>
  <c r="D253" i="26" s="1"/>
  <c r="D197" i="26"/>
  <c r="D194" i="26"/>
  <c r="D226" i="26" s="1"/>
  <c r="D260" i="26" s="1"/>
  <c r="D196" i="26"/>
  <c r="D199" i="26"/>
  <c r="D231" i="26" s="1"/>
  <c r="D265" i="26" s="1"/>
  <c r="D186" i="26"/>
  <c r="D218" i="26" s="1"/>
  <c r="D183" i="26"/>
  <c r="D198" i="26"/>
  <c r="D182" i="26"/>
  <c r="D188" i="26"/>
  <c r="D192" i="26"/>
  <c r="D224" i="26" s="1"/>
  <c r="D258" i="26" s="1"/>
  <c r="D195" i="26"/>
  <c r="D190" i="26"/>
  <c r="D179" i="26"/>
  <c r="D211" i="26" s="1"/>
  <c r="D245" i="26" s="1"/>
  <c r="E45" i="20"/>
  <c r="H174" i="27"/>
  <c r="H174" i="26"/>
  <c r="D45" i="20"/>
  <c r="I13" i="21" s="1"/>
  <c r="G174" i="27"/>
  <c r="G174" i="26"/>
  <c r="D182" i="27"/>
  <c r="D190" i="27"/>
  <c r="D198" i="27"/>
  <c r="D180" i="27"/>
  <c r="D183" i="27"/>
  <c r="D202" i="27"/>
  <c r="D196" i="27"/>
  <c r="D181" i="27"/>
  <c r="D188" i="27"/>
  <c r="D179" i="27"/>
  <c r="D189" i="27"/>
  <c r="D199" i="27"/>
  <c r="D231" i="27" s="1"/>
  <c r="D265" i="27" s="1"/>
  <c r="D204" i="27"/>
  <c r="D236" i="27" s="1"/>
  <c r="D270" i="27" s="1"/>
  <c r="D201" i="27"/>
  <c r="D192" i="27"/>
  <c r="D224" i="27" s="1"/>
  <c r="D258" i="27" s="1"/>
  <c r="D195" i="27"/>
  <c r="D194" i="27"/>
  <c r="D226" i="27" s="1"/>
  <c r="D260" i="27" s="1"/>
  <c r="D197" i="27"/>
  <c r="D191" i="27"/>
  <c r="D223" i="27" s="1"/>
  <c r="D257" i="27" s="1"/>
  <c r="D184" i="27"/>
  <c r="D203" i="27"/>
  <c r="D200" i="27"/>
  <c r="D187" i="27"/>
  <c r="D219" i="27" s="1"/>
  <c r="D253" i="27" s="1"/>
  <c r="D185" i="27"/>
  <c r="D217" i="27" s="1"/>
  <c r="D251" i="27" s="1"/>
  <c r="D193" i="27"/>
  <c r="D186" i="27"/>
  <c r="D218" i="27" s="1"/>
  <c r="D239" i="27" s="1"/>
  <c r="C45" i="20"/>
  <c r="H13" i="21" s="1"/>
  <c r="E174" i="27"/>
  <c r="E174" i="26"/>
  <c r="C32" i="22"/>
  <c r="C34" i="22" s="1"/>
  <c r="J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BD26" i="21" l="1"/>
  <c r="BD36" i="21"/>
  <c r="BD28" i="21"/>
  <c r="BD20" i="21"/>
  <c r="BD39" i="21"/>
  <c r="BD31" i="21"/>
  <c r="BD23" i="21"/>
  <c r="BD34" i="21"/>
  <c r="BD22" i="21"/>
  <c r="BD41" i="21"/>
  <c r="BD33" i="21"/>
  <c r="BD25" i="21"/>
  <c r="BD17" i="21"/>
  <c r="BC41" i="21"/>
  <c r="BC33" i="21"/>
  <c r="BC25" i="21"/>
  <c r="BC17" i="21"/>
  <c r="BC34" i="21"/>
  <c r="BC26" i="21"/>
  <c r="BC18" i="21"/>
  <c r="BC35" i="21"/>
  <c r="BC27" i="21"/>
  <c r="BC19" i="21"/>
  <c r="BC36" i="21"/>
  <c r="BC28" i="21"/>
  <c r="BC20" i="21"/>
  <c r="BE41" i="21"/>
  <c r="BE33" i="21"/>
  <c r="BE25" i="21"/>
  <c r="BE17" i="21"/>
  <c r="BE34" i="21"/>
  <c r="BF34" i="21" s="1"/>
  <c r="BE26" i="21"/>
  <c r="BE18" i="21"/>
  <c r="BE35" i="21"/>
  <c r="BE27" i="21"/>
  <c r="BE19" i="21"/>
  <c r="BE36" i="21"/>
  <c r="BE28" i="21"/>
  <c r="BE20" i="21"/>
  <c r="BF20" i="21" s="1"/>
  <c r="BA41" i="21"/>
  <c r="BA33" i="21"/>
  <c r="BF33" i="21" s="1"/>
  <c r="BA25" i="21"/>
  <c r="BA17" i="21"/>
  <c r="BA34" i="21"/>
  <c r="BA26" i="21"/>
  <c r="BA18" i="21"/>
  <c r="BA35" i="21"/>
  <c r="BF35" i="21" s="1"/>
  <c r="BA27" i="21"/>
  <c r="BA19" i="21"/>
  <c r="BF19" i="21" s="1"/>
  <c r="BA36" i="21"/>
  <c r="BA28" i="21"/>
  <c r="BF28" i="21" s="1"/>
  <c r="BA20" i="21"/>
  <c r="BD38" i="21"/>
  <c r="BD40" i="21"/>
  <c r="BD32" i="21"/>
  <c r="BD24" i="21"/>
  <c r="BD16" i="21"/>
  <c r="BD35" i="21"/>
  <c r="BD27" i="21"/>
  <c r="BF27" i="21" s="1"/>
  <c r="BD19" i="21"/>
  <c r="BD30" i="21"/>
  <c r="BD18" i="21"/>
  <c r="BD37" i="21"/>
  <c r="BD29" i="21"/>
  <c r="BD21" i="21"/>
  <c r="BC37" i="21"/>
  <c r="BC29" i="21"/>
  <c r="BC21" i="21"/>
  <c r="BC38" i="21"/>
  <c r="BC30" i="21"/>
  <c r="BC22" i="21"/>
  <c r="BC39" i="21"/>
  <c r="BC31" i="21"/>
  <c r="BC23" i="21"/>
  <c r="BC40" i="21"/>
  <c r="BC32" i="21"/>
  <c r="BC24" i="21"/>
  <c r="BC16" i="21"/>
  <c r="BE37" i="21"/>
  <c r="BF37" i="21" s="1"/>
  <c r="BE29" i="21"/>
  <c r="BE21" i="21"/>
  <c r="BF21" i="21" s="1"/>
  <c r="BE38" i="21"/>
  <c r="BE30" i="21"/>
  <c r="BE22" i="21"/>
  <c r="BE39" i="21"/>
  <c r="BE31" i="21"/>
  <c r="BE23" i="21"/>
  <c r="BE40" i="21"/>
  <c r="BE32" i="21"/>
  <c r="BE24" i="21"/>
  <c r="BE16" i="21"/>
  <c r="BA37" i="21"/>
  <c r="BA29" i="21"/>
  <c r="BA21" i="21"/>
  <c r="BA38" i="21"/>
  <c r="BA30" i="21"/>
  <c r="BA22" i="21"/>
  <c r="BA39" i="21"/>
  <c r="BA31" i="21"/>
  <c r="BA23" i="21"/>
  <c r="BA40" i="21"/>
  <c r="BA32" i="21"/>
  <c r="BA24" i="21"/>
  <c r="BA16" i="21"/>
  <c r="BF36" i="21"/>
  <c r="BB44" i="21"/>
  <c r="H45" i="20"/>
  <c r="F174" i="27"/>
  <c r="K174" i="27" s="1"/>
  <c r="E180" i="27"/>
  <c r="E182" i="27"/>
  <c r="E214" i="27" s="1"/>
  <c r="E248" i="27" s="1"/>
  <c r="E184" i="27"/>
  <c r="E186" i="27"/>
  <c r="E218" i="27" s="1"/>
  <c r="E188" i="27"/>
  <c r="E190" i="27"/>
  <c r="E222" i="27" s="1"/>
  <c r="E256" i="27" s="1"/>
  <c r="E192" i="27"/>
  <c r="E224" i="27" s="1"/>
  <c r="E258" i="27" s="1"/>
  <c r="E194" i="27"/>
  <c r="E226" i="27" s="1"/>
  <c r="E260" i="27" s="1"/>
  <c r="E196" i="27"/>
  <c r="E228" i="27" s="1"/>
  <c r="E262" i="27" s="1"/>
  <c r="E181" i="27"/>
  <c r="E183" i="27"/>
  <c r="E215" i="27" s="1"/>
  <c r="E249" i="27" s="1"/>
  <c r="E185" i="27"/>
  <c r="E187" i="27"/>
  <c r="E189" i="27"/>
  <c r="E191" i="27"/>
  <c r="E223" i="27" s="1"/>
  <c r="E257" i="27" s="1"/>
  <c r="E193" i="27"/>
  <c r="E195" i="27"/>
  <c r="E204" i="27"/>
  <c r="E179" i="27"/>
  <c r="E203" i="27"/>
  <c r="E199" i="27"/>
  <c r="E202" i="27"/>
  <c r="E200" i="27"/>
  <c r="E232" i="27" s="1"/>
  <c r="E266" i="27" s="1"/>
  <c r="E201" i="27"/>
  <c r="E197" i="27"/>
  <c r="E229" i="27" s="1"/>
  <c r="E263" i="27" s="1"/>
  <c r="E198" i="27"/>
  <c r="E230" i="27" s="1"/>
  <c r="E264" i="27" s="1"/>
  <c r="D252" i="27"/>
  <c r="D211" i="27"/>
  <c r="D245" i="27" s="1"/>
  <c r="D205" i="27"/>
  <c r="G181" i="26"/>
  <c r="G197" i="26"/>
  <c r="G199" i="26"/>
  <c r="G185" i="26"/>
  <c r="G202" i="26"/>
  <c r="G193" i="26"/>
  <c r="G196" i="26"/>
  <c r="G194" i="26"/>
  <c r="G195" i="26"/>
  <c r="G203" i="26"/>
  <c r="G200" i="26"/>
  <c r="G198" i="26"/>
  <c r="G179" i="26"/>
  <c r="G204" i="26"/>
  <c r="G186" i="26"/>
  <c r="G218" i="26" s="1"/>
  <c r="G189" i="26"/>
  <c r="G221" i="26" s="1"/>
  <c r="G255" i="26" s="1"/>
  <c r="G187" i="26"/>
  <c r="G219" i="26" s="1"/>
  <c r="G253" i="26" s="1"/>
  <c r="G201" i="26"/>
  <c r="G183" i="26"/>
  <c r="G215" i="26" s="1"/>
  <c r="G249" i="26" s="1"/>
  <c r="G192" i="26"/>
  <c r="G191" i="26"/>
  <c r="G223" i="26" s="1"/>
  <c r="G257" i="26" s="1"/>
  <c r="G182" i="26"/>
  <c r="G214" i="26" s="1"/>
  <c r="G248" i="26" s="1"/>
  <c r="G184" i="26"/>
  <c r="G216" i="26" s="1"/>
  <c r="G250" i="26" s="1"/>
  <c r="G180" i="26"/>
  <c r="G190" i="26"/>
  <c r="G222" i="26" s="1"/>
  <c r="G256" i="26" s="1"/>
  <c r="G188" i="26"/>
  <c r="G220" i="26" s="1"/>
  <c r="G254" i="26" s="1"/>
  <c r="H195" i="27"/>
  <c r="H201" i="27"/>
  <c r="H203" i="27"/>
  <c r="H197" i="27"/>
  <c r="H193" i="27"/>
  <c r="H180" i="27"/>
  <c r="H184" i="27"/>
  <c r="H216" i="27" s="1"/>
  <c r="H250" i="27" s="1"/>
  <c r="H190" i="27"/>
  <c r="H192" i="27"/>
  <c r="H224" i="27" s="1"/>
  <c r="H258" i="27" s="1"/>
  <c r="H194" i="27"/>
  <c r="H189" i="27"/>
  <c r="H221" i="27" s="1"/>
  <c r="H255" i="27" s="1"/>
  <c r="H187" i="27"/>
  <c r="H219" i="27" s="1"/>
  <c r="H253" i="27" s="1"/>
  <c r="H198" i="27"/>
  <c r="H191" i="27"/>
  <c r="H223" i="27" s="1"/>
  <c r="H257" i="27" s="1"/>
  <c r="H204" i="27"/>
  <c r="H188" i="27"/>
  <c r="H220" i="27" s="1"/>
  <c r="H254" i="27" s="1"/>
  <c r="H186" i="27"/>
  <c r="H218" i="27" s="1"/>
  <c r="H179" i="27"/>
  <c r="H200" i="27"/>
  <c r="H183" i="27"/>
  <c r="H215" i="27" s="1"/>
  <c r="H249" i="27" s="1"/>
  <c r="H196" i="27"/>
  <c r="H185" i="27"/>
  <c r="H217" i="27" s="1"/>
  <c r="H251" i="27" s="1"/>
  <c r="H199" i="27"/>
  <c r="H202" i="27"/>
  <c r="H181" i="27"/>
  <c r="H213" i="27" s="1"/>
  <c r="H247" i="27" s="1"/>
  <c r="H182" i="27"/>
  <c r="H214" i="27" s="1"/>
  <c r="H248" i="27" s="1"/>
  <c r="D252" i="26"/>
  <c r="D271" i="26" s="1"/>
  <c r="D272" i="26" s="1"/>
  <c r="D239" i="26"/>
  <c r="J192" i="26"/>
  <c r="J191" i="26"/>
  <c r="J201" i="26"/>
  <c r="J183" i="26"/>
  <c r="J215" i="26" s="1"/>
  <c r="J249" i="26" s="1"/>
  <c r="J184" i="26"/>
  <c r="J216" i="26" s="1"/>
  <c r="J250" i="26" s="1"/>
  <c r="J186" i="26"/>
  <c r="J218" i="26" s="1"/>
  <c r="J199" i="26"/>
  <c r="J189" i="26"/>
  <c r="J202" i="26"/>
  <c r="J187" i="26"/>
  <c r="J198" i="26"/>
  <c r="J230" i="26" s="1"/>
  <c r="J264" i="26" s="1"/>
  <c r="J203" i="26"/>
  <c r="J188" i="26"/>
  <c r="J220" i="26" s="1"/>
  <c r="J254" i="26" s="1"/>
  <c r="J193" i="26"/>
  <c r="J185" i="26"/>
  <c r="J194" i="26"/>
  <c r="J200" i="26"/>
  <c r="J196" i="26"/>
  <c r="J228" i="26" s="1"/>
  <c r="J262" i="26" s="1"/>
  <c r="J180" i="26"/>
  <c r="J212" i="26" s="1"/>
  <c r="J246" i="26" s="1"/>
  <c r="J195" i="26"/>
  <c r="J227" i="26" s="1"/>
  <c r="J261" i="26" s="1"/>
  <c r="J181" i="26"/>
  <c r="J197" i="26"/>
  <c r="J204" i="26"/>
  <c r="J182" i="26"/>
  <c r="J214" i="26" s="1"/>
  <c r="J248" i="26" s="1"/>
  <c r="J190" i="26"/>
  <c r="J222" i="26" s="1"/>
  <c r="J256" i="26" s="1"/>
  <c r="J179" i="26"/>
  <c r="J211" i="26" s="1"/>
  <c r="J245" i="26" s="1"/>
  <c r="I186" i="27"/>
  <c r="I218" i="27" s="1"/>
  <c r="I189" i="27"/>
  <c r="I221" i="27" s="1"/>
  <c r="I255" i="27" s="1"/>
  <c r="I199" i="27"/>
  <c r="I180" i="27"/>
  <c r="I193" i="27"/>
  <c r="I225" i="27" s="1"/>
  <c r="I259" i="27" s="1"/>
  <c r="I182" i="27"/>
  <c r="I214" i="27" s="1"/>
  <c r="I248" i="27" s="1"/>
  <c r="I201" i="27"/>
  <c r="I184" i="27"/>
  <c r="I216" i="27" s="1"/>
  <c r="I250" i="27" s="1"/>
  <c r="I181" i="27"/>
  <c r="I203" i="27"/>
  <c r="I188" i="27"/>
  <c r="I220" i="27" s="1"/>
  <c r="I254" i="27" s="1"/>
  <c r="I185" i="27"/>
  <c r="I217" i="27" s="1"/>
  <c r="I251" i="27" s="1"/>
  <c r="I197" i="27"/>
  <c r="I187" i="27"/>
  <c r="I219" i="27" s="1"/>
  <c r="I253" i="27" s="1"/>
  <c r="I179" i="27"/>
  <c r="I195" i="27"/>
  <c r="I227" i="27" s="1"/>
  <c r="I261" i="27" s="1"/>
  <c r="I200" i="27"/>
  <c r="I198" i="27"/>
  <c r="I230" i="27" s="1"/>
  <c r="I264" i="27" s="1"/>
  <c r="I183" i="27"/>
  <c r="I215" i="27" s="1"/>
  <c r="I249" i="27" s="1"/>
  <c r="I192" i="27"/>
  <c r="I224" i="27" s="1"/>
  <c r="I258" i="27" s="1"/>
  <c r="I190" i="27"/>
  <c r="I191" i="27"/>
  <c r="I223" i="27" s="1"/>
  <c r="I257" i="27" s="1"/>
  <c r="I196" i="27"/>
  <c r="I228" i="27" s="1"/>
  <c r="I262" i="27" s="1"/>
  <c r="I194" i="27"/>
  <c r="I226" i="27" s="1"/>
  <c r="I260" i="27" s="1"/>
  <c r="I204" i="27"/>
  <c r="I202" i="27"/>
  <c r="F174" i="26"/>
  <c r="E187" i="26"/>
  <c r="E185" i="26"/>
  <c r="E184" i="26"/>
  <c r="E183" i="26"/>
  <c r="E215" i="26" s="1"/>
  <c r="E249" i="26" s="1"/>
  <c r="E204" i="26"/>
  <c r="E193" i="26"/>
  <c r="E186" i="26"/>
  <c r="E218" i="26" s="1"/>
  <c r="E189" i="26"/>
  <c r="E200" i="26"/>
  <c r="E232" i="26" s="1"/>
  <c r="E266" i="26" s="1"/>
  <c r="E202" i="26"/>
  <c r="E182" i="26"/>
  <c r="E214" i="26" s="1"/>
  <c r="E248" i="26" s="1"/>
  <c r="E191" i="26"/>
  <c r="E223" i="26" s="1"/>
  <c r="E257" i="26" s="1"/>
  <c r="E180" i="26"/>
  <c r="E195" i="26"/>
  <c r="E188" i="26"/>
  <c r="E197" i="26"/>
  <c r="E229" i="26" s="1"/>
  <c r="E263" i="26" s="1"/>
  <c r="E192" i="26"/>
  <c r="E224" i="26" s="1"/>
  <c r="E258" i="26" s="1"/>
  <c r="E181" i="26"/>
  <c r="E201" i="26"/>
  <c r="E198" i="26"/>
  <c r="E230" i="26" s="1"/>
  <c r="E264" i="26" s="1"/>
  <c r="E203" i="26"/>
  <c r="E196" i="26"/>
  <c r="E228" i="26" s="1"/>
  <c r="E262" i="26" s="1"/>
  <c r="E194" i="26"/>
  <c r="E226" i="26" s="1"/>
  <c r="E260" i="26" s="1"/>
  <c r="E190" i="26"/>
  <c r="E222" i="26" s="1"/>
  <c r="E256" i="26" s="1"/>
  <c r="E199" i="26"/>
  <c r="E179" i="26"/>
  <c r="E211" i="26" s="1"/>
  <c r="E245" i="26" s="1"/>
  <c r="G183" i="27"/>
  <c r="G215" i="27" s="1"/>
  <c r="G249" i="27" s="1"/>
  <c r="G191" i="27"/>
  <c r="G223" i="27" s="1"/>
  <c r="G257" i="27" s="1"/>
  <c r="G181" i="27"/>
  <c r="G189" i="27"/>
  <c r="G221" i="27" s="1"/>
  <c r="G255" i="27" s="1"/>
  <c r="G197" i="27"/>
  <c r="G187" i="27"/>
  <c r="G219" i="27" s="1"/>
  <c r="G253" i="27" s="1"/>
  <c r="G195" i="27"/>
  <c r="G204" i="27"/>
  <c r="G185" i="27"/>
  <c r="G193" i="27"/>
  <c r="G179" i="27"/>
  <c r="G192" i="27"/>
  <c r="G184" i="27"/>
  <c r="G216" i="27" s="1"/>
  <c r="G250" i="27" s="1"/>
  <c r="G199" i="27"/>
  <c r="G202" i="27"/>
  <c r="G200" i="27"/>
  <c r="G201" i="27"/>
  <c r="G196" i="27"/>
  <c r="G188" i="27"/>
  <c r="G220" i="27" s="1"/>
  <c r="G254" i="27" s="1"/>
  <c r="G180" i="27"/>
  <c r="G203" i="27"/>
  <c r="G198" i="27"/>
  <c r="G190" i="27"/>
  <c r="G222" i="27" s="1"/>
  <c r="G256" i="27" s="1"/>
  <c r="G182" i="27"/>
  <c r="G214" i="27" s="1"/>
  <c r="G248" i="27" s="1"/>
  <c r="G186" i="27"/>
  <c r="G218" i="27" s="1"/>
  <c r="G194" i="27"/>
  <c r="H203" i="26"/>
  <c r="H201" i="26"/>
  <c r="H200" i="26"/>
  <c r="H204" i="26"/>
  <c r="H195" i="26"/>
  <c r="H202" i="26"/>
  <c r="H188" i="26"/>
  <c r="H220" i="26" s="1"/>
  <c r="H254" i="26" s="1"/>
  <c r="H192" i="26"/>
  <c r="H224" i="26" s="1"/>
  <c r="H258" i="26" s="1"/>
  <c r="H187" i="26"/>
  <c r="H219" i="26" s="1"/>
  <c r="H253" i="26" s="1"/>
  <c r="H183" i="26"/>
  <c r="H215" i="26" s="1"/>
  <c r="H249" i="26" s="1"/>
  <c r="H186" i="26"/>
  <c r="H218" i="26" s="1"/>
  <c r="H194" i="26"/>
  <c r="H198" i="26"/>
  <c r="H191" i="26"/>
  <c r="H223" i="26" s="1"/>
  <c r="H257" i="26" s="1"/>
  <c r="H199" i="26"/>
  <c r="H181" i="26"/>
  <c r="H213" i="26" s="1"/>
  <c r="H247" i="26" s="1"/>
  <c r="H184" i="26"/>
  <c r="H216" i="26" s="1"/>
  <c r="H250" i="26" s="1"/>
  <c r="H185" i="26"/>
  <c r="H217" i="26" s="1"/>
  <c r="H251" i="26" s="1"/>
  <c r="H197" i="26"/>
  <c r="H193" i="26"/>
  <c r="H189" i="26"/>
  <c r="H221" i="26" s="1"/>
  <c r="H255" i="26" s="1"/>
  <c r="H182" i="26"/>
  <c r="H214" i="26" s="1"/>
  <c r="H248" i="26" s="1"/>
  <c r="H180" i="26"/>
  <c r="H196" i="26"/>
  <c r="H190" i="26"/>
  <c r="H179" i="26"/>
  <c r="J187" i="27"/>
  <c r="J202" i="27"/>
  <c r="J192" i="27"/>
  <c r="J185" i="27"/>
  <c r="J191" i="27"/>
  <c r="J197" i="27"/>
  <c r="J194" i="27"/>
  <c r="J204" i="27"/>
  <c r="J193" i="27"/>
  <c r="J201" i="27"/>
  <c r="J179" i="27"/>
  <c r="J181" i="27"/>
  <c r="J188" i="27"/>
  <c r="J220" i="27" s="1"/>
  <c r="J254" i="27" s="1"/>
  <c r="J190" i="27"/>
  <c r="J222" i="27" s="1"/>
  <c r="J256" i="27" s="1"/>
  <c r="J189" i="27"/>
  <c r="J200" i="27"/>
  <c r="J184" i="27"/>
  <c r="J216" i="27" s="1"/>
  <c r="J250" i="27" s="1"/>
  <c r="J186" i="27"/>
  <c r="J218" i="27" s="1"/>
  <c r="J180" i="27"/>
  <c r="J212" i="27" s="1"/>
  <c r="J246" i="27" s="1"/>
  <c r="J203" i="27"/>
  <c r="J198" i="27"/>
  <c r="J230" i="27" s="1"/>
  <c r="J264" i="27" s="1"/>
  <c r="J196" i="27"/>
  <c r="J228" i="27" s="1"/>
  <c r="J262" i="27" s="1"/>
  <c r="J182" i="27"/>
  <c r="J214" i="27" s="1"/>
  <c r="J248" i="27" s="1"/>
  <c r="J199" i="27"/>
  <c r="J183" i="27"/>
  <c r="J215" i="27" s="1"/>
  <c r="J249" i="27" s="1"/>
  <c r="J195" i="27"/>
  <c r="J227" i="27" s="1"/>
  <c r="J261" i="27" s="1"/>
  <c r="I198" i="26"/>
  <c r="I230" i="26" s="1"/>
  <c r="I264" i="26" s="1"/>
  <c r="I191" i="26"/>
  <c r="I223" i="26" s="1"/>
  <c r="I257" i="26" s="1"/>
  <c r="I204" i="26"/>
  <c r="I197" i="26"/>
  <c r="I203" i="26"/>
  <c r="I192" i="26"/>
  <c r="I224" i="26" s="1"/>
  <c r="I258" i="26" s="1"/>
  <c r="I184" i="26"/>
  <c r="I216" i="26" s="1"/>
  <c r="I250" i="26" s="1"/>
  <c r="I195" i="26"/>
  <c r="I227" i="26" s="1"/>
  <c r="I261" i="26" s="1"/>
  <c r="I202" i="26"/>
  <c r="I183" i="26"/>
  <c r="I215" i="26" s="1"/>
  <c r="I249" i="26" s="1"/>
  <c r="I185" i="26"/>
  <c r="I217" i="26" s="1"/>
  <c r="I251" i="26" s="1"/>
  <c r="I186" i="26"/>
  <c r="I218" i="26" s="1"/>
  <c r="I199" i="26"/>
  <c r="I201" i="26"/>
  <c r="I200" i="26"/>
  <c r="I180" i="26"/>
  <c r="I194" i="26"/>
  <c r="I226" i="26" s="1"/>
  <c r="I260" i="26" s="1"/>
  <c r="I188" i="26"/>
  <c r="I220" i="26" s="1"/>
  <c r="I254" i="26" s="1"/>
  <c r="I187" i="26"/>
  <c r="I219" i="26" s="1"/>
  <c r="I253" i="26" s="1"/>
  <c r="I196" i="26"/>
  <c r="I228" i="26" s="1"/>
  <c r="I262" i="26" s="1"/>
  <c r="I181" i="26"/>
  <c r="I190" i="26"/>
  <c r="I189" i="26"/>
  <c r="I221" i="26" s="1"/>
  <c r="I255" i="26" s="1"/>
  <c r="I182" i="26"/>
  <c r="I214" i="26" s="1"/>
  <c r="I248" i="26" s="1"/>
  <c r="I193" i="26"/>
  <c r="I225" i="26" s="1"/>
  <c r="I259" i="26" s="1"/>
  <c r="I179" i="26"/>
  <c r="I211" i="26" s="1"/>
  <c r="I245" i="26" s="1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BF32" i="21" l="1"/>
  <c r="BD44" i="21"/>
  <c r="BC44" i="21"/>
  <c r="BF39" i="21"/>
  <c r="BF18" i="21"/>
  <c r="BF24" i="21"/>
  <c r="BF40" i="21"/>
  <c r="BF31" i="21"/>
  <c r="BF22" i="21"/>
  <c r="BF38" i="21"/>
  <c r="BF29" i="21"/>
  <c r="BF16" i="21"/>
  <c r="BF30" i="21"/>
  <c r="BA44" i="21"/>
  <c r="BE44" i="21"/>
  <c r="BF23" i="21"/>
  <c r="BF17" i="21"/>
  <c r="BF25" i="21"/>
  <c r="BF41" i="21"/>
  <c r="BF26" i="21"/>
  <c r="D271" i="27"/>
  <c r="D272" i="27" s="1"/>
  <c r="I239" i="26"/>
  <c r="I242" i="26" s="1"/>
  <c r="I252" i="26"/>
  <c r="I271" i="26" s="1"/>
  <c r="I272" i="26" s="1"/>
  <c r="J252" i="27"/>
  <c r="J239" i="27"/>
  <c r="H239" i="26"/>
  <c r="H242" i="26" s="1"/>
  <c r="H252" i="26"/>
  <c r="G252" i="27"/>
  <c r="G271" i="27" s="1"/>
  <c r="G272" i="27" s="1"/>
  <c r="G239" i="27"/>
  <c r="G242" i="27" s="1"/>
  <c r="G205" i="27"/>
  <c r="E252" i="26"/>
  <c r="E271" i="26" s="1"/>
  <c r="E272" i="26" s="1"/>
  <c r="E239" i="26"/>
  <c r="E242" i="26" s="1"/>
  <c r="J252" i="26"/>
  <c r="J271" i="26" s="1"/>
  <c r="J272" i="26" s="1"/>
  <c r="J239" i="26"/>
  <c r="H252" i="27"/>
  <c r="H271" i="27" s="1"/>
  <c r="H272" i="27" s="1"/>
  <c r="H239" i="27"/>
  <c r="H242" i="27" s="1"/>
  <c r="G239" i="26"/>
  <c r="G242" i="26" s="1"/>
  <c r="G252" i="26"/>
  <c r="G271" i="26" s="1"/>
  <c r="G272" i="26" s="1"/>
  <c r="E211" i="27"/>
  <c r="E245" i="27" s="1"/>
  <c r="E205" i="27"/>
  <c r="J211" i="27"/>
  <c r="J245" i="27" s="1"/>
  <c r="J205" i="27"/>
  <c r="H271" i="26"/>
  <c r="H272" i="26" s="1"/>
  <c r="F180" i="26"/>
  <c r="F199" i="26"/>
  <c r="F201" i="26"/>
  <c r="F203" i="26"/>
  <c r="F181" i="26"/>
  <c r="F193" i="26"/>
  <c r="F187" i="26"/>
  <c r="F196" i="26"/>
  <c r="F228" i="26" s="1"/>
  <c r="F262" i="26" s="1"/>
  <c r="F191" i="26"/>
  <c r="F223" i="26" s="1"/>
  <c r="F257" i="26" s="1"/>
  <c r="F195" i="26"/>
  <c r="F204" i="26"/>
  <c r="F192" i="26"/>
  <c r="F224" i="26" s="1"/>
  <c r="F258" i="26" s="1"/>
  <c r="F197" i="26"/>
  <c r="F229" i="26" s="1"/>
  <c r="F263" i="26" s="1"/>
  <c r="F188" i="26"/>
  <c r="F194" i="26"/>
  <c r="F226" i="26" s="1"/>
  <c r="F260" i="26" s="1"/>
  <c r="F183" i="26"/>
  <c r="F215" i="26" s="1"/>
  <c r="F249" i="26" s="1"/>
  <c r="F200" i="26"/>
  <c r="F232" i="26" s="1"/>
  <c r="F266" i="26" s="1"/>
  <c r="F202" i="26"/>
  <c r="F184" i="26"/>
  <c r="F179" i="26"/>
  <c r="F211" i="26" s="1"/>
  <c r="F245" i="26" s="1"/>
  <c r="F182" i="26"/>
  <c r="F214" i="26" s="1"/>
  <c r="F248" i="26" s="1"/>
  <c r="F189" i="26"/>
  <c r="F190" i="26"/>
  <c r="F222" i="26" s="1"/>
  <c r="F256" i="26" s="1"/>
  <c r="F185" i="26"/>
  <c r="F198" i="26"/>
  <c r="F230" i="26" s="1"/>
  <c r="F264" i="26" s="1"/>
  <c r="F186" i="26"/>
  <c r="F218" i="26" s="1"/>
  <c r="I211" i="27"/>
  <c r="I245" i="27" s="1"/>
  <c r="I205" i="27"/>
  <c r="I252" i="27"/>
  <c r="I239" i="27"/>
  <c r="I242" i="27" s="1"/>
  <c r="H205" i="27"/>
  <c r="E239" i="27"/>
  <c r="E242" i="27" s="1"/>
  <c r="E252" i="27"/>
  <c r="F203" i="27"/>
  <c r="F195" i="27"/>
  <c r="F187" i="27"/>
  <c r="F181" i="27"/>
  <c r="F197" i="27"/>
  <c r="F229" i="27" s="1"/>
  <c r="F263" i="27" s="1"/>
  <c r="F199" i="27"/>
  <c r="F191" i="27"/>
  <c r="F223" i="27" s="1"/>
  <c r="F257" i="27" s="1"/>
  <c r="F201" i="27"/>
  <c r="F193" i="27"/>
  <c r="F179" i="27"/>
  <c r="F189" i="27"/>
  <c r="F196" i="27"/>
  <c r="F228" i="27" s="1"/>
  <c r="F262" i="27" s="1"/>
  <c r="F186" i="27"/>
  <c r="F218" i="27" s="1"/>
  <c r="F185" i="27"/>
  <c r="F184" i="27"/>
  <c r="F192" i="27"/>
  <c r="F224" i="27" s="1"/>
  <c r="F258" i="27" s="1"/>
  <c r="F200" i="27"/>
  <c r="F232" i="27" s="1"/>
  <c r="F266" i="27" s="1"/>
  <c r="F183" i="27"/>
  <c r="F215" i="27" s="1"/>
  <c r="F249" i="27" s="1"/>
  <c r="F182" i="27"/>
  <c r="F214" i="27" s="1"/>
  <c r="F248" i="27" s="1"/>
  <c r="F190" i="27"/>
  <c r="F222" i="27" s="1"/>
  <c r="F256" i="27" s="1"/>
  <c r="F198" i="27"/>
  <c r="F230" i="27" s="1"/>
  <c r="F264" i="27" s="1"/>
  <c r="F180" i="27"/>
  <c r="F246" i="27" s="1"/>
  <c r="F188" i="27"/>
  <c r="F204" i="27"/>
  <c r="F194" i="27"/>
  <c r="F226" i="27" s="1"/>
  <c r="F260" i="27" s="1"/>
  <c r="F202" i="27"/>
  <c r="BF44" i="21" l="1"/>
  <c r="F239" i="27"/>
  <c r="F242" i="27" s="1"/>
  <c r="F252" i="27"/>
  <c r="I271" i="27"/>
  <c r="I272" i="27" s="1"/>
  <c r="E271" i="27"/>
  <c r="E272" i="27" s="1"/>
  <c r="J271" i="27"/>
  <c r="F211" i="27"/>
  <c r="F245" i="27" s="1"/>
  <c r="F271" i="27" s="1"/>
  <c r="F205" i="27"/>
  <c r="F252" i="26"/>
  <c r="F271" i="26" s="1"/>
  <c r="F239" i="26"/>
  <c r="F242" i="26" s="1"/>
  <c r="K205" i="27"/>
  <c r="J272" i="27" l="1"/>
  <c r="K272" i="27" s="1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<sst xmlns="http://schemas.openxmlformats.org/spreadsheetml/2006/main" count="2658" uniqueCount="607">
  <si>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</si>
  <si>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</si>
  <si>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</si>
  <si>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</si>
  <si>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</si>
  <si>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</si>
  <si>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</si>
  <si>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</si>
  <si>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</si>
  <si>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</si>
  <si>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</si>
  <si>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</si>
  <si>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</si>
  <si>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</si>
  <si>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</si>
  <si>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</si>
  <si>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</si>
  <si>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</si>
  <si>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</si>
  <si>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</si>
  <si>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</si>
  <si>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</si>
  <si>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</si>
  <si>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</si>
  <si>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</si>
  <si>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</si>
  <si>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</si>
  <si>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</si>
  <si>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</si>
  <si>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</si>
  <si>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</si>
  <si>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</si>
  <si>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</si>
  <si>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</si>
  <si>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</si>
  <si>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</si>
  <si>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</si>
  <si>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</si>
  <si>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</si>
  <si>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</si>
  <si>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</si>
  <si>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</si>
  <si>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</si>
  <si>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</si>
  <si>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</si>
  <si>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</si>
  <si>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</si>
  <si>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</si>
  <si>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</si>
  <si>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</si>
  <si>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</si>
  <si>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</si>
  <si>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</si>
  <si>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</si>
  <si>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</si>
  <si>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</si>
  <si>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</si>
  <si>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</si>
  <si>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</si>
  <si>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</si>
  <si>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</si>
  <si>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</si>
  <si>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</si>
  <si>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</si>
  <si>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</si>
  <si>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</si>
  <si>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</si>
  <si>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</si>
  <si>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</si>
  <si>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</si>
  <si>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</si>
  <si>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</si>
  <si>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</si>
  <si>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</si>
  <si>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</si>
  <si>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</si>
  <si>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</si>
  <si>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</si>
  <si>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</si>
  <si>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</si>
  <si>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</si>
  <si>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</si>
  <si>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</si>
  <si>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</si>
  <si>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</si>
  <si>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</si>
  <si>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</si>
  <si>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</si>
  <si>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</si>
  <si>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</si>
  <si>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</si>
  <si>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</si>
  <si>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</si>
  <si>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</si>
  <si>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</si>
  <si>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</si>
  <si>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</si>
  <si>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</si>
  <si>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</si>
  <si>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</si>
  <si>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</si>
  <si>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</si>
  <si>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</si>
  <si>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</si>
  <si>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</si>
  <si>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</si>
  <si>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</si>
  <si>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</si>
  <si>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</si>
  <si>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</si>
  <si>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</si>
  <si>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</si>
  <si>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</si>
  <si>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</si>
  <si>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</si>
  <si>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</si>
  <si>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</si>
  <si>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</si>
  <si>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</si>
  <si>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</si>
  <si>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</si>
  <si>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</si>
  <si>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</si>
  <si>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</si>
  <si>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</si>
  <si>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</si>
  <si>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</si>
  <si>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</si>
  <si>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</si>
  <si>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</si>
  <si>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</si>
  <si>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</si>
  <si>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</si>
  <si>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</si>
  <si>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</si>
  <si>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</si>
  <si>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</si>
  <si>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</si>
  <si>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</si>
  <si>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</si>
  <si>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</si>
  <si>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</si>
  <si>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</si>
  <si>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</si>
  <si>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</si>
  <si>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</si>
  <si>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</si>
  <si>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</si>
  <si>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</si>
  <si>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</si>
  <si>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</si>
  <si>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</si>
  <si>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</si>
  <si>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</si>
  <si>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</si>
  <si>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</si>
  <si>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</si>
  <si>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</si>
  <si>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</si>
  <si>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</si>
  <si>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</si>
  <si>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</si>
  <si>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</si>
  <si>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</si>
  <si>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</si>
  <si>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</si>
  <si>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</si>
  <si>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</si>
  <si>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</si>
  <si>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</si>
  <si>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</si>
  <si>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</si>
  <si>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</si>
  <si>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</si>
  <si>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</si>
  <si>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</si>
  <si>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</si>
  <si>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</si>
  <si>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</si>
  <si>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</si>
  <si>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</si>
  <si>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</si>
  <si>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</si>
  <si>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</si>
  <si>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</si>
  <si>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</si>
  <si>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</si>
  <si>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</si>
  <si>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</si>
  <si>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</si>
  <si>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</si>
  <si>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</si>
  <si>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</si>
  <si>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</si>
  <si>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</si>
  <si>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</si>
  <si>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</si>
  <si>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</si>
  <si>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</si>
  <si>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</si>
  <si>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</si>
  <si>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</si>
  <si>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</si>
  <si>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</si>
  <si>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</si>
  <si>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</si>
  <si>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</si>
  <si>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</si>
  <si>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</si>
  <si>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</si>
  <si>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</si>
  <si>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</si>
  <si>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</si>
  <si>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</si>
  <si>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</si>
  <si>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</si>
  <si>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</si>
  <si>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</si>
  <si>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</si>
  <si>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</si>
  <si>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</si>
  <si>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</si>
  <si>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</si>
  <si>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</si>
  <si>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</si>
  <si>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</si>
  <si>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</si>
  <si>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</si>
  <si>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</si>
  <si>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</si>
  <si>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</si>
  <si>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</si>
  <si>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</si>
  <si>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</si>
  <si>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</si>
  <si>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</si>
  <si>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</si>
  <si>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</si>
  <si>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</si>
  <si>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</si>
  <si>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</si>
  <si>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</si>
  <si>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</si>
  <si>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</si>
  <si>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</si>
  <si>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</si>
  <si>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</si>
  <si>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</si>
  <si>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</si>
  <si>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</si>
  <si>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</si>
  <si>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</si>
  <si>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</si>
  <si>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</si>
  <si>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</si>
  <si>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</si>
  <si>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</si>
  <si>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</si>
  <si>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</si>
  <si>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</si>
  <si>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</si>
  <si>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</si>
  <si>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</si>
  <si>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</si>
  <si>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</si>
  <si>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</si>
  <si>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</si>
  <si>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</si>
  <si>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</si>
  <si>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</si>
  <si>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</si>
  <si>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</si>
  <si>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</si>
  <si>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</si>
  <si>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</si>
  <si>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</si>
  <si>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</si>
  <si>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</si>
  <si>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</si>
  <si>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</si>
  <si>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</si>
  <si>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</si>
  <si>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</si>
  <si>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</si>
  <si>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</si>
  <si>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</si>
  <si>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</si>
  <si>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</si>
  <si>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</si>
  <si>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</si>
  <si>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</si>
  <si>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</si>
  <si>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</si>
  <si>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</si>
  <si>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</si>
  <si>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</si>
  <si>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</si>
  <si>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</si>
  <si>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</si>
  <si>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</si>
  <si>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</si>
  <si>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</si>
  <si>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</si>
  <si>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</si>
  <si>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</si>
  <si>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</si>
  <si>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</si>
  <si>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</si>
  <si>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</si>
  <si>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</si>
  <si>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</si>
  <si>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</si>
  <si>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</si>
  <si>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</si>
  <si>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</si>
  <si>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</si>
  <si>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</si>
  <si>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</si>
  <si>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</si>
  <si>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</si>
  <si>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</si>
  <si>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</si>
  <si>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</si>
  <si>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</si>
  <si>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</si>
  <si>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</si>
  <si>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</si>
  <si>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</si>
  <si>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</si>
  <si>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</si>
  <si>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</si>
  <si>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</si>
  <si>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</si>
  <si>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</si>
  <si>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</si>
  <si>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</si>
  <si>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</si>
  <si>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</si>
  <si>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</si>
  <si>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</si>
  <si>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</si>
  <si>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</si>
  <si>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</si>
  <si>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</si>
  <si>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</si>
  <si>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</si>
  <si>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</si>
  <si>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</si>
  <si>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</si>
  <si>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</si>
  <si>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</si>
  <si>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</si>
  <si>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</si>
  <si>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</si>
  <si>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</si>
  <si>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</si>
  <si>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</si>
  <si>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</si>
  <si>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</si>
  <si>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</si>
  <si>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</si>
  <si>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</si>
  <si>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</si>
  <si>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</si>
  <si>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</si>
  <si>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</si>
  <si>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</si>
  <si>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</si>
  <si>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</si>
  <si>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</si>
  <si>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</si>
  <si>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</si>
  <si>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</si>
  <si>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</si>
  <si>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</si>
  <si>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</si>
  <si>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</si>
  <si>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</si>
  <si>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</si>
  <si>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</si>
  <si>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</si>
  <si>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</si>
  <si>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</si>
  <si>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</si>
  <si>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</si>
  <si>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</si>
  <si>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</si>
  <si>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</si>
  <si>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</si>
  <si>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</si>
  <si>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</si>
  <si>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</si>
  <si>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</si>
  <si>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</si>
  <si>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</si>
  <si>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</si>
  <si>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</si>
  <si>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</si>
  <si>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</si>
  <si>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</si>
  <si>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</si>
  <si>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</si>
  <si>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</si>
  <si>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</si>
  <si>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</si>
  <si>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</si>
  <si>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</si>
  <si>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</si>
  <si>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</si>
  <si>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</si>
  <si>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</si>
  <si>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</si>
  <si>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</si>
  <si>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</si>
  <si>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</si>
  <si>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</si>
  <si>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</si>
  <si>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</si>
  <si>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</si>
  <si>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</si>
  <si>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</si>
  <si>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</si>
  <si>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</si>
  <si>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</si>
  <si>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</si>
  <si>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</si>
  <si>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</si>
  <si>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</si>
  <si>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</si>
  <si>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</si>
  <si>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</si>
  <si>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</si>
  <si>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</si>
  <si>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</si>
  <si>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</si>
  <si>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</si>
  <si>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</si>
  <si>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</si>
  <si>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</si>
  <si>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</si>
  <si>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</si>
  <si>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</si>
  <si>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</si>
  <si>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</si>
  <si>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</si>
  <si>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</si>
  <si>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</si>
  <si>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</si>
  <si>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</si>
  <si>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</si>
  <si>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</si>
  <si>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</si>
  <si>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</si>
  <si>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</si>
  <si>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</si>
  <si>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</si>
  <si>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</si>
  <si>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</si>
  <si>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</si>
  <si>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</si>
  <si>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</si>
  <si>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</si>
  <si>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</si>
  <si>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</si>
  <si>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</si>
  <si>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</si>
  <si>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</si>
  <si>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</si>
  <si>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</si>
  <si>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</si>
  <si>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</si>
  <si>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</si>
  <si>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</si>
  <si>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</si>
  <si>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</si>
  <si>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</si>
  <si>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</si>
  <si>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</si>
  <si>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</si>
  <si>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</si>
  <si>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</si>
  <si>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</si>
  <si>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</si>
  <si>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</si>
  <si>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</si>
  <si>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</si>
  <si>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</si>
  <si>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</si>
  <si>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</si>
  <si>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</si>
  <si>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</si>
  <si>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</si>
  <si>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</si>
  <si>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</si>
  <si>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</si>
  <si>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</si>
  <si>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</si>
  <si>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</si>
  <si>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</si>
  <si>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</si>
  <si>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</si>
  <si>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</si>
  <si>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</si>
  <si>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</si>
  <si>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</si>
  <si>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</si>
  <si>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</si>
  <si>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</si>
  <si>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</si>
  <si>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</si>
  <si>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</si>
  <si>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</si>
  <si>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</si>
  <si>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</si>
  <si>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</si>
  <si>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</si>
  <si>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</si>
  <si>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</si>
  <si>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</si>
  <si>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</si>
  <si>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</si>
  <si>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</si>
  <si>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</si>
  <si>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</si>
  <si>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</si>
  <si>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</si>
  <si>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</si>
  <si>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</si>
  <si>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</si>
  <si>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</si>
  <si>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</si>
  <si>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</si>
  <si>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</si>
  <si>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</si>
  <si>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</si>
  <si>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</si>
  <si>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</si>
  <si>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</si>
  <si>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</si>
  <si>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</si>
  <si>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</si>
  <si>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</si>
  <si>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</si>
  <si>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</si>
  <si>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</si>
  <si>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</si>
  <si>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</si>
  <si>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</si>
  <si>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</si>
  <si>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</si>
  <si>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</si>
  <si>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</si>
  <si>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</si>
  <si>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</si>
  <si>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</si>
  <si>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</si>
  <si>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</si>
  <si>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</si>
  <si>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</si>
  <si>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</si>
  <si>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</si>
  <si>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</si>
  <si>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</si>
  <si>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</si>
  <si>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</si>
  <si>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</si>
  <si>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</si>
  <si>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</si>
  <si>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</si>
  <si>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</si>
  <si>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</si>
  <si>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</si>
  <si>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</si>
  <si>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</si>
  <si>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</si>
  <si>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</si>
  <si>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</si>
  <si>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</si>
  <si>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</si>
  <si>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</si>
  <si>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</si>
  <si>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</si>
  <si>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</si>
  <si>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</si>
  <si>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</si>
  <si>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</si>
  <si>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</si>
  <si>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</si>
  <si>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</si>
  <si>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</si>
  <si>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</si>
  <si>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</si>
  <si>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</si>
  <si>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</si>
  <si>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</si>
  <si>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</si>
  <si>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</si>
  <si>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</si>
  <si>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</si>
  <si>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</si>
  <si>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</si>
  <si>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</si>
  <si>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</si>
  <si>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</si>
  <si>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</si>
  <si>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Fee Per Development Unit</t>
  </si>
  <si>
    <t>Working Draft -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</si>
</sst>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1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6606250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09375" defaultRowHeight="13.2" x14ac:dyDescent="0.25"/>
  <cols>
    <col min="1" max="1" width="9.109375" style="46"/>
    <col min="2" max="2" width="4.88671875" style="46" customWidth="1"/>
    <col min="3" max="9" width="9.109375" style="45"/>
    <col min="10" max="10" width="11.109375" style="46" customWidth="1"/>
    <col min="11" max="16384" width="9.109375" style="45"/>
  </cols>
  <sheetData>
    <row r="2" spans="1:10" ht="17.399999999999999" x14ac:dyDescent="0.25">
      <c r="C2" s="266" t="s">
        <v>515</v>
      </c>
    </row>
    <row r="3" spans="1:10" ht="13.8" thickBot="1" x14ac:dyDescent="0.3"/>
    <row r="4" spans="1:10" ht="21" customHeight="1" x14ac:dyDescent="0.25">
      <c r="A4" s="430" t="s">
        <v>516</v>
      </c>
      <c r="B4" s="431" t="s">
        <v>208</v>
      </c>
      <c r="C4" s="897"/>
      <c r="D4" s="897"/>
      <c r="E4" s="897"/>
      <c r="F4" s="897"/>
      <c r="G4" s="897"/>
      <c r="H4" s="897"/>
      <c r="I4" s="897"/>
      <c r="J4" s="432" t="s">
        <v>251</v>
      </c>
    </row>
    <row r="5" spans="1:10" ht="13.8" thickBot="1" x14ac:dyDescent="0.3">
      <c r="A5" s="518" t="s">
        <v>340</v>
      </c>
      <c r="B5" s="433">
        <v>1</v>
      </c>
      <c r="C5" s="898" t="s">
        <v>341</v>
      </c>
      <c r="D5" s="899"/>
      <c r="E5" s="899"/>
      <c r="F5" s="899"/>
      <c r="G5" s="899"/>
      <c r="H5" s="899"/>
      <c r="I5" s="900"/>
      <c r="J5" s="519">
        <v>41052</v>
      </c>
    </row>
    <row r="6" spans="1:10" ht="13.8" thickBot="1" x14ac:dyDescent="0.3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5">
      <c r="A7" s="466" t="s">
        <v>516</v>
      </c>
      <c r="B7" s="467" t="s">
        <v>208</v>
      </c>
      <c r="C7" s="907"/>
      <c r="D7" s="907"/>
      <c r="E7" s="907"/>
      <c r="F7" s="907"/>
      <c r="G7" s="907"/>
      <c r="H7" s="907"/>
      <c r="I7" s="907"/>
      <c r="J7" s="446" t="s">
        <v>251</v>
      </c>
    </row>
    <row r="8" spans="1:10" ht="13.8" thickBot="1" x14ac:dyDescent="0.3">
      <c r="A8" s="527" t="s">
        <v>328</v>
      </c>
      <c r="B8" s="471">
        <v>1</v>
      </c>
      <c r="C8" s="912" t="s">
        <v>517</v>
      </c>
      <c r="D8" s="913"/>
      <c r="E8" s="913"/>
      <c r="F8" s="913"/>
      <c r="G8" s="913"/>
      <c r="H8" s="913"/>
      <c r="I8" s="914"/>
      <c r="J8" s="528">
        <v>40862</v>
      </c>
    </row>
    <row r="9" spans="1:10" ht="13.8" thickBot="1" x14ac:dyDescent="0.3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5">
      <c r="A10" s="466" t="s">
        <v>516</v>
      </c>
      <c r="B10" s="467" t="s">
        <v>208</v>
      </c>
      <c r="C10" s="907"/>
      <c r="D10" s="907"/>
      <c r="E10" s="907"/>
      <c r="F10" s="907"/>
      <c r="G10" s="907"/>
      <c r="H10" s="907"/>
      <c r="I10" s="907"/>
      <c r="J10" s="446" t="s">
        <v>251</v>
      </c>
    </row>
    <row r="11" spans="1:10" ht="13.8" thickBot="1" x14ac:dyDescent="0.3">
      <c r="A11" s="527" t="s">
        <v>326</v>
      </c>
      <c r="B11" s="471">
        <v>1</v>
      </c>
      <c r="C11" s="912" t="s">
        <v>327</v>
      </c>
      <c r="D11" s="913"/>
      <c r="E11" s="913"/>
      <c r="F11" s="913"/>
      <c r="G11" s="913"/>
      <c r="H11" s="913"/>
      <c r="I11" s="914"/>
      <c r="J11" s="528">
        <v>40611</v>
      </c>
    </row>
    <row r="12" spans="1:10" x14ac:dyDescent="0.25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8" thickBot="1" x14ac:dyDescent="0.3"/>
    <row r="14" spans="1:10" ht="21" customHeight="1" x14ac:dyDescent="0.25">
      <c r="A14" s="466" t="s">
        <v>516</v>
      </c>
      <c r="B14" s="467" t="s">
        <v>208</v>
      </c>
      <c r="C14" s="907"/>
      <c r="D14" s="907"/>
      <c r="E14" s="907"/>
      <c r="F14" s="907"/>
      <c r="G14" s="907"/>
      <c r="H14" s="907"/>
      <c r="I14" s="907"/>
      <c r="J14" s="446" t="s">
        <v>251</v>
      </c>
    </row>
    <row r="15" spans="1:10" ht="13.8" thickBot="1" x14ac:dyDescent="0.3">
      <c r="A15" s="527" t="s">
        <v>322</v>
      </c>
      <c r="B15" s="471">
        <v>1</v>
      </c>
      <c r="C15" s="912" t="s">
        <v>518</v>
      </c>
      <c r="D15" s="913"/>
      <c r="E15" s="913"/>
      <c r="F15" s="913"/>
      <c r="G15" s="913"/>
      <c r="H15" s="913"/>
      <c r="I15" s="914"/>
      <c r="J15" s="528">
        <v>40610</v>
      </c>
    </row>
    <row r="16" spans="1:10" x14ac:dyDescent="0.25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8" thickBot="1" x14ac:dyDescent="0.3"/>
    <row r="18" spans="1:10" ht="21" customHeight="1" x14ac:dyDescent="0.25">
      <c r="A18" s="466" t="s">
        <v>516</v>
      </c>
      <c r="B18" s="467" t="s">
        <v>208</v>
      </c>
      <c r="C18" s="907"/>
      <c r="D18" s="907"/>
      <c r="E18" s="907"/>
      <c r="F18" s="907"/>
      <c r="G18" s="907"/>
      <c r="H18" s="907"/>
      <c r="I18" s="907"/>
      <c r="J18" s="446" t="s">
        <v>251</v>
      </c>
    </row>
    <row r="19" spans="1:10" x14ac:dyDescent="0.25">
      <c r="A19" s="901" t="s">
        <v>303</v>
      </c>
      <c r="B19" s="468">
        <v>1</v>
      </c>
      <c r="C19" s="469" t="s">
        <v>519</v>
      </c>
      <c r="D19" s="470"/>
      <c r="E19" s="470"/>
      <c r="F19" s="470"/>
      <c r="G19" s="470"/>
      <c r="H19" s="470"/>
      <c r="I19" s="470"/>
      <c r="J19" s="904">
        <v>40610</v>
      </c>
    </row>
    <row r="20" spans="1:10" x14ac:dyDescent="0.25">
      <c r="A20" s="902"/>
      <c r="B20" s="468">
        <v>2</v>
      </c>
      <c r="C20" s="469" t="s">
        <v>520</v>
      </c>
      <c r="D20" s="470"/>
      <c r="E20" s="470"/>
      <c r="F20" s="470"/>
      <c r="G20" s="470"/>
      <c r="H20" s="470"/>
      <c r="I20" s="470"/>
      <c r="J20" s="905"/>
    </row>
    <row r="21" spans="1:10" ht="13.8" thickBot="1" x14ac:dyDescent="0.3">
      <c r="A21" s="903"/>
      <c r="B21" s="471">
        <v>3</v>
      </c>
      <c r="C21" s="472"/>
      <c r="D21" s="473"/>
      <c r="E21" s="473"/>
      <c r="F21" s="473"/>
      <c r="G21" s="473"/>
      <c r="H21" s="473"/>
      <c r="I21" s="473"/>
      <c r="J21" s="906"/>
    </row>
    <row r="22" spans="1:10" x14ac:dyDescent="0.25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8" thickBot="1" x14ac:dyDescent="0.3"/>
    <row r="24" spans="1:10" ht="21" customHeight="1" x14ac:dyDescent="0.25">
      <c r="A24" s="466" t="s">
        <v>516</v>
      </c>
      <c r="B24" s="467" t="s">
        <v>208</v>
      </c>
      <c r="C24" s="907"/>
      <c r="D24" s="907"/>
      <c r="E24" s="907"/>
      <c r="F24" s="907"/>
      <c r="G24" s="907"/>
      <c r="H24" s="907"/>
      <c r="I24" s="907"/>
      <c r="J24" s="446" t="s">
        <v>251</v>
      </c>
    </row>
    <row r="25" spans="1:10" x14ac:dyDescent="0.25">
      <c r="A25" s="901" t="s">
        <v>290</v>
      </c>
      <c r="B25" s="468">
        <v>1</v>
      </c>
      <c r="C25" s="469" t="s">
        <v>521</v>
      </c>
      <c r="D25" s="470"/>
      <c r="E25" s="470"/>
      <c r="F25" s="470"/>
      <c r="G25" s="470"/>
      <c r="H25" s="470"/>
      <c r="I25" s="470"/>
      <c r="J25" s="904">
        <v>40609</v>
      </c>
    </row>
    <row r="26" spans="1:10" x14ac:dyDescent="0.25">
      <c r="A26" s="902"/>
      <c r="B26" s="468">
        <v>2</v>
      </c>
      <c r="C26" s="469" t="s">
        <v>522</v>
      </c>
      <c r="D26" s="470"/>
      <c r="E26" s="470"/>
      <c r="F26" s="470"/>
      <c r="G26" s="470"/>
      <c r="H26" s="470"/>
      <c r="I26" s="470"/>
      <c r="J26" s="905"/>
    </row>
    <row r="27" spans="1:10" ht="13.8" thickBot="1" x14ac:dyDescent="0.3">
      <c r="A27" s="903"/>
      <c r="B27" s="471">
        <v>3</v>
      </c>
      <c r="C27" s="472" t="s">
        <v>523</v>
      </c>
      <c r="D27" s="473"/>
      <c r="E27" s="473"/>
      <c r="F27" s="473"/>
      <c r="G27" s="473"/>
      <c r="H27" s="473"/>
      <c r="I27" s="473"/>
      <c r="J27" s="906"/>
    </row>
    <row r="28" spans="1:10" x14ac:dyDescent="0.25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8" thickBot="1" x14ac:dyDescent="0.3"/>
    <row r="30" spans="1:10" ht="21" customHeight="1" x14ac:dyDescent="0.25">
      <c r="A30" s="403" t="s">
        <v>516</v>
      </c>
      <c r="B30" s="413" t="s">
        <v>208</v>
      </c>
      <c r="C30" s="911"/>
      <c r="D30" s="911"/>
      <c r="E30" s="911"/>
      <c r="F30" s="911"/>
      <c r="G30" s="911"/>
      <c r="H30" s="911"/>
      <c r="I30" s="911"/>
      <c r="J30" s="414" t="s">
        <v>251</v>
      </c>
    </row>
    <row r="31" spans="1:10" ht="13.8" thickBot="1" x14ac:dyDescent="0.3">
      <c r="A31" s="425" t="s">
        <v>289</v>
      </c>
      <c r="B31" s="426">
        <v>1</v>
      </c>
      <c r="C31" s="427" t="s">
        <v>524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5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8" thickBot="1" x14ac:dyDescent="0.3"/>
    <row r="34" spans="1:10" ht="21" customHeight="1" x14ac:dyDescent="0.25">
      <c r="A34" s="403" t="s">
        <v>516</v>
      </c>
      <c r="B34" s="413" t="s">
        <v>208</v>
      </c>
      <c r="C34" s="911"/>
      <c r="D34" s="911"/>
      <c r="E34" s="911"/>
      <c r="F34" s="911"/>
      <c r="G34" s="911"/>
      <c r="H34" s="911"/>
      <c r="I34" s="911"/>
      <c r="J34" s="414" t="s">
        <v>251</v>
      </c>
    </row>
    <row r="35" spans="1:10" x14ac:dyDescent="0.25">
      <c r="A35" s="415" t="s">
        <v>249</v>
      </c>
      <c r="B35" s="267">
        <v>1</v>
      </c>
      <c r="C35" s="268" t="s">
        <v>525</v>
      </c>
      <c r="D35" s="269"/>
      <c r="E35" s="269"/>
      <c r="F35" s="269"/>
      <c r="G35" s="269"/>
      <c r="H35" s="269"/>
      <c r="I35" s="269"/>
      <c r="J35" s="908">
        <v>40407</v>
      </c>
    </row>
    <row r="36" spans="1:10" x14ac:dyDescent="0.25">
      <c r="A36" s="416"/>
      <c r="B36" s="270">
        <f>B35+1</f>
        <v>2</v>
      </c>
      <c r="C36" s="271" t="s">
        <v>526</v>
      </c>
      <c r="D36" s="272"/>
      <c r="E36" s="272"/>
      <c r="F36" s="272"/>
      <c r="G36" s="272"/>
      <c r="H36" s="272"/>
      <c r="I36" s="272"/>
      <c r="J36" s="909"/>
    </row>
    <row r="37" spans="1:10" x14ac:dyDescent="0.25">
      <c r="A37" s="416"/>
      <c r="B37" s="270">
        <f t="shared" ref="B37:B44" si="0">B36+1</f>
        <v>3</v>
      </c>
      <c r="C37" s="271" t="s">
        <v>527</v>
      </c>
      <c r="D37" s="272"/>
      <c r="E37" s="272"/>
      <c r="F37" s="272"/>
      <c r="G37" s="272"/>
      <c r="H37" s="272"/>
      <c r="I37" s="272"/>
      <c r="J37" s="909"/>
    </row>
    <row r="38" spans="1:10" x14ac:dyDescent="0.25">
      <c r="A38" s="416"/>
      <c r="B38" s="270">
        <f t="shared" si="0"/>
        <v>4</v>
      </c>
      <c r="C38" s="271" t="s">
        <v>528</v>
      </c>
      <c r="D38" s="272"/>
      <c r="E38" s="272"/>
      <c r="F38" s="272"/>
      <c r="G38" s="272"/>
      <c r="H38" s="272"/>
      <c r="I38" s="272"/>
      <c r="J38" s="909"/>
    </row>
    <row r="39" spans="1:10" x14ac:dyDescent="0.25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909"/>
    </row>
    <row r="40" spans="1:10" x14ac:dyDescent="0.25">
      <c r="A40" s="416"/>
      <c r="B40" s="270">
        <f t="shared" si="0"/>
        <v>6</v>
      </c>
      <c r="C40" s="271" t="s">
        <v>529</v>
      </c>
      <c r="D40" s="272"/>
      <c r="E40" s="272"/>
      <c r="F40" s="272"/>
      <c r="G40" s="272"/>
      <c r="H40" s="272"/>
      <c r="I40" s="272"/>
      <c r="J40" s="909"/>
    </row>
    <row r="41" spans="1:10" x14ac:dyDescent="0.25">
      <c r="A41" s="416"/>
      <c r="B41" s="270">
        <f t="shared" si="0"/>
        <v>7</v>
      </c>
      <c r="C41" s="271" t="s">
        <v>530</v>
      </c>
      <c r="D41" s="272"/>
      <c r="E41" s="272"/>
      <c r="F41" s="272"/>
      <c r="G41" s="272"/>
      <c r="H41" s="272"/>
      <c r="I41" s="272"/>
      <c r="J41" s="909"/>
    </row>
    <row r="42" spans="1:10" x14ac:dyDescent="0.25">
      <c r="A42" s="416"/>
      <c r="B42" s="270">
        <f t="shared" si="0"/>
        <v>8</v>
      </c>
      <c r="C42" s="271" t="s">
        <v>531</v>
      </c>
      <c r="D42" s="272"/>
      <c r="E42" s="272"/>
      <c r="F42" s="272"/>
      <c r="G42" s="272"/>
      <c r="H42" s="272"/>
      <c r="I42" s="272"/>
      <c r="J42" s="909"/>
    </row>
    <row r="43" spans="1:10" x14ac:dyDescent="0.25">
      <c r="A43" s="416"/>
      <c r="B43" s="270">
        <f t="shared" si="0"/>
        <v>9</v>
      </c>
      <c r="C43" s="271" t="s">
        <v>532</v>
      </c>
      <c r="D43" s="272"/>
      <c r="E43" s="272"/>
      <c r="F43" s="272"/>
      <c r="G43" s="272"/>
      <c r="H43" s="272"/>
      <c r="I43" s="272"/>
      <c r="J43" s="909"/>
    </row>
    <row r="44" spans="1:10" ht="13.8" thickBot="1" x14ac:dyDescent="0.3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910"/>
    </row>
  </sheetData>
  <mergeCells count="17">
    <mergeCell ref="J35:J44"/>
    <mergeCell ref="C34:I34"/>
    <mergeCell ref="C30:I30"/>
    <mergeCell ref="C18:I18"/>
    <mergeCell ref="C7:I7"/>
    <mergeCell ref="C8:I8"/>
    <mergeCell ref="C10:I10"/>
    <mergeCell ref="C11:I11"/>
    <mergeCell ref="C15:I15"/>
    <mergeCell ref="C4:I4"/>
    <mergeCell ref="C5:I5"/>
    <mergeCell ref="A19:A21"/>
    <mergeCell ref="J19:J21"/>
    <mergeCell ref="J25:J27"/>
    <mergeCell ref="A25:A27"/>
    <mergeCell ref="C24:I24"/>
    <mergeCell ref="C14:I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4" width="22.44140625" customWidth="1"/>
    <col min="5" max="5" width="3.6640625" customWidth="1"/>
  </cols>
  <sheetData>
    <row r="1" spans="1:5" x14ac:dyDescent="0.25">
      <c r="A1" s="814" t="s">
        <v>596</v>
      </c>
    </row>
    <row r="2" spans="1:5" x14ac:dyDescent="0.25">
      <c r="A2" s="581" t="s">
        <v>406</v>
      </c>
    </row>
    <row r="3" spans="1:5" x14ac:dyDescent="0.25">
      <c r="A3" s="814" t="s">
        <v>549</v>
      </c>
    </row>
    <row r="4" spans="1:5" x14ac:dyDescent="0.25">
      <c r="A4" s="581"/>
    </row>
    <row r="10" spans="1:5" x14ac:dyDescent="0.25">
      <c r="D10" s="583"/>
    </row>
    <row r="11" spans="1:5" x14ac:dyDescent="0.25">
      <c r="E11" s="608"/>
    </row>
    <row r="12" spans="1:5" ht="34.799999999999997" customHeight="1" x14ac:dyDescent="0.25">
      <c r="B12" s="781" t="s">
        <v>129</v>
      </c>
      <c r="C12" s="882"/>
      <c r="D12" s="883" t="s">
        <v>597</v>
      </c>
      <c r="E12" s="608"/>
    </row>
    <row r="13" spans="1:5" ht="34.799999999999997" customHeight="1" x14ac:dyDescent="0.25">
      <c r="E13" s="608"/>
    </row>
    <row r="14" spans="1:5" x14ac:dyDescent="0.25">
      <c r="B14" t="s">
        <v>229</v>
      </c>
      <c r="D14" s="591">
        <f>SUM('5. Vacant Land + Dev Summary'!D14:M14)</f>
        <v>3692.8002999999999</v>
      </c>
      <c r="E14" s="608"/>
    </row>
    <row r="15" spans="1:5" x14ac:dyDescent="0.25">
      <c r="B15" t="s">
        <v>149</v>
      </c>
      <c r="D15" s="591">
        <f>SUM('5. Vacant Land + Dev Summary'!D15:M15)</f>
        <v>179.98419999999999</v>
      </c>
      <c r="E15" s="608"/>
    </row>
    <row r="16" spans="1:5" x14ac:dyDescent="0.25">
      <c r="B16" t="s">
        <v>144</v>
      </c>
      <c r="D16" s="591">
        <f>SUM('5. Vacant Land + Dev Summary'!D16:M16)</f>
        <v>1</v>
      </c>
      <c r="E16" s="608"/>
    </row>
    <row r="17" spans="2:5" x14ac:dyDescent="0.25">
      <c r="B17" t="s">
        <v>142</v>
      </c>
      <c r="D17" s="591">
        <f>SUM('5. Vacant Land + Dev Summary'!D17:M17)</f>
        <v>229.43540000000002</v>
      </c>
      <c r="E17" s="608"/>
    </row>
    <row r="18" spans="2:5" x14ac:dyDescent="0.25">
      <c r="B18" t="s">
        <v>143</v>
      </c>
      <c r="D18" s="591">
        <f>SUM('5. Vacant Land + Dev Summary'!D18:M18)</f>
        <v>291.55719999999997</v>
      </c>
      <c r="E18" s="608"/>
    </row>
    <row r="19" spans="2:5" x14ac:dyDescent="0.25">
      <c r="B19" t="s">
        <v>139</v>
      </c>
      <c r="D19" s="591">
        <f>SUM('5. Vacant Land + Dev Summary'!D19:M19)</f>
        <v>127.25630000000001</v>
      </c>
      <c r="E19" s="608"/>
    </row>
    <row r="20" spans="2:5" x14ac:dyDescent="0.25">
      <c r="B20" t="s">
        <v>146</v>
      </c>
      <c r="D20" s="591">
        <f>SUM('5. Vacant Land + Dev Summary'!D20:M20)</f>
        <v>484.99980000000005</v>
      </c>
      <c r="E20" s="608"/>
    </row>
    <row r="21" spans="2:5" x14ac:dyDescent="0.25">
      <c r="B21" t="s">
        <v>135</v>
      </c>
      <c r="D21" s="591">
        <f>SUM('5. Vacant Land + Dev Summary'!D21:M21)</f>
        <v>3401.4443000000001</v>
      </c>
      <c r="E21" s="608"/>
    </row>
    <row r="22" spans="2:5" x14ac:dyDescent="0.25">
      <c r="B22" t="s">
        <v>148</v>
      </c>
      <c r="D22" s="591">
        <f>SUM('5. Vacant Land + Dev Summary'!D22:M22)</f>
        <v>750.3723</v>
      </c>
      <c r="E22" s="608"/>
    </row>
    <row r="23" spans="2:5" x14ac:dyDescent="0.25">
      <c r="B23" t="s">
        <v>137</v>
      </c>
      <c r="D23" s="591">
        <f>SUM('5. Vacant Land + Dev Summary'!D23:M23)</f>
        <v>218.69449999999998</v>
      </c>
      <c r="E23" s="608"/>
    </row>
    <row r="24" spans="2:5" x14ac:dyDescent="0.25">
      <c r="B24" t="s">
        <v>145</v>
      </c>
      <c r="D24" s="591">
        <f>SUM('5. Vacant Land + Dev Summary'!D24:M24)</f>
        <v>56.162000000000006</v>
      </c>
      <c r="E24" s="608"/>
    </row>
    <row r="25" spans="2:5" x14ac:dyDescent="0.25">
      <c r="B25" s="870" t="s">
        <v>140</v>
      </c>
      <c r="D25" s="591">
        <f>SUM('5. Vacant Land + Dev Summary'!D25:M25)</f>
        <v>444.7595</v>
      </c>
      <c r="E25" s="608"/>
    </row>
    <row r="26" spans="2:5" x14ac:dyDescent="0.25">
      <c r="B26" s="870" t="s">
        <v>134</v>
      </c>
      <c r="D26" s="591">
        <f>SUM('5. Vacant Land + Dev Summary'!D26:M26)</f>
        <v>94.760500000000008</v>
      </c>
      <c r="E26" s="608"/>
    </row>
    <row r="27" spans="2:5" x14ac:dyDescent="0.25">
      <c r="B27" s="870" t="s">
        <v>136</v>
      </c>
      <c r="D27" s="591">
        <f>SUM('5. Vacant Land + Dev Summary'!D27:M27)</f>
        <v>216.01719999999997</v>
      </c>
      <c r="E27" s="608"/>
    </row>
    <row r="28" spans="2:5" x14ac:dyDescent="0.25">
      <c r="B28" t="s">
        <v>147</v>
      </c>
      <c r="D28" s="591">
        <f>SUM('5. Vacant Land + Dev Summary'!D28:M28)</f>
        <v>1709.1194</v>
      </c>
      <c r="E28" s="608"/>
    </row>
    <row r="29" spans="2:5" x14ac:dyDescent="0.25">
      <c r="B29" t="s">
        <v>230</v>
      </c>
      <c r="D29" s="591">
        <f>SUM('5. Vacant Land + Dev Summary'!D29:M29)</f>
        <v>1613.7525999999998</v>
      </c>
      <c r="E29" s="608"/>
    </row>
    <row r="30" spans="2:5" x14ac:dyDescent="0.25">
      <c r="B30" t="s">
        <v>157</v>
      </c>
      <c r="D30" s="591">
        <f>SUM('5. Vacant Land + Dev Summary'!D30:M30)</f>
        <v>408.69909999999999</v>
      </c>
      <c r="E30" s="608"/>
    </row>
    <row r="31" spans="2:5" x14ac:dyDescent="0.25">
      <c r="B31" t="s">
        <v>150</v>
      </c>
      <c r="D31" s="591">
        <f>SUM('5. Vacant Land + Dev Summary'!D31:M31)</f>
        <v>415.14265599999999</v>
      </c>
      <c r="E31" s="608"/>
    </row>
    <row r="32" spans="2:5" x14ac:dyDescent="0.25">
      <c r="B32" t="s">
        <v>151</v>
      </c>
      <c r="D32" s="591">
        <f>SUM('5. Vacant Land + Dev Summary'!D32:M32)</f>
        <v>40.434600000000003</v>
      </c>
      <c r="E32" s="608"/>
    </row>
    <row r="33" spans="2:5" x14ac:dyDescent="0.25">
      <c r="B33" t="s">
        <v>153</v>
      </c>
      <c r="D33" s="591">
        <f>SUM('5. Vacant Land + Dev Summary'!D33:M33)</f>
        <v>1381.3548000000001</v>
      </c>
      <c r="E33" s="608"/>
    </row>
    <row r="34" spans="2:5" x14ac:dyDescent="0.25">
      <c r="B34" t="s">
        <v>159</v>
      </c>
      <c r="D34" s="591">
        <f>SUM('5. Vacant Land + Dev Summary'!D34:M34)</f>
        <v>114.449</v>
      </c>
      <c r="E34" s="608"/>
    </row>
    <row r="35" spans="2:5" x14ac:dyDescent="0.25">
      <c r="B35" t="s">
        <v>154</v>
      </c>
      <c r="D35" s="591">
        <f>SUM('5. Vacant Land + Dev Summary'!D35:M35)</f>
        <v>19.7361</v>
      </c>
      <c r="E35" s="608"/>
    </row>
    <row r="36" spans="2:5" x14ac:dyDescent="0.25">
      <c r="B36" s="870" t="s">
        <v>155</v>
      </c>
      <c r="D36" s="591">
        <f>SUM('5. Vacant Land + Dev Summary'!D36:M36)</f>
        <v>67.5154</v>
      </c>
      <c r="E36" s="608"/>
    </row>
    <row r="37" spans="2:5" x14ac:dyDescent="0.25">
      <c r="B37" s="870" t="s">
        <v>156</v>
      </c>
      <c r="D37" s="591">
        <f>SUM('5. Vacant Land + Dev Summary'!D37:M37)</f>
        <v>11.652799999999999</v>
      </c>
      <c r="E37" s="608"/>
    </row>
    <row r="38" spans="2:5" x14ac:dyDescent="0.25">
      <c r="B38" t="s">
        <v>152</v>
      </c>
      <c r="D38" s="591">
        <f>SUM('5. Vacant Land + Dev Summary'!D38:M38)</f>
        <v>746.6336</v>
      </c>
      <c r="E38" s="608"/>
    </row>
    <row r="39" spans="2:5" x14ac:dyDescent="0.25">
      <c r="B39" t="s">
        <v>133</v>
      </c>
      <c r="D39" s="591">
        <f>SUM('5. Vacant Land + Dev Summary'!D39:M39)</f>
        <v>659.50749999999994</v>
      </c>
      <c r="E39" s="608"/>
    </row>
    <row r="40" spans="2:5" x14ac:dyDescent="0.25">
      <c r="D40" s="583"/>
      <c r="E40" s="608"/>
    </row>
    <row r="41" spans="2:5" x14ac:dyDescent="0.25">
      <c r="D41" s="590"/>
      <c r="E41" s="608"/>
    </row>
    <row r="42" spans="2:5" x14ac:dyDescent="0.25">
      <c r="E42" s="608"/>
    </row>
    <row r="43" spans="2:5" x14ac:dyDescent="0.25">
      <c r="B43" t="s">
        <v>0</v>
      </c>
      <c r="D43" s="601">
        <f t="shared" ref="D43" si="0">SUM(D14:D41)</f>
        <v>17377.241055999999</v>
      </c>
      <c r="E43" s="608"/>
    </row>
    <row r="44" spans="2:5" x14ac:dyDescent="0.25">
      <c r="E44" s="608"/>
    </row>
    <row r="45" spans="2:5" x14ac:dyDescent="0.25">
      <c r="E45" s="608"/>
    </row>
    <row r="46" spans="2:5" x14ac:dyDescent="0.25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RowHeight="13.2" x14ac:dyDescent="0.25"/>
  <cols>
    <col min="1" max="1" width="1.5546875" style="820" customWidth="1"/>
    <col min="2" max="2" width="9.5546875" style="820" customWidth="1"/>
    <col min="3" max="3" width="5.6640625" style="820" bestFit="1" customWidth="1"/>
    <col min="4" max="4" width="9.6640625" style="820" customWidth="1"/>
    <col min="5" max="10" width="10.6640625" style="820" customWidth="1"/>
    <col min="11" max="11" width="9.6640625" style="820" customWidth="1"/>
    <col min="12" max="12" width="9.44140625" style="820" customWidth="1"/>
    <col min="13" max="13" width="2.5546875" style="820" customWidth="1"/>
    <col min="14" max="14" width="5.6640625" style="820" bestFit="1" customWidth="1"/>
    <col min="15" max="16" width="7.6640625" style="820" bestFit="1" customWidth="1"/>
    <col min="17" max="23" width="5.88671875" style="820" bestFit="1" customWidth="1"/>
    <col min="24" max="25" width="7.6640625" style="820" bestFit="1" customWidth="1"/>
    <col min="26" max="26" width="5.88671875" style="820" bestFit="1" customWidth="1"/>
    <col min="27" max="27" width="2.109375" style="820" customWidth="1"/>
    <col min="28" max="28" width="2.6640625" style="820" customWidth="1"/>
    <col min="29" max="16384" width="8.88671875" style="820"/>
  </cols>
  <sheetData>
    <row r="1" spans="1:14" x14ac:dyDescent="0.25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5">
      <c r="K2" s="993"/>
      <c r="L2" s="994"/>
    </row>
    <row r="3" spans="1:14" x14ac:dyDescent="0.25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5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5">
      <c r="N5" s="832"/>
    </row>
    <row r="6" spans="1:14" x14ac:dyDescent="0.25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5">
      <c r="N7" s="832"/>
    </row>
    <row r="8" spans="1:14" x14ac:dyDescent="0.25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5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5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5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5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5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5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5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5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5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5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5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5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5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5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5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5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5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5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5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5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5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5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5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5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6" x14ac:dyDescent="0.25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6" ht="5.25" customHeight="1" x14ac:dyDescent="0.25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6" hidden="1" x14ac:dyDescent="0.25">
      <c r="N35" s="832"/>
    </row>
    <row r="36" spans="2:26" x14ac:dyDescent="0.25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6" x14ac:dyDescent="0.25">
      <c r="N37" s="832"/>
      <c r="Q37" s="820" t="s">
        <v>203</v>
      </c>
      <c r="R37" s="820" t="s">
        <v>203</v>
      </c>
      <c r="S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  <c r="Z37" s="820" t="s">
        <v>203</v>
      </c>
    </row>
    <row r="38" spans="2:26" hidden="1" x14ac:dyDescent="0.25">
      <c r="D38" s="837">
        <f>+D36+E36+G36+H36+I36+J36+K36+L36</f>
        <v>17377.241055999999</v>
      </c>
      <c r="N38" s="832"/>
      <c r="Q38" s="820">
        <v>30</v>
      </c>
      <c r="R38" s="820">
        <v>31</v>
      </c>
      <c r="S38" s="820">
        <v>32</v>
      </c>
      <c r="T38" s="820">
        <v>33</v>
      </c>
      <c r="U38" s="820">
        <v>34</v>
      </c>
      <c r="V38" s="820">
        <v>35</v>
      </c>
      <c r="W38" s="820">
        <v>36</v>
      </c>
      <c r="X38" s="820">
        <v>37</v>
      </c>
      <c r="Y38" s="820">
        <v>38</v>
      </c>
      <c r="Z38" s="820">
        <v>39</v>
      </c>
    </row>
    <row r="39" spans="2:26" hidden="1" x14ac:dyDescent="0.25">
      <c r="N39" s="832"/>
    </row>
    <row r="40" spans="2:26" hidden="1" x14ac:dyDescent="0.25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6" hidden="1" x14ac:dyDescent="0.25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6" hidden="1" x14ac:dyDescent="0.25">
      <c r="N42" s="832"/>
    </row>
    <row r="43" spans="2:26" x14ac:dyDescent="0.25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S43" s="820">
        <v>32</v>
      </c>
      <c r="T43" s="820">
        <v>33</v>
      </c>
      <c r="U43" s="820">
        <v>34</v>
      </c>
      <c r="V43" s="820">
        <v>35</v>
      </c>
      <c r="W43" s="820">
        <v>36</v>
      </c>
      <c r="X43" s="820">
        <v>37</v>
      </c>
      <c r="Y43" s="820">
        <v>38</v>
      </c>
      <c r="Z43" s="820">
        <v>39</v>
      </c>
    </row>
    <row r="44" spans="2:26" x14ac:dyDescent="0.25">
      <c r="N44" s="832"/>
    </row>
    <row r="45" spans="2:26" x14ac:dyDescent="0.25">
      <c r="B45" s="820" t="s">
        <v>229</v>
      </c>
      <c r="D45" s="858">
        <v>0.1</v>
      </c>
      <c r="E45" s="858">
        <v>0.1</v>
      </c>
      <c r="F45" s="858"/>
      <c r="G45" s="859">
        <f>IF(ISNA(VLOOKUP($B8,'PFF-Zones (Combined)'!$B$34:$W$47,21,FALSE)),0,VLOOKUP($B8,'PFF-Zones (Combined)'!$B$34:$W$47,21,FALSE))</f>
        <v>0</v>
      </c>
      <c r="H45" s="859">
        <f>IF(ISNA(VLOOKUP($B8,'PFF-Zones (Combined)'!$B$50:$W$56,21,FALSE)),0,VLOOKUP($B8,'PFF-Zones (Combined)'!$B$50:$W$56,21,FALSE))</f>
        <v>0</v>
      </c>
      <c r="I45" s="859">
        <f>IF(ISNA(VLOOKUP($B8,'PFF-Zones (Combined)'!$B$61:$W$71,21,FALSE)),0,VLOOKUP($B8,'PFF-Zones (Combined)'!$B$61:$W$71,21,FALSE))</f>
        <v>0</v>
      </c>
      <c r="J45" s="859">
        <f>IF(ISNA(VLOOKUP($B8,'PFF-Zones (Combined)'!$B$75:$W$81,21,FALSE)),0,VLOOKUP($B8,'PFF-Zones (Combined)'!$B$75:$W$81,21,FALSE))</f>
        <v>0</v>
      </c>
      <c r="K45" s="858">
        <v>0.1</v>
      </c>
      <c r="L45" s="858">
        <v>0.1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>
        <v>0</v>
      </c>
      <c r="T45" s="860">
        <v>0</v>
      </c>
      <c r="U45" s="860">
        <v>0</v>
      </c>
      <c r="V45" s="860">
        <v>0</v>
      </c>
      <c r="W45" s="860">
        <v>0.42499999999999999</v>
      </c>
      <c r="X45" s="860"/>
      <c r="Y45" s="860"/>
      <c r="Z45" s="860">
        <v>0.42499999999999999</v>
      </c>
    </row>
    <row r="46" spans="2:26" x14ac:dyDescent="0.25">
      <c r="B46" s="820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>
        <v>0</v>
      </c>
      <c r="T46" s="860">
        <v>0</v>
      </c>
      <c r="U46" s="860">
        <v>0</v>
      </c>
      <c r="V46" s="860">
        <v>0</v>
      </c>
      <c r="W46" s="860">
        <v>0</v>
      </c>
      <c r="X46" s="860"/>
      <c r="Y46" s="860"/>
      <c r="Z46" s="860">
        <v>0.85</v>
      </c>
    </row>
    <row r="47" spans="2:26" x14ac:dyDescent="0.25">
      <c r="B47" s="820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>
        <v>0</v>
      </c>
      <c r="T47" s="860">
        <v>0</v>
      </c>
      <c r="U47" s="860">
        <v>0.85</v>
      </c>
      <c r="V47" s="860">
        <v>0</v>
      </c>
      <c r="W47" s="860">
        <v>0</v>
      </c>
      <c r="X47" s="860"/>
      <c r="Y47" s="860"/>
      <c r="Z47" s="860">
        <v>0</v>
      </c>
    </row>
    <row r="48" spans="2:26" x14ac:dyDescent="0.25">
      <c r="B48" s="820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>
        <v>0.85</v>
      </c>
      <c r="T48" s="860">
        <v>0.85</v>
      </c>
      <c r="U48" s="860">
        <v>0.85</v>
      </c>
      <c r="V48" s="860">
        <v>0.85</v>
      </c>
      <c r="W48" s="860">
        <v>0.85</v>
      </c>
      <c r="X48" s="860"/>
      <c r="Y48" s="860"/>
      <c r="Z48" s="860">
        <v>0.85</v>
      </c>
    </row>
    <row r="49" spans="2:26" x14ac:dyDescent="0.25">
      <c r="B49" s="820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>
        <v>0.85</v>
      </c>
      <c r="T49" s="860">
        <v>0.85</v>
      </c>
      <c r="U49" s="860">
        <v>0.85</v>
      </c>
      <c r="V49" s="860">
        <v>0.85</v>
      </c>
      <c r="W49" s="860">
        <v>0.85</v>
      </c>
      <c r="X49" s="860"/>
      <c r="Y49" s="860"/>
      <c r="Z49" s="860">
        <v>0.85</v>
      </c>
    </row>
    <row r="50" spans="2:26" x14ac:dyDescent="0.25">
      <c r="B50" s="820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>
        <v>0.85</v>
      </c>
      <c r="T50" s="860">
        <v>0</v>
      </c>
      <c r="U50" s="860">
        <v>0.85</v>
      </c>
      <c r="V50" s="860">
        <v>0</v>
      </c>
      <c r="W50" s="860">
        <v>0.85</v>
      </c>
      <c r="X50" s="860"/>
      <c r="Y50" s="860"/>
      <c r="Z50" s="860">
        <v>0.85</v>
      </c>
    </row>
    <row r="51" spans="2:26" x14ac:dyDescent="0.25">
      <c r="B51" s="820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>
        <v>0</v>
      </c>
      <c r="T51" s="860">
        <v>0.85</v>
      </c>
      <c r="U51" s="860">
        <v>0.85</v>
      </c>
      <c r="V51" s="860">
        <v>0.85</v>
      </c>
      <c r="W51" s="860">
        <v>0.85</v>
      </c>
      <c r="X51" s="860"/>
      <c r="Y51" s="860"/>
      <c r="Z51" s="860">
        <v>0</v>
      </c>
    </row>
    <row r="52" spans="2:26" x14ac:dyDescent="0.25">
      <c r="B52" s="820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>
        <v>0.85</v>
      </c>
      <c r="T52" s="860">
        <v>0.85</v>
      </c>
      <c r="U52" s="860">
        <v>0.85</v>
      </c>
      <c r="V52" s="860">
        <v>0.85</v>
      </c>
      <c r="W52" s="860">
        <v>0.85</v>
      </c>
      <c r="X52" s="860"/>
      <c r="Y52" s="860"/>
      <c r="Z52" s="860">
        <v>0.85</v>
      </c>
    </row>
    <row r="53" spans="2:26" x14ac:dyDescent="0.25">
      <c r="B53" s="820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>
        <v>0.85</v>
      </c>
      <c r="T53" s="860">
        <v>0.85</v>
      </c>
      <c r="U53" s="860">
        <v>0.85</v>
      </c>
      <c r="V53" s="860">
        <v>0.85</v>
      </c>
      <c r="W53" s="860">
        <v>0.85</v>
      </c>
      <c r="X53" s="860"/>
      <c r="Y53" s="860"/>
      <c r="Z53" s="860">
        <v>0</v>
      </c>
    </row>
    <row r="54" spans="2:26" x14ac:dyDescent="0.25">
      <c r="B54" s="820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>
        <v>0.85</v>
      </c>
      <c r="T54" s="860">
        <v>0.85</v>
      </c>
      <c r="U54" s="860">
        <v>0.85</v>
      </c>
      <c r="V54" s="860">
        <v>0</v>
      </c>
      <c r="W54" s="860">
        <v>0.85</v>
      </c>
      <c r="X54" s="860"/>
      <c r="Y54" s="860"/>
      <c r="Z54" s="860">
        <v>0.85</v>
      </c>
    </row>
    <row r="55" spans="2:26" x14ac:dyDescent="0.25">
      <c r="B55" s="820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>
        <v>0.85</v>
      </c>
      <c r="T55" s="860">
        <v>0.85</v>
      </c>
      <c r="U55" s="860">
        <v>0.85</v>
      </c>
      <c r="V55" s="860">
        <v>0.85</v>
      </c>
      <c r="W55" s="860">
        <v>0.85</v>
      </c>
      <c r="X55" s="860"/>
      <c r="Y55" s="860"/>
      <c r="Z55" s="860">
        <v>0</v>
      </c>
    </row>
    <row r="56" spans="2:26" x14ac:dyDescent="0.25">
      <c r="B56" s="820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>
        <v>0.85</v>
      </c>
      <c r="T56" s="860">
        <v>0</v>
      </c>
      <c r="U56" s="860">
        <v>0</v>
      </c>
      <c r="V56" s="860">
        <v>0</v>
      </c>
      <c r="W56" s="860">
        <v>0</v>
      </c>
      <c r="X56" s="860"/>
      <c r="Y56" s="860"/>
      <c r="Z56" s="860">
        <v>0.85</v>
      </c>
    </row>
    <row r="57" spans="2:26" x14ac:dyDescent="0.25">
      <c r="B57" s="820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>
        <v>0.85</v>
      </c>
      <c r="T57" s="860">
        <v>0</v>
      </c>
      <c r="U57" s="860">
        <v>0.85</v>
      </c>
      <c r="V57" s="860">
        <v>0</v>
      </c>
      <c r="W57" s="860">
        <v>0.85</v>
      </c>
      <c r="X57" s="860"/>
      <c r="Y57" s="860"/>
      <c r="Z57" s="860">
        <v>0</v>
      </c>
    </row>
    <row r="58" spans="2:26" x14ac:dyDescent="0.25">
      <c r="B58" s="820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>
        <v>0</v>
      </c>
      <c r="T58" s="860">
        <v>0</v>
      </c>
      <c r="U58" s="860">
        <v>0.85</v>
      </c>
      <c r="V58" s="860">
        <v>0.85</v>
      </c>
      <c r="W58" s="860">
        <v>0.85</v>
      </c>
      <c r="X58" s="860"/>
      <c r="Y58" s="860"/>
      <c r="Z58" s="860">
        <v>0</v>
      </c>
    </row>
    <row r="59" spans="2:26" x14ac:dyDescent="0.25">
      <c r="B59" s="820" t="s">
        <v>147</v>
      </c>
      <c r="D59" s="859">
        <f>IF(ISNA(VLOOKUP($B22,'PFF-Zones (Combined)'!$B$3:$W$11,21,FALSE)),0,VLOOKUP($B22,'PFF-Zones (Combined)'!$B$3:$W$11,21,FALSE))</f>
        <v>0</v>
      </c>
      <c r="E59" s="858">
        <v>0</v>
      </c>
      <c r="F59" s="858"/>
      <c r="G59" s="858">
        <v>0</v>
      </c>
      <c r="H59" s="858">
        <v>0</v>
      </c>
      <c r="I59" s="858">
        <v>0</v>
      </c>
      <c r="J59" s="858">
        <v>0</v>
      </c>
      <c r="K59" s="858">
        <v>0.3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>
        <v>0.42499999999999999</v>
      </c>
      <c r="T59" s="860">
        <v>0</v>
      </c>
      <c r="U59" s="860">
        <v>0</v>
      </c>
      <c r="V59" s="860">
        <v>0</v>
      </c>
      <c r="W59" s="860">
        <v>0.42499999999999999</v>
      </c>
      <c r="X59" s="860"/>
      <c r="Y59" s="860"/>
      <c r="Z59" s="860">
        <v>0</v>
      </c>
    </row>
    <row r="60" spans="2:26" x14ac:dyDescent="0.25">
      <c r="B60" s="820" t="s">
        <v>230</v>
      </c>
      <c r="D60" s="858">
        <v>0.1</v>
      </c>
      <c r="E60" s="858">
        <v>0.2</v>
      </c>
      <c r="F60" s="858"/>
      <c r="G60" s="858">
        <v>0</v>
      </c>
      <c r="H60" s="858">
        <v>0</v>
      </c>
      <c r="I60" s="858">
        <v>0</v>
      </c>
      <c r="J60" s="859">
        <f>IF(ISNA(VLOOKUP($B23,'PFF-Zones (Combined)'!$B$75:$W$81,21,FALSE)),0,VLOOKUP($B23,'PFF-Zones (Combined)'!$B$75:$W$81,21,FALSE))</f>
        <v>0</v>
      </c>
      <c r="K60" s="858">
        <v>0.2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>
        <v>0.42499999999999999</v>
      </c>
      <c r="T60" s="860">
        <v>0</v>
      </c>
      <c r="U60" s="860">
        <v>0</v>
      </c>
      <c r="V60" s="860">
        <v>0</v>
      </c>
      <c r="W60" s="860">
        <v>0.42499999999999999</v>
      </c>
      <c r="X60" s="860"/>
      <c r="Y60" s="860"/>
      <c r="Z60" s="860">
        <v>0</v>
      </c>
    </row>
    <row r="61" spans="2:26" x14ac:dyDescent="0.25">
      <c r="B61" s="820" t="s">
        <v>157</v>
      </c>
      <c r="D61" s="859">
        <f>IF(ISNA(VLOOKUP($B24,'PFF-Zones (Combined)'!$B$3:$W$11,21,FALSE)),0,VLOOKUP($B24,'PFF-Zones (Combined)'!$B$3:$W$11,21,FALSE))</f>
        <v>0</v>
      </c>
      <c r="E61" s="859">
        <f>IF(ISNA(VLOOKUP($B24,'PFF-Zones (Combined)'!$B$15:$W$31,21,FALSE)),0,VLOOKUP($B24,'PFF-Zones (Combined)'!$B$15:$W$31,21,FALSE))</f>
        <v>0</v>
      </c>
      <c r="F61" s="859"/>
      <c r="G61" s="858">
        <v>0</v>
      </c>
      <c r="H61" s="858">
        <v>0</v>
      </c>
      <c r="I61" s="858">
        <v>0</v>
      </c>
      <c r="J61" s="859">
        <f>IF(ISNA(VLOOKUP($B24,'PFF-Zones (Combined)'!$B$75:$W$81,21,FALSE)),0,VLOOKUP($B24,'PFF-Zones (Combined)'!$B$75:$W$81,21,FALSE))</f>
        <v>0</v>
      </c>
      <c r="K61" s="858">
        <v>0.2</v>
      </c>
      <c r="L61" s="858">
        <v>0.2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>
        <v>0</v>
      </c>
      <c r="T61" s="860">
        <v>0</v>
      </c>
      <c r="U61" s="860">
        <v>0</v>
      </c>
      <c r="V61" s="860">
        <v>0</v>
      </c>
      <c r="W61" s="860">
        <v>0.42499999999999999</v>
      </c>
      <c r="X61" s="860"/>
      <c r="Y61" s="860"/>
      <c r="Z61" s="860">
        <v>0.42499999999999999</v>
      </c>
    </row>
    <row r="62" spans="2:26" x14ac:dyDescent="0.25">
      <c r="B62" s="820" t="s">
        <v>150</v>
      </c>
      <c r="D62" s="859">
        <f>IF(ISNA(VLOOKUP($B25,'PFF-Zones (Combined)'!$B$3:$W$11,21,FALSE)),0,VLOOKUP($B25,'PFF-Zones (Combined)'!$B$3:$W$11,21,FALSE))</f>
        <v>0</v>
      </c>
      <c r="E62" s="858">
        <v>0.3</v>
      </c>
      <c r="F62" s="858"/>
      <c r="G62" s="858">
        <v>0</v>
      </c>
      <c r="H62" s="858">
        <v>0</v>
      </c>
      <c r="I62" s="858">
        <v>0</v>
      </c>
      <c r="J62" s="859">
        <f>IF(ISNA(VLOOKUP($B25,'PFF-Zones (Combined)'!$B$75:$W$81,21,FALSE)),0,VLOOKUP($B25,'PFF-Zones (Combined)'!$B$75:$W$81,21,FALSE))</f>
        <v>0</v>
      </c>
      <c r="K62" s="858">
        <v>0.3</v>
      </c>
      <c r="L62" s="858">
        <v>0.2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>
        <v>0</v>
      </c>
      <c r="T62" s="860">
        <v>0</v>
      </c>
      <c r="U62" s="860">
        <v>0</v>
      </c>
      <c r="V62" s="860">
        <v>0</v>
      </c>
      <c r="W62" s="860">
        <v>0.42499999999999999</v>
      </c>
      <c r="X62" s="860"/>
      <c r="Y62" s="860"/>
      <c r="Z62" s="860">
        <v>0.42499999999999999</v>
      </c>
    </row>
    <row r="63" spans="2:26" x14ac:dyDescent="0.25">
      <c r="B63" s="820" t="s">
        <v>151</v>
      </c>
      <c r="D63" s="859">
        <f>IF(ISNA(VLOOKUP($B26,'PFF-Zones (Combined)'!$B$3:$W$11,21,FALSE)),0,VLOOKUP($B26,'PFF-Zones (Combined)'!$B$3:$W$11,21,FALSE))</f>
        <v>0</v>
      </c>
      <c r="E63" s="861">
        <v>0.3</v>
      </c>
      <c r="F63" s="861"/>
      <c r="G63" s="858">
        <v>0</v>
      </c>
      <c r="H63" s="858">
        <v>0</v>
      </c>
      <c r="I63" s="858">
        <v>0</v>
      </c>
      <c r="J63" s="859">
        <f>IF(ISNA(VLOOKUP($B26,'PFF-Zones (Combined)'!$B$75:$W$81,21,FALSE)),0,VLOOKUP($B26,'PFF-Zones (Combined)'!$B$75:$W$81,21,FALSE))</f>
        <v>0</v>
      </c>
      <c r="K63" s="858">
        <v>0.3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>
        <v>0</v>
      </c>
      <c r="T63" s="860">
        <v>0</v>
      </c>
      <c r="U63" s="860">
        <v>0</v>
      </c>
      <c r="V63" s="860">
        <v>0</v>
      </c>
      <c r="W63" s="860">
        <v>0</v>
      </c>
      <c r="X63" s="860"/>
      <c r="Y63" s="860"/>
      <c r="Z63" s="860">
        <v>0</v>
      </c>
    </row>
    <row r="64" spans="2:26" x14ac:dyDescent="0.25">
      <c r="B64" s="820" t="s">
        <v>153</v>
      </c>
      <c r="D64" s="859">
        <f>IF(ISNA(VLOOKUP($B27,'PFF-Zones (Combined)'!$B$3:$W$11,21,FALSE)),0,VLOOKUP($B27,'PFF-Zones (Combined)'!$B$3:$W$11,21,FALSE))</f>
        <v>0</v>
      </c>
      <c r="E64" s="858">
        <v>0.3</v>
      </c>
      <c r="F64" s="858"/>
      <c r="G64" s="858">
        <v>0</v>
      </c>
      <c r="H64" s="858">
        <v>0</v>
      </c>
      <c r="I64" s="858">
        <v>0</v>
      </c>
      <c r="J64" s="859">
        <f>IF(ISNA(VLOOKUP($B27,'PFF-Zones (Combined)'!$B$75:$W$81,21,FALSE)),0,VLOOKUP($B27,'PFF-Zones (Combined)'!$B$75:$W$81,21,FALSE))</f>
        <v>0</v>
      </c>
      <c r="K64" s="858">
        <v>0.3</v>
      </c>
      <c r="L64" s="861">
        <v>0.2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>
        <v>0.42499999999999999</v>
      </c>
      <c r="T64" s="860">
        <v>0</v>
      </c>
      <c r="U64" s="860">
        <v>0</v>
      </c>
      <c r="V64" s="860">
        <v>0</v>
      </c>
      <c r="W64" s="860">
        <v>0.42499999999999999</v>
      </c>
      <c r="X64" s="860"/>
      <c r="Y64" s="860"/>
      <c r="Z64" s="860">
        <v>0.42499999999999999</v>
      </c>
    </row>
    <row r="65" spans="2:26" x14ac:dyDescent="0.25">
      <c r="B65" s="820" t="s">
        <v>159</v>
      </c>
      <c r="D65" s="858">
        <v>0.1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f>IF(ISNA(VLOOKUP($B28,'PFF-Zones (Combined)'!$B$75:$W$81,21,FALSE)),0,VLOOKUP($B28,'PFF-Zones (Combined)'!$B$75:$W$81,21,FALSE))</f>
        <v>0</v>
      </c>
      <c r="K65" s="859">
        <f>IF(ISNA(VLOOKUP($B28,'PFF-Zones (Combined)'!$B$87:$W$105,21,FALSE)),0,VLOOKUP($B28,'PFF-Zones (Combined)'!$B$87:$W$105,21,FALSE))</f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>
        <v>0</v>
      </c>
      <c r="T65" s="860">
        <v>0</v>
      </c>
      <c r="U65" s="860">
        <v>0</v>
      </c>
      <c r="V65" s="860">
        <v>0</v>
      </c>
      <c r="W65" s="860">
        <v>0</v>
      </c>
      <c r="X65" s="860"/>
      <c r="Y65" s="860"/>
      <c r="Z65" s="860">
        <v>0</v>
      </c>
    </row>
    <row r="66" spans="2:26" x14ac:dyDescent="0.25">
      <c r="B66" s="820" t="s">
        <v>154</v>
      </c>
      <c r="D66" s="859">
        <f>IF(ISNA(VLOOKUP($B29,'PFF-Zones (Combined)'!$B$3:$W$11,21,FALSE)),0,VLOOKUP($B29,'PFF-Zones (Combined)'!$B$3:$W$11,21,FALSE))</f>
        <v>0</v>
      </c>
      <c r="E66" s="858">
        <v>0.3</v>
      </c>
      <c r="F66" s="858"/>
      <c r="G66" s="858">
        <v>0</v>
      </c>
      <c r="H66" s="858">
        <v>0</v>
      </c>
      <c r="I66" s="858">
        <v>0</v>
      </c>
      <c r="J66" s="859">
        <f>IF(ISNA(VLOOKUP($B29,'PFF-Zones (Combined)'!$B$75:$W$81,21,FALSE)),0,VLOOKUP($B29,'PFF-Zones (Combined)'!$B$75:$W$81,21,FALSE))</f>
        <v>0</v>
      </c>
      <c r="K66" s="858">
        <v>0.3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>
        <v>0</v>
      </c>
      <c r="T66" s="860">
        <v>0</v>
      </c>
      <c r="U66" s="860">
        <v>0</v>
      </c>
      <c r="V66" s="860">
        <v>0</v>
      </c>
      <c r="W66" s="860">
        <v>0</v>
      </c>
      <c r="X66" s="860"/>
      <c r="Y66" s="860"/>
      <c r="Z66" s="860">
        <v>0</v>
      </c>
    </row>
    <row r="67" spans="2:26" x14ac:dyDescent="0.25">
      <c r="B67" s="820" t="s">
        <v>155</v>
      </c>
      <c r="D67" s="859">
        <f>IF(ISNA(VLOOKUP($B30,'PFF-Zones (Combined)'!$B$3:$W$11,21,FALSE)),0,VLOOKUP($B30,'PFF-Zones (Combined)'!$B$3:$W$11,21,FALSE))</f>
        <v>0</v>
      </c>
      <c r="E67" s="858">
        <v>0</v>
      </c>
      <c r="F67" s="858"/>
      <c r="G67" s="858">
        <v>0</v>
      </c>
      <c r="H67" s="858">
        <v>0</v>
      </c>
      <c r="I67" s="858">
        <v>0</v>
      </c>
      <c r="J67" s="859">
        <f>IF(ISNA(VLOOKUP($B30,'PFF-Zones (Combined)'!$B$75:$W$81,21,FALSE)),0,VLOOKUP($B30,'PFF-Zones (Combined)'!$B$75:$W$81,21,FALSE))</f>
        <v>0</v>
      </c>
      <c r="K67" s="858">
        <v>0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>
        <v>0.42499999999999999</v>
      </c>
      <c r="T67" s="860">
        <v>0</v>
      </c>
      <c r="U67" s="860">
        <v>0</v>
      </c>
      <c r="V67" s="860">
        <v>0</v>
      </c>
      <c r="W67" s="860">
        <v>0.42499999999999999</v>
      </c>
      <c r="X67" s="860"/>
      <c r="Y67" s="860"/>
      <c r="Z67" s="860">
        <v>0</v>
      </c>
    </row>
    <row r="68" spans="2:26" x14ac:dyDescent="0.25">
      <c r="B68" s="820" t="s">
        <v>156</v>
      </c>
      <c r="D68" s="859">
        <f>IF(ISNA(VLOOKUP($B31,'PFF-Zones (Combined)'!$B$3:$W$11,21,FALSE)),0,VLOOKUP($B31,'PFF-Zones (Combined)'!$B$3:$W$11,21,FALSE))</f>
        <v>0</v>
      </c>
      <c r="E68" s="858">
        <v>0</v>
      </c>
      <c r="F68" s="858"/>
      <c r="G68" s="858">
        <v>0</v>
      </c>
      <c r="H68" s="858">
        <v>0</v>
      </c>
      <c r="I68" s="858">
        <v>0</v>
      </c>
      <c r="J68" s="859">
        <f>IF(ISNA(VLOOKUP($B31,'PFF-Zones (Combined)'!$B$75:$W$81,21,FALSE)),0,VLOOKUP($B31,'PFF-Zones (Combined)'!$B$75:$W$81,21,FALSE))</f>
        <v>0</v>
      </c>
      <c r="K68" s="859">
        <f>IF(ISNA(VLOOKUP($B31,'PFF-Zones (Combined)'!$B$87:$W$105,21,FALSE)),0,VLOOKUP($B31,'PFF-Zones (Combined)'!$B$87:$W$105,21,FALSE))</f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>
        <v>0</v>
      </c>
      <c r="T68" s="860">
        <v>0</v>
      </c>
      <c r="U68" s="860">
        <v>0</v>
      </c>
      <c r="V68" s="860">
        <v>0</v>
      </c>
      <c r="W68" s="860">
        <v>0</v>
      </c>
      <c r="X68" s="860"/>
      <c r="Y68" s="860"/>
      <c r="Z68" s="860">
        <v>0</v>
      </c>
    </row>
    <row r="69" spans="2:26" x14ac:dyDescent="0.25">
      <c r="B69" s="820" t="s">
        <v>152</v>
      </c>
      <c r="D69" s="859">
        <f>IF(ISNA(VLOOKUP($B32,'PFF-Zones (Combined)'!$B$3:$W$11,21,FALSE)),0,VLOOKUP($B32,'PFF-Zones (Combined)'!$B$3:$W$11,21,FALSE))</f>
        <v>0</v>
      </c>
      <c r="E69" s="858">
        <v>0</v>
      </c>
      <c r="F69" s="858"/>
      <c r="G69" s="858">
        <v>0</v>
      </c>
      <c r="H69" s="858">
        <v>0</v>
      </c>
      <c r="I69" s="858">
        <v>0</v>
      </c>
      <c r="J69" s="859">
        <f>IF(ISNA(VLOOKUP($B32,'PFF-Zones (Combined)'!$B$75:$W$81,21,FALSE)),0,VLOOKUP($B32,'PFF-Zones (Combined)'!$B$75:$W$81,21,FALSE))</f>
        <v>0</v>
      </c>
      <c r="K69" s="858">
        <v>0</v>
      </c>
      <c r="L69" s="862">
        <v>0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>
        <v>0</v>
      </c>
      <c r="T69" s="860">
        <v>0</v>
      </c>
      <c r="U69" s="860">
        <v>0</v>
      </c>
      <c r="V69" s="860">
        <v>0</v>
      </c>
      <c r="W69" s="860">
        <v>0.42499999999999999</v>
      </c>
      <c r="X69" s="860"/>
      <c r="Y69" s="860"/>
      <c r="Z69" s="860">
        <v>0.125</v>
      </c>
    </row>
    <row r="70" spans="2:26" x14ac:dyDescent="0.25">
      <c r="B70" s="820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>
        <v>0.25</v>
      </c>
      <c r="T70" s="860">
        <v>0</v>
      </c>
      <c r="U70" s="860">
        <v>0</v>
      </c>
      <c r="V70" s="860">
        <v>0</v>
      </c>
      <c r="W70" s="860">
        <v>0.25</v>
      </c>
      <c r="X70" s="860"/>
      <c r="Y70" s="860"/>
      <c r="Z70" s="860">
        <v>0</v>
      </c>
    </row>
    <row r="71" spans="2:26" x14ac:dyDescent="0.25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6" x14ac:dyDescent="0.25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6" x14ac:dyDescent="0.25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6" x14ac:dyDescent="0.25">
      <c r="N74" s="832"/>
    </row>
    <row r="75" spans="2:26" x14ac:dyDescent="0.25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6" x14ac:dyDescent="0.25">
      <c r="D76" s="995" t="s">
        <v>512</v>
      </c>
      <c r="E76" s="996"/>
      <c r="F76" s="996"/>
      <c r="G76" s="996"/>
      <c r="H76" s="996"/>
      <c r="I76" s="996"/>
      <c r="J76" s="997"/>
    </row>
    <row r="78" spans="2:26" x14ac:dyDescent="0.25">
      <c r="B78" s="820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5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5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5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5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0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5">
      <c r="B93" s="820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5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5">
      <c r="B95" s="820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5">
      <c r="B96" s="820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5">
      <c r="B97" s="820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5">
      <c r="B98" s="820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5">
      <c r="B99" s="820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5">
      <c r="B100" s="820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5">
      <c r="B101" s="820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5">
      <c r="B102" s="820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5">
      <c r="B103" s="820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5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5" hidden="1" x14ac:dyDescent="0.25">
      <c r="F105" s="607">
        <f t="shared" si="7"/>
        <v>0</v>
      </c>
    </row>
    <row r="106" spans="2:15" x14ac:dyDescent="0.25">
      <c r="B106" s="820" t="s">
        <v>0</v>
      </c>
      <c r="D106" s="837">
        <f t="shared" ref="D106:J106" si="10">SUM(D78:D104)</f>
        <v>1128.1436450000001</v>
      </c>
      <c r="E106" s="837">
        <f t="shared" si="10"/>
        <v>531.61897499999998</v>
      </c>
      <c r="F106" s="837">
        <f t="shared" si="10"/>
        <v>1149.1227249999999</v>
      </c>
      <c r="G106" s="837">
        <f t="shared" si="10"/>
        <v>617.50374999999997</v>
      </c>
      <c r="H106" s="837">
        <f t="shared" si="10"/>
        <v>880.19896999999992</v>
      </c>
      <c r="I106" s="837">
        <f t="shared" si="10"/>
        <v>2711.4224900000004</v>
      </c>
      <c r="J106" s="837">
        <f t="shared" si="10"/>
        <v>1246.5321012000002</v>
      </c>
      <c r="K106" s="837">
        <f>SUM(D106:J106)</f>
        <v>8264.5426562000011</v>
      </c>
    </row>
    <row r="107" spans="2:15" x14ac:dyDescent="0.25">
      <c r="D107" s="837">
        <f>+D106+E106+G106+H106+I106+J106</f>
        <v>7115.4199312000001</v>
      </c>
      <c r="E107" s="837"/>
      <c r="F107" s="837"/>
      <c r="G107" s="837"/>
      <c r="H107" s="837"/>
      <c r="I107" s="837"/>
      <c r="J107" s="837"/>
      <c r="K107" s="837"/>
    </row>
    <row r="109" spans="2:15" x14ac:dyDescent="0.25">
      <c r="D109" s="838" t="s">
        <v>239</v>
      </c>
      <c r="E109" s="838" t="s">
        <v>238</v>
      </c>
      <c r="F109" s="839" t="s">
        <v>573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O109" s="820" t="s">
        <v>590</v>
      </c>
    </row>
    <row r="110" spans="2:15" x14ac:dyDescent="0.25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5" x14ac:dyDescent="0.25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5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5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5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5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5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5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5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5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5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5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5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5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5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5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5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5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5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5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5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5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5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5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5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5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5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5">
      <c r="D138" s="835"/>
      <c r="E138" s="835"/>
      <c r="F138" s="835"/>
      <c r="G138" s="835"/>
      <c r="H138" s="835"/>
      <c r="I138" s="835"/>
      <c r="J138" s="835"/>
    </row>
    <row r="139" spans="2:10" ht="5.25" customHeight="1" x14ac:dyDescent="0.25"/>
    <row r="140" spans="2:10" x14ac:dyDescent="0.25">
      <c r="B140" s="820" t="s">
        <v>0</v>
      </c>
      <c r="D140" s="837">
        <f t="shared" ref="D140:J140" si="16">SUM(D112:D138)</f>
        <v>443.24604949999997</v>
      </c>
      <c r="E140" s="837">
        <f t="shared" si="16"/>
        <v>171.02291049999999</v>
      </c>
      <c r="F140" s="837">
        <f t="shared" si="16"/>
        <v>456.14524875000001</v>
      </c>
      <c r="G140" s="837">
        <f t="shared" si="16"/>
        <v>285.12233824999993</v>
      </c>
      <c r="H140" s="837">
        <f t="shared" si="16"/>
        <v>526.80590249999989</v>
      </c>
      <c r="I140" s="837">
        <f t="shared" si="16"/>
        <v>1101.3169855000001</v>
      </c>
      <c r="J140" s="837">
        <f t="shared" si="16"/>
        <v>462.00022507999989</v>
      </c>
    </row>
    <row r="141" spans="2:10" x14ac:dyDescent="0.25">
      <c r="D141" s="837"/>
      <c r="E141" s="837"/>
      <c r="F141" s="837"/>
      <c r="G141" s="837"/>
      <c r="H141" s="837"/>
      <c r="I141" s="837"/>
      <c r="J141" s="837"/>
    </row>
    <row r="142" spans="2:10" x14ac:dyDescent="0.25">
      <c r="D142" s="837"/>
      <c r="E142" s="837"/>
      <c r="F142" s="837"/>
      <c r="G142" s="837"/>
      <c r="H142" s="837"/>
      <c r="I142" s="837"/>
      <c r="J142" s="837"/>
    </row>
    <row r="143" spans="2:10" x14ac:dyDescent="0.25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0" x14ac:dyDescent="0.25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5">
      <c r="B145" s="820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5">
      <c r="B146" s="820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5">
      <c r="B147" s="820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5">
      <c r="B148" s="820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5">
      <c r="B149" s="820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5">
      <c r="B150" s="820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5">
      <c r="B151" s="820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5">
      <c r="B152" s="820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5">
      <c r="B153" s="820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5">
      <c r="B154" s="820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5">
      <c r="B155" s="820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5">
      <c r="B156" s="820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5">
      <c r="B157" s="820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5">
      <c r="B158" s="820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5">
      <c r="B159" s="820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5">
      <c r="B160" s="820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5">
      <c r="B161" s="820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5">
      <c r="B162" s="820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5">
      <c r="B163" s="820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5">
      <c r="B164" s="820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5">
      <c r="B165" s="820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5">
      <c r="B166" s="820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5">
      <c r="B167" s="820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5">
      <c r="B168" s="820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5">
      <c r="B169" s="820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5">
      <c r="B170" s="820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5"/>
    <row r="172" spans="2:10" x14ac:dyDescent="0.25">
      <c r="B172" s="820" t="s">
        <v>0</v>
      </c>
      <c r="D172" s="842">
        <f>SUM(D145:D170)</f>
        <v>1</v>
      </c>
      <c r="E172" s="842">
        <f t="shared" ref="E172:J172" si="19">SUM(E145:E170)</f>
        <v>1</v>
      </c>
      <c r="F172" s="842">
        <f t="shared" si="19"/>
        <v>1</v>
      </c>
      <c r="G172" s="842">
        <f t="shared" si="19"/>
        <v>1.0000000000000002</v>
      </c>
      <c r="H172" s="842">
        <f t="shared" si="19"/>
        <v>1.0000000000000002</v>
      </c>
      <c r="I172" s="842">
        <f t="shared" si="19"/>
        <v>0.99999999999999989</v>
      </c>
      <c r="J172" s="842">
        <f t="shared" si="19"/>
        <v>1</v>
      </c>
    </row>
    <row r="174" spans="2:10" x14ac:dyDescent="0.25">
      <c r="B174" s="821" t="s">
        <v>578</v>
      </c>
      <c r="D174" s="593">
        <f>+'1. Storm Drainage Fee Calc Sum'!B41</f>
        <v>571233.32990172878</v>
      </c>
      <c r="E174" s="843">
        <f>+'1. Storm Drainage Fee Calc Sum'!C41</f>
        <v>4948322.5444567492</v>
      </c>
      <c r="F174" s="843">
        <f>+E174+G174</f>
        <v>4948322.5444567492</v>
      </c>
      <c r="G174" s="843">
        <f>+'1. Storm Drainage Fee Calc Sum'!D41</f>
        <v>0</v>
      </c>
      <c r="H174" s="843">
        <f>+'1. Storm Drainage Fee Calc Sum'!E41</f>
        <v>3384173.4731668155</v>
      </c>
      <c r="I174" s="844">
        <f>+'1. Storm Drainage Fee Calc Sum'!F41</f>
        <v>20940595.652471669</v>
      </c>
      <c r="J174" s="843">
        <f>+'1. Storm Drainage Fee Calc Sum'!G41</f>
        <v>3044110.8897061022</v>
      </c>
    </row>
    <row r="175" spans="2:10" x14ac:dyDescent="0.25">
      <c r="B175" s="821"/>
      <c r="D175" s="593"/>
      <c r="E175" s="843"/>
      <c r="F175" s="843"/>
      <c r="G175" s="843"/>
      <c r="H175" s="843"/>
      <c r="I175" s="844"/>
      <c r="J175" s="843"/>
    </row>
    <row r="176" spans="2:10" x14ac:dyDescent="0.25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5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5">
      <c r="B179" s="820" t="s">
        <v>229</v>
      </c>
      <c r="D179" s="616">
        <f t="shared" ref="D179:J194" si="20">+D$174*D145</f>
        <v>126552.98718984397</v>
      </c>
      <c r="E179" s="616">
        <f t="shared" si="20"/>
        <v>96889.49830238508</v>
      </c>
      <c r="F179" s="616">
        <f t="shared" si="20"/>
        <v>36326.858696801683</v>
      </c>
      <c r="G179" s="616">
        <f t="shared" si="20"/>
        <v>0</v>
      </c>
      <c r="H179" s="616">
        <f t="shared" si="20"/>
        <v>0</v>
      </c>
      <c r="I179" s="616">
        <f t="shared" si="20"/>
        <v>66438.391350183578</v>
      </c>
      <c r="J179" s="616">
        <f t="shared" si="20"/>
        <v>37840.058949738966</v>
      </c>
    </row>
    <row r="180" spans="2:10" x14ac:dyDescent="0.25">
      <c r="B180" s="820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705617.96489298239</v>
      </c>
    </row>
    <row r="181" spans="2:10" x14ac:dyDescent="0.25">
      <c r="B181" s="820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4914.3198561117388</v>
      </c>
      <c r="I181" s="616">
        <f t="shared" si="20"/>
        <v>0</v>
      </c>
      <c r="J181" s="616">
        <f t="shared" si="20"/>
        <v>0</v>
      </c>
    </row>
    <row r="182" spans="2:10" x14ac:dyDescent="0.25">
      <c r="B182" s="820" t="s">
        <v>142</v>
      </c>
      <c r="D182" s="616">
        <f t="shared" si="20"/>
        <v>0</v>
      </c>
      <c r="E182" s="616">
        <f t="shared" si="20"/>
        <v>403175.67152892629</v>
      </c>
      <c r="F182" s="616">
        <f t="shared" si="20"/>
        <v>591418.63828674145</v>
      </c>
      <c r="G182" s="616">
        <f t="shared" si="20"/>
        <v>0</v>
      </c>
      <c r="H182" s="616">
        <f t="shared" si="20"/>
        <v>432050.29306183325</v>
      </c>
      <c r="I182" s="616">
        <f t="shared" si="20"/>
        <v>681439.54028848012</v>
      </c>
      <c r="J182" s="616">
        <f t="shared" si="20"/>
        <v>117977.58323222082</v>
      </c>
    </row>
    <row r="183" spans="2:10" x14ac:dyDescent="0.25">
      <c r="B183" s="820" t="s">
        <v>143</v>
      </c>
      <c r="D183" s="616">
        <f t="shared" si="20"/>
        <v>0</v>
      </c>
      <c r="E183" s="616">
        <f t="shared" si="20"/>
        <v>376780.55825424916</v>
      </c>
      <c r="F183" s="616">
        <f t="shared" si="20"/>
        <v>332632.4235596144</v>
      </c>
      <c r="G183" s="616">
        <f t="shared" si="20"/>
        <v>0</v>
      </c>
      <c r="H183" s="616">
        <f t="shared" si="20"/>
        <v>280457.77702836884</v>
      </c>
      <c r="I183" s="616">
        <f t="shared" si="20"/>
        <v>1319499.0896061496</v>
      </c>
      <c r="J183" s="616">
        <f t="shared" si="20"/>
        <v>522669.38464756537</v>
      </c>
    </row>
    <row r="184" spans="2:10" x14ac:dyDescent="0.25">
      <c r="B184" s="820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238707.36105679805</v>
      </c>
      <c r="G184" s="616">
        <f t="shared" si="20"/>
        <v>0</v>
      </c>
      <c r="H184" s="616">
        <f t="shared" si="20"/>
        <v>73597.564011330833</v>
      </c>
      <c r="I184" s="616">
        <f t="shared" si="20"/>
        <v>481578.23259380407</v>
      </c>
      <c r="J184" s="616">
        <f t="shared" si="20"/>
        <v>75908.419515995905</v>
      </c>
    </row>
    <row r="185" spans="2:10" x14ac:dyDescent="0.25">
      <c r="B185" s="820" t="s">
        <v>146</v>
      </c>
      <c r="D185" s="616">
        <f t="shared" si="20"/>
        <v>73250.391819348486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377442.09780294972</v>
      </c>
      <c r="I185" s="616">
        <f t="shared" si="20"/>
        <v>3869513.4976077238</v>
      </c>
      <c r="J185" s="616">
        <f t="shared" si="20"/>
        <v>0</v>
      </c>
    </row>
    <row r="186" spans="2:10" x14ac:dyDescent="0.25">
      <c r="B186" s="820" t="s">
        <v>135</v>
      </c>
      <c r="D186" s="616">
        <f t="shared" si="20"/>
        <v>145658.76467410853</v>
      </c>
      <c r="E186" s="616">
        <f t="shared" si="20"/>
        <v>803219.34429192648</v>
      </c>
      <c r="F186" s="616">
        <f t="shared" si="20"/>
        <v>1479597.5027988555</v>
      </c>
      <c r="G186" s="616">
        <f t="shared" si="20"/>
        <v>0</v>
      </c>
      <c r="H186" s="616">
        <f t="shared" si="20"/>
        <v>355518.2794573101</v>
      </c>
      <c r="I186" s="616">
        <f t="shared" si="20"/>
        <v>8046654.0137174418</v>
      </c>
      <c r="J186" s="616">
        <f t="shared" si="20"/>
        <v>918617.64398491476</v>
      </c>
    </row>
    <row r="187" spans="2:10" x14ac:dyDescent="0.25">
      <c r="B187" s="820" t="s">
        <v>148</v>
      </c>
      <c r="D187" s="616">
        <f t="shared" si="20"/>
        <v>172731.46104413929</v>
      </c>
      <c r="E187" s="616">
        <f t="shared" si="20"/>
        <v>0</v>
      </c>
      <c r="F187" s="616">
        <f t="shared" si="20"/>
        <v>890275.79159396095</v>
      </c>
      <c r="G187" s="616">
        <f t="shared" si="20"/>
        <v>0</v>
      </c>
      <c r="H187" s="616">
        <f t="shared" si="20"/>
        <v>1464869.5815032979</v>
      </c>
      <c r="I187" s="616">
        <f t="shared" si="20"/>
        <v>52377.111374465901</v>
      </c>
      <c r="J187" s="616">
        <f t="shared" si="20"/>
        <v>0</v>
      </c>
    </row>
    <row r="188" spans="2:10" x14ac:dyDescent="0.25">
      <c r="B188" s="820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38231.274879730823</v>
      </c>
      <c r="G188" s="616">
        <f t="shared" si="20"/>
        <v>0</v>
      </c>
      <c r="H188" s="616">
        <f t="shared" si="20"/>
        <v>184878.89712908186</v>
      </c>
      <c r="I188" s="616">
        <f t="shared" si="20"/>
        <v>616459.01060873549</v>
      </c>
      <c r="J188" s="616">
        <f t="shared" si="20"/>
        <v>185942.45525788408</v>
      </c>
    </row>
    <row r="189" spans="2:10" x14ac:dyDescent="0.25">
      <c r="B189" s="820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90488.659968946668</v>
      </c>
      <c r="G189" s="616">
        <f t="shared" si="20"/>
        <v>0</v>
      </c>
      <c r="H189" s="616">
        <f t="shared" si="20"/>
        <v>174054.39779979433</v>
      </c>
      <c r="I189" s="616">
        <f t="shared" si="20"/>
        <v>143136.66068107271</v>
      </c>
      <c r="J189" s="616">
        <f t="shared" si="20"/>
        <v>0</v>
      </c>
    </row>
    <row r="190" spans="2:10" x14ac:dyDescent="0.25">
      <c r="B190" s="820" t="s">
        <v>140</v>
      </c>
      <c r="D190" s="616">
        <f t="shared" si="20"/>
        <v>0</v>
      </c>
      <c r="E190" s="616">
        <f t="shared" si="20"/>
        <v>36420.214624927954</v>
      </c>
      <c r="F190" s="616">
        <f t="shared" si="20"/>
        <v>14570.328301787895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240243.7400825505</v>
      </c>
    </row>
    <row r="191" spans="2:10" x14ac:dyDescent="0.25">
      <c r="B191" s="820" t="s">
        <v>134</v>
      </c>
      <c r="D191" s="616">
        <f t="shared" si="20"/>
        <v>897.78768611320902</v>
      </c>
      <c r="E191" s="616">
        <f t="shared" si="20"/>
        <v>14473.351187652006</v>
      </c>
      <c r="F191" s="616">
        <f t="shared" si="20"/>
        <v>29784.82935735894</v>
      </c>
      <c r="G191" s="616">
        <f t="shared" si="20"/>
        <v>0</v>
      </c>
      <c r="H191" s="616">
        <f t="shared" si="20"/>
        <v>7761.0761416493542</v>
      </c>
      <c r="I191" s="616">
        <f t="shared" si="20"/>
        <v>64728.725420047238</v>
      </c>
      <c r="J191" s="616">
        <f t="shared" si="20"/>
        <v>0</v>
      </c>
    </row>
    <row r="192" spans="2:10" x14ac:dyDescent="0.25">
      <c r="B192" s="820" t="s">
        <v>136</v>
      </c>
      <c r="D192" s="616">
        <f t="shared" si="20"/>
        <v>4800.2617591327007</v>
      </c>
      <c r="E192" s="616">
        <f t="shared" si="20"/>
        <v>276732.19626199832</v>
      </c>
      <c r="F192" s="616">
        <f t="shared" si="20"/>
        <v>103755.42826211269</v>
      </c>
      <c r="G192" s="616">
        <f t="shared" si="20"/>
        <v>0</v>
      </c>
      <c r="H192" s="616">
        <f t="shared" si="20"/>
        <v>28629.189375088285</v>
      </c>
      <c r="I192" s="616">
        <f t="shared" si="20"/>
        <v>11707.443494184463</v>
      </c>
      <c r="J192" s="616">
        <f t="shared" si="20"/>
        <v>0</v>
      </c>
    </row>
    <row r="193" spans="2:10" x14ac:dyDescent="0.25">
      <c r="B193" s="820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1934737.7917060046</v>
      </c>
      <c r="J193" s="616">
        <f t="shared" si="20"/>
        <v>0</v>
      </c>
    </row>
    <row r="194" spans="2:10" x14ac:dyDescent="0.25">
      <c r="B194" s="820" t="s">
        <v>230</v>
      </c>
      <c r="D194" s="616">
        <f t="shared" si="20"/>
        <v>32926.758663924971</v>
      </c>
      <c r="E194" s="616">
        <f t="shared" si="20"/>
        <v>443275.23785314511</v>
      </c>
      <c r="F194" s="616">
        <f t="shared" si="20"/>
        <v>166197.54680767053</v>
      </c>
      <c r="G194" s="616">
        <f t="shared" si="20"/>
        <v>0</v>
      </c>
      <c r="H194" s="616">
        <f t="shared" si="20"/>
        <v>0</v>
      </c>
      <c r="I194" s="616">
        <f t="shared" si="20"/>
        <v>523871.0900942391</v>
      </c>
      <c r="J194" s="616">
        <f t="shared" si="20"/>
        <v>0</v>
      </c>
    </row>
    <row r="195" spans="2:10" x14ac:dyDescent="0.25">
      <c r="B195" s="820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901603.45295552607</v>
      </c>
      <c r="J195" s="616">
        <f t="shared" si="21"/>
        <v>64574.323860481367</v>
      </c>
    </row>
    <row r="196" spans="2:10" x14ac:dyDescent="0.25">
      <c r="B196" s="820" t="s">
        <v>150</v>
      </c>
      <c r="D196" s="616">
        <f t="shared" si="21"/>
        <v>0</v>
      </c>
      <c r="E196" s="616">
        <f t="shared" si="21"/>
        <v>336370.02718038909</v>
      </c>
      <c r="F196" s="616">
        <f t="shared" si="21"/>
        <v>126115.48889525566</v>
      </c>
      <c r="G196" s="616">
        <f t="shared" si="21"/>
        <v>0</v>
      </c>
      <c r="H196" s="616">
        <f t="shared" si="21"/>
        <v>0</v>
      </c>
      <c r="I196" s="616">
        <f t="shared" si="21"/>
        <v>1402945.3632367402</v>
      </c>
      <c r="J196" s="616">
        <f t="shared" si="21"/>
        <v>117190.07529142941</v>
      </c>
    </row>
    <row r="197" spans="2:10" x14ac:dyDescent="0.25">
      <c r="B197" s="820" t="s">
        <v>151</v>
      </c>
      <c r="D197" s="616">
        <f t="shared" si="21"/>
        <v>0</v>
      </c>
      <c r="E197" s="616">
        <f t="shared" si="21"/>
        <v>315878.90409656282</v>
      </c>
      <c r="F197" s="616">
        <f t="shared" si="21"/>
        <v>118432.73538896977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5">
      <c r="B198" s="820" t="s">
        <v>153</v>
      </c>
      <c r="D198" s="616">
        <f t="shared" si="21"/>
        <v>0</v>
      </c>
      <c r="E198" s="616">
        <f t="shared" si="21"/>
        <v>1759451.8340302813</v>
      </c>
      <c r="F198" s="616">
        <f t="shared" si="21"/>
        <v>659672.71250772104</v>
      </c>
      <c r="G198" s="616">
        <f t="shared" si="21"/>
        <v>0</v>
      </c>
      <c r="H198" s="616">
        <f t="shared" si="21"/>
        <v>0</v>
      </c>
      <c r="I198" s="616">
        <f t="shared" si="21"/>
        <v>823906.23773686902</v>
      </c>
      <c r="J198" s="616">
        <f t="shared" si="21"/>
        <v>57529.239990338814</v>
      </c>
    </row>
    <row r="199" spans="2:10" x14ac:dyDescent="0.25">
      <c r="B199" s="820" t="s">
        <v>159</v>
      </c>
      <c r="D199" s="616">
        <f t="shared" si="21"/>
        <v>10324.730116234477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5">
      <c r="B200" s="820" t="s">
        <v>154</v>
      </c>
      <c r="D200" s="616">
        <f t="shared" si="21"/>
        <v>0</v>
      </c>
      <c r="E200" s="616">
        <f t="shared" si="21"/>
        <v>85655.706844305678</v>
      </c>
      <c r="F200" s="616">
        <f t="shared" si="21"/>
        <v>32114.964094423063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5">
      <c r="B201" s="820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5">
      <c r="B202" s="820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5">
      <c r="B203" s="820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5">
      <c r="B204" s="820" t="s">
        <v>133</v>
      </c>
      <c r="D204" s="616">
        <f t="shared" si="21"/>
        <v>4090.1869488831185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5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5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5">
      <c r="D210" s="845"/>
      <c r="E210" s="845"/>
      <c r="F210" s="845"/>
      <c r="G210" s="845"/>
      <c r="H210" s="845"/>
      <c r="I210" s="845"/>
      <c r="J210" s="845"/>
    </row>
    <row r="211" spans="2:12" x14ac:dyDescent="0.25">
      <c r="B211" s="820" t="s">
        <v>229</v>
      </c>
      <c r="D211" s="616">
        <f>+D179/D78</f>
        <v>386.62498890589353</v>
      </c>
      <c r="E211" s="616">
        <f>+E179/E78</f>
        <v>8680.1046654917318</v>
      </c>
      <c r="F211" s="616">
        <f>+F179/F78</f>
        <v>3254.438728464394</v>
      </c>
      <c r="G211" s="616"/>
      <c r="H211" s="616"/>
      <c r="I211" s="616">
        <f>+I179/I78</f>
        <v>5704.2420832993685</v>
      </c>
      <c r="J211" s="616">
        <f>+J179/J78</f>
        <v>1976.6944199079023</v>
      </c>
      <c r="K211" s="616"/>
      <c r="L211" s="616"/>
    </row>
    <row r="212" spans="2:12" x14ac:dyDescent="0.25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4612.2869797851044</v>
      </c>
      <c r="K212" s="616"/>
      <c r="L212" s="616"/>
    </row>
    <row r="213" spans="2:12" x14ac:dyDescent="0.25">
      <c r="B213" s="820" t="s">
        <v>144</v>
      </c>
      <c r="D213" s="616"/>
      <c r="E213" s="616"/>
      <c r="F213" s="616"/>
      <c r="G213" s="616"/>
      <c r="H213" s="616">
        <f t="shared" ref="H213:J221" si="22">+H181/H80</f>
        <v>5781.552771896163</v>
      </c>
      <c r="I213" s="616"/>
      <c r="J213" s="616"/>
      <c r="K213" s="616"/>
      <c r="L213" s="616"/>
    </row>
    <row r="214" spans="2:12" x14ac:dyDescent="0.25">
      <c r="B214" s="820" t="s">
        <v>142</v>
      </c>
      <c r="D214" s="616"/>
      <c r="E214" s="616">
        <f t="shared" ref="E214:G215" si="23">+E182/E81</f>
        <v>26040.313996475194</v>
      </c>
      <c r="F214" s="616">
        <f t="shared" si="23"/>
        <v>9763.3161853931815</v>
      </c>
      <c r="G214" s="616">
        <f t="shared" si="23"/>
        <v>0</v>
      </c>
      <c r="H214" s="616">
        <f t="shared" si="22"/>
        <v>5781.552771896163</v>
      </c>
      <c r="I214" s="616">
        <f t="shared" si="22"/>
        <v>17112.726249898107</v>
      </c>
      <c r="J214" s="616">
        <f t="shared" si="22"/>
        <v>5930.0832597237077</v>
      </c>
      <c r="K214" s="616"/>
      <c r="L214" s="616"/>
    </row>
    <row r="215" spans="2:12" x14ac:dyDescent="0.25">
      <c r="B215" s="820" t="s">
        <v>143</v>
      </c>
      <c r="D215" s="616"/>
      <c r="E215" s="616">
        <f t="shared" si="23"/>
        <v>26040.313996475194</v>
      </c>
      <c r="F215" s="616">
        <f t="shared" si="23"/>
        <v>9763.3161853931833</v>
      </c>
      <c r="G215" s="616">
        <f t="shared" si="23"/>
        <v>0</v>
      </c>
      <c r="H215" s="616">
        <f t="shared" si="22"/>
        <v>5781.552771896163</v>
      </c>
      <c r="I215" s="616">
        <f t="shared" si="22"/>
        <v>17112.726249898104</v>
      </c>
      <c r="J215" s="616">
        <f t="shared" si="22"/>
        <v>5930.0832597237068</v>
      </c>
      <c r="K215" s="616"/>
      <c r="L215" s="616"/>
    </row>
    <row r="216" spans="2:12" x14ac:dyDescent="0.25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2"/>
        <v>4175.5658908138957</v>
      </c>
      <c r="I216" s="616">
        <f t="shared" si="22"/>
        <v>12359.191180481963</v>
      </c>
      <c r="J216" s="616">
        <f t="shared" si="22"/>
        <v>4282.8379098004552</v>
      </c>
      <c r="K216" s="616"/>
      <c r="L216" s="616"/>
    </row>
    <row r="217" spans="2:12" x14ac:dyDescent="0.25">
      <c r="B217" s="820" t="s">
        <v>146</v>
      </c>
      <c r="D217" s="616">
        <f>+D185/D84</f>
        <v>902.12497411375148</v>
      </c>
      <c r="E217" s="616"/>
      <c r="F217" s="616"/>
      <c r="G217" s="616"/>
      <c r="H217" s="616">
        <f t="shared" si="22"/>
        <v>4496.7632670303483</v>
      </c>
      <c r="I217" s="616">
        <f>+I185/I84</f>
        <v>13309.898194365192</v>
      </c>
      <c r="J217" s="616"/>
      <c r="K217" s="593"/>
      <c r="L217" s="616"/>
    </row>
    <row r="218" spans="2:12" x14ac:dyDescent="0.25">
      <c r="B218" s="820" t="s">
        <v>135</v>
      </c>
      <c r="D218" s="616">
        <f>+D186/D85</f>
        <v>386.62498890589359</v>
      </c>
      <c r="E218" s="616">
        <f>+E186/E85</f>
        <v>8680.10466549173</v>
      </c>
      <c r="F218" s="616">
        <f>+F186/F85</f>
        <v>3254.4387284643935</v>
      </c>
      <c r="G218" s="616">
        <f>+G186/G85</f>
        <v>0</v>
      </c>
      <c r="H218" s="616">
        <f t="shared" si="22"/>
        <v>1927.1842572987207</v>
      </c>
      <c r="I218" s="616">
        <f>+I186/I85</f>
        <v>5704.2420832993676</v>
      </c>
      <c r="J218" s="616">
        <f>+J186/J85</f>
        <v>1976.6944199079019</v>
      </c>
      <c r="K218" s="616"/>
      <c r="L218" s="616"/>
    </row>
    <row r="219" spans="2:12" x14ac:dyDescent="0.25">
      <c r="B219" s="820" t="s">
        <v>148</v>
      </c>
      <c r="D219" s="616">
        <f>+D187/D86</f>
        <v>902.12497411375148</v>
      </c>
      <c r="E219" s="616"/>
      <c r="F219" s="616"/>
      <c r="G219" s="616">
        <f>+G187/G86</f>
        <v>0</v>
      </c>
      <c r="H219" s="616">
        <f t="shared" si="22"/>
        <v>4496.7632670303492</v>
      </c>
      <c r="I219" s="616">
        <f>+I187/I86</f>
        <v>13309.898194365191</v>
      </c>
      <c r="J219" s="616"/>
      <c r="K219" s="616"/>
      <c r="L219" s="616"/>
    </row>
    <row r="220" spans="2:12" x14ac:dyDescent="0.25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2"/>
        <v>3211.9737621645349</v>
      </c>
      <c r="I220" s="616">
        <f>+I188/I87</f>
        <v>9507.0701388322796</v>
      </c>
      <c r="J220" s="616">
        <f>+J188/J87</f>
        <v>3294.490699846504</v>
      </c>
      <c r="K220" s="616"/>
      <c r="L220" s="616"/>
    </row>
    <row r="221" spans="2:12" x14ac:dyDescent="0.25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2"/>
        <v>5781.552771896163</v>
      </c>
      <c r="I221" s="616">
        <f>+I189/I88</f>
        <v>17112.726249898104</v>
      </c>
      <c r="J221" s="616"/>
      <c r="K221" s="616"/>
      <c r="L221" s="616"/>
    </row>
    <row r="222" spans="2:12" x14ac:dyDescent="0.25">
      <c r="B222" s="820" t="s">
        <v>140</v>
      </c>
      <c r="D222" s="616"/>
      <c r="E222" s="616">
        <f t="shared" ref="E222:F224" si="24">+E190/E89</f>
        <v>2893.3682218305776</v>
      </c>
      <c r="F222" s="616">
        <f t="shared" si="24"/>
        <v>1084.8129094881315</v>
      </c>
      <c r="G222" s="616">
        <f>+G190/G89</f>
        <v>0</v>
      </c>
      <c r="H222" s="616"/>
      <c r="I222" s="616"/>
      <c r="J222" s="616">
        <f>+J190/J89</f>
        <v>658.89813996930081</v>
      </c>
      <c r="K222" s="616"/>
      <c r="L222" s="616"/>
    </row>
    <row r="223" spans="2:12" x14ac:dyDescent="0.25">
      <c r="B223" s="820" t="s">
        <v>134</v>
      </c>
      <c r="D223" s="616">
        <f>+D191/D90</f>
        <v>128.8749963019645</v>
      </c>
      <c r="E223" s="616">
        <f t="shared" si="24"/>
        <v>2893.3682218305776</v>
      </c>
      <c r="F223" s="616">
        <f t="shared" si="24"/>
        <v>1084.8129094881315</v>
      </c>
      <c r="G223" s="616">
        <f>+G191/G90</f>
        <v>0</v>
      </c>
      <c r="H223" s="616">
        <f>+H191/H90</f>
        <v>642.39475243290701</v>
      </c>
      <c r="I223" s="616">
        <f>+I191/I90</f>
        <v>1901.4140277664562</v>
      </c>
      <c r="J223" s="616"/>
      <c r="K223" s="616"/>
      <c r="L223" s="616"/>
    </row>
    <row r="224" spans="2:12" x14ac:dyDescent="0.25">
      <c r="B224" s="820" t="s">
        <v>136</v>
      </c>
      <c r="D224" s="616">
        <f>+D192/D91</f>
        <v>128.87499630196453</v>
      </c>
      <c r="E224" s="616">
        <f t="shared" si="24"/>
        <v>2893.3682218305771</v>
      </c>
      <c r="F224" s="616">
        <f t="shared" si="24"/>
        <v>1084.8129094881315</v>
      </c>
      <c r="G224" s="616"/>
      <c r="H224" s="616">
        <f>+H192/H91</f>
        <v>642.39475243290701</v>
      </c>
      <c r="I224" s="616">
        <f>+I192/I91</f>
        <v>1901.4140277664562</v>
      </c>
      <c r="J224" s="616"/>
      <c r="K224" s="616"/>
      <c r="L224" s="616"/>
    </row>
    <row r="225" spans="2:12" x14ac:dyDescent="0.25">
      <c r="B225" s="820" t="s">
        <v>147</v>
      </c>
      <c r="D225" s="616"/>
      <c r="E225" s="616"/>
      <c r="F225" s="616"/>
      <c r="G225" s="616"/>
      <c r="H225" s="616"/>
      <c r="I225" s="616">
        <f>+I193/I92</f>
        <v>5704.2420832993676</v>
      </c>
      <c r="J225" s="616"/>
      <c r="K225" s="616"/>
      <c r="L225" s="616"/>
    </row>
    <row r="226" spans="2:12" x14ac:dyDescent="0.25">
      <c r="B226" s="820" t="s">
        <v>230</v>
      </c>
      <c r="D226" s="616">
        <f>+D194/D93</f>
        <v>386.62498890589353</v>
      </c>
      <c r="E226" s="616">
        <f>+E194/E93</f>
        <v>8680.1046654917318</v>
      </c>
      <c r="F226" s="616">
        <f>+F194/F93</f>
        <v>3254.438728464394</v>
      </c>
      <c r="G226" s="616"/>
      <c r="H226" s="616"/>
      <c r="I226" s="616">
        <f>+I194/I93</f>
        <v>5704.2420832993685</v>
      </c>
      <c r="J226" s="616"/>
      <c r="K226" s="616"/>
      <c r="L226" s="616"/>
    </row>
    <row r="227" spans="2:12" x14ac:dyDescent="0.25">
      <c r="B227" s="820" t="s">
        <v>157</v>
      </c>
      <c r="D227" s="616"/>
      <c r="E227" s="616"/>
      <c r="F227" s="616"/>
      <c r="G227" s="616"/>
      <c r="H227" s="616"/>
      <c r="I227" s="616">
        <f>+I195/I94</f>
        <v>13309.898194365192</v>
      </c>
      <c r="J227" s="616">
        <f>+J195/J94</f>
        <v>4612.2869797851054</v>
      </c>
      <c r="K227" s="616"/>
      <c r="L227" s="616"/>
    </row>
    <row r="228" spans="2:12" x14ac:dyDescent="0.25">
      <c r="B228" s="820" t="s">
        <v>150</v>
      </c>
      <c r="D228" s="616"/>
      <c r="E228" s="616">
        <f t="shared" ref="E228:F230" si="25">+E196/E95</f>
        <v>26040.313996475194</v>
      </c>
      <c r="F228" s="616">
        <f t="shared" si="25"/>
        <v>9763.3161853931833</v>
      </c>
      <c r="G228" s="616"/>
      <c r="H228" s="616"/>
      <c r="I228" s="616">
        <f>+I196/I95</f>
        <v>17112.726249898104</v>
      </c>
      <c r="J228" s="616">
        <f>+J196/J95</f>
        <v>5930.0832597237059</v>
      </c>
      <c r="K228" s="616"/>
      <c r="L228" s="616"/>
    </row>
    <row r="229" spans="2:12" x14ac:dyDescent="0.25">
      <c r="B229" s="820" t="s">
        <v>151</v>
      </c>
      <c r="D229" s="616"/>
      <c r="E229" s="616">
        <f t="shared" si="25"/>
        <v>26040.313996475197</v>
      </c>
      <c r="F229" s="616">
        <f t="shared" si="25"/>
        <v>9763.3161853931833</v>
      </c>
      <c r="G229" s="616"/>
      <c r="H229" s="616"/>
      <c r="I229" s="616"/>
      <c r="J229" s="616"/>
      <c r="K229" s="616"/>
      <c r="L229" s="616"/>
    </row>
    <row r="230" spans="2:12" x14ac:dyDescent="0.25">
      <c r="B230" s="820" t="s">
        <v>153</v>
      </c>
      <c r="D230" s="616"/>
      <c r="E230" s="616">
        <f t="shared" si="25"/>
        <v>8680.1046654917318</v>
      </c>
      <c r="F230" s="616">
        <f t="shared" si="25"/>
        <v>3254.4387284643944</v>
      </c>
      <c r="G230" s="616"/>
      <c r="H230" s="616"/>
      <c r="I230" s="616">
        <f>+I198/I97</f>
        <v>5704.2420832993676</v>
      </c>
      <c r="J230" s="616">
        <f>+J198/J97</f>
        <v>1976.6944199079023</v>
      </c>
      <c r="K230" s="616"/>
      <c r="L230" s="616"/>
    </row>
    <row r="231" spans="2:12" x14ac:dyDescent="0.25">
      <c r="B231" s="820" t="s">
        <v>159</v>
      </c>
      <c r="D231" s="616">
        <f>+D199/D98</f>
        <v>902.1249741137517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0" t="s">
        <v>154</v>
      </c>
      <c r="D232" s="616"/>
      <c r="E232" s="616">
        <f>+E200/E99</f>
        <v>14466.841109152887</v>
      </c>
      <c r="F232" s="616">
        <f>+F200/F99</f>
        <v>5424.0645474406574</v>
      </c>
      <c r="G232" s="616"/>
      <c r="H232" s="616"/>
      <c r="I232" s="616"/>
      <c r="J232" s="616"/>
      <c r="K232" s="616"/>
      <c r="L232" s="616"/>
    </row>
    <row r="233" spans="2:12" x14ac:dyDescent="0.25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0" t="s">
        <v>133</v>
      </c>
      <c r="D236" s="616">
        <f>+D204/D103</f>
        <v>386.62498890589353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5">
      <c r="B239" s="821" t="s">
        <v>582</v>
      </c>
      <c r="D239" s="846">
        <f>+D218/5</f>
        <v>77.324997781178723</v>
      </c>
      <c r="E239" s="846">
        <f t="shared" ref="E239:J239" si="26">+E218/5</f>
        <v>1736.0209330983459</v>
      </c>
      <c r="F239" s="846">
        <f t="shared" si="26"/>
        <v>650.88774569287875</v>
      </c>
      <c r="G239" s="846">
        <f t="shared" si="26"/>
        <v>0</v>
      </c>
      <c r="H239" s="846">
        <f t="shared" si="26"/>
        <v>385.43685145974416</v>
      </c>
      <c r="I239" s="846">
        <f t="shared" si="26"/>
        <v>1140.8484166598735</v>
      </c>
      <c r="J239" s="846">
        <f t="shared" si="26"/>
        <v>395.33888398158035</v>
      </c>
    </row>
    <row r="241" spans="2:10" x14ac:dyDescent="0.25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5">
      <c r="B242" s="848" t="s">
        <v>585</v>
      </c>
      <c r="E242" s="849">
        <f>+(E239-E241)/E241</f>
        <v>0.3541504938364633</v>
      </c>
      <c r="F242" s="849">
        <f>+(F239-F241)/F241</f>
        <v>-0.35651236214248272</v>
      </c>
      <c r="G242" s="849">
        <f>+(G239-G241)/G241</f>
        <v>-1</v>
      </c>
      <c r="H242" s="849">
        <f>+(H239-H241)/H241</f>
        <v>-0.24866110826560592</v>
      </c>
      <c r="I242" s="849">
        <f>+(I239-I241)/I241</f>
        <v>-0.16604647904980011</v>
      </c>
    </row>
    <row r="244" spans="2:10" x14ac:dyDescent="0.25">
      <c r="B244" s="819" t="s">
        <v>586</v>
      </c>
    </row>
    <row r="245" spans="2:10" x14ac:dyDescent="0.25">
      <c r="B245" s="820" t="s">
        <v>229</v>
      </c>
      <c r="D245" s="843">
        <f t="shared" ref="D245:J260" si="27">+D211*D78</f>
        <v>126552.98718984397</v>
      </c>
      <c r="E245" s="843">
        <f t="shared" si="27"/>
        <v>96889.49830238508</v>
      </c>
      <c r="F245" s="843">
        <f t="shared" si="27"/>
        <v>36326.858696801683</v>
      </c>
      <c r="G245" s="843">
        <f t="shared" si="27"/>
        <v>0</v>
      </c>
      <c r="H245" s="843">
        <f t="shared" si="27"/>
        <v>0</v>
      </c>
      <c r="I245" s="843">
        <f t="shared" si="27"/>
        <v>66438.391350183578</v>
      </c>
      <c r="J245" s="843">
        <f t="shared" si="27"/>
        <v>37840.058949738966</v>
      </c>
    </row>
    <row r="246" spans="2:10" x14ac:dyDescent="0.25">
      <c r="B246" s="820" t="s">
        <v>149</v>
      </c>
      <c r="D246" s="843">
        <f t="shared" si="27"/>
        <v>0</v>
      </c>
      <c r="E246" s="843">
        <f t="shared" si="27"/>
        <v>0</v>
      </c>
      <c r="F246" s="843">
        <f t="shared" si="27"/>
        <v>0</v>
      </c>
      <c r="G246" s="843">
        <f t="shared" si="27"/>
        <v>0</v>
      </c>
      <c r="H246" s="843">
        <f t="shared" si="27"/>
        <v>0</v>
      </c>
      <c r="I246" s="843">
        <f t="shared" si="27"/>
        <v>0</v>
      </c>
      <c r="J246" s="843">
        <f t="shared" si="27"/>
        <v>705617.96489298239</v>
      </c>
    </row>
    <row r="247" spans="2:10" x14ac:dyDescent="0.25">
      <c r="B247" s="820" t="s">
        <v>144</v>
      </c>
      <c r="D247" s="843">
        <f t="shared" si="27"/>
        <v>0</v>
      </c>
      <c r="E247" s="843">
        <f t="shared" si="27"/>
        <v>0</v>
      </c>
      <c r="F247" s="843">
        <f t="shared" si="27"/>
        <v>0</v>
      </c>
      <c r="G247" s="843">
        <f t="shared" si="27"/>
        <v>0</v>
      </c>
      <c r="H247" s="843">
        <f t="shared" si="27"/>
        <v>4914.3198561117388</v>
      </c>
      <c r="I247" s="843">
        <f t="shared" si="27"/>
        <v>0</v>
      </c>
      <c r="J247" s="843">
        <f t="shared" si="27"/>
        <v>0</v>
      </c>
    </row>
    <row r="248" spans="2:10" x14ac:dyDescent="0.25">
      <c r="B248" s="820" t="s">
        <v>142</v>
      </c>
      <c r="D248" s="843">
        <f t="shared" si="27"/>
        <v>0</v>
      </c>
      <c r="E248" s="843">
        <f t="shared" si="27"/>
        <v>403175.67152892629</v>
      </c>
      <c r="F248" s="843">
        <f t="shared" si="27"/>
        <v>591418.63828674145</v>
      </c>
      <c r="G248" s="843">
        <f t="shared" si="27"/>
        <v>0</v>
      </c>
      <c r="H248" s="843">
        <f t="shared" si="27"/>
        <v>432050.29306183325</v>
      </c>
      <c r="I248" s="843">
        <f t="shared" si="27"/>
        <v>681439.54028848012</v>
      </c>
      <c r="J248" s="843">
        <f t="shared" si="27"/>
        <v>117977.58323222082</v>
      </c>
    </row>
    <row r="249" spans="2:10" x14ac:dyDescent="0.25">
      <c r="B249" s="820" t="s">
        <v>143</v>
      </c>
      <c r="D249" s="843">
        <f t="shared" si="27"/>
        <v>0</v>
      </c>
      <c r="E249" s="843">
        <f t="shared" si="27"/>
        <v>376780.55825424916</v>
      </c>
      <c r="F249" s="843">
        <f t="shared" si="27"/>
        <v>332632.42355961434</v>
      </c>
      <c r="G249" s="843">
        <f t="shared" si="27"/>
        <v>0</v>
      </c>
      <c r="H249" s="843">
        <f t="shared" si="27"/>
        <v>280457.77702836884</v>
      </c>
      <c r="I249" s="843">
        <f t="shared" si="27"/>
        <v>1319499.0896061496</v>
      </c>
      <c r="J249" s="843">
        <f t="shared" si="27"/>
        <v>522669.38464756531</v>
      </c>
    </row>
    <row r="250" spans="2:10" x14ac:dyDescent="0.25">
      <c r="B250" s="820" t="s">
        <v>139</v>
      </c>
      <c r="D250" s="843">
        <f t="shared" si="27"/>
        <v>0</v>
      </c>
      <c r="E250" s="843">
        <f t="shared" si="27"/>
        <v>0</v>
      </c>
      <c r="F250" s="843">
        <f t="shared" si="27"/>
        <v>0</v>
      </c>
      <c r="G250" s="843">
        <f t="shared" si="27"/>
        <v>0</v>
      </c>
      <c r="H250" s="843">
        <f t="shared" si="27"/>
        <v>73597.564011330833</v>
      </c>
      <c r="I250" s="843">
        <f t="shared" si="27"/>
        <v>481578.23259380407</v>
      </c>
      <c r="J250" s="843">
        <f t="shared" si="27"/>
        <v>75908.419515995905</v>
      </c>
    </row>
    <row r="251" spans="2:10" x14ac:dyDescent="0.25">
      <c r="B251" s="820" t="s">
        <v>146</v>
      </c>
      <c r="D251" s="843">
        <f t="shared" si="27"/>
        <v>73250.391819348486</v>
      </c>
      <c r="E251" s="843">
        <f t="shared" si="27"/>
        <v>0</v>
      </c>
      <c r="F251" s="843">
        <f t="shared" si="27"/>
        <v>0</v>
      </c>
      <c r="G251" s="843">
        <f t="shared" si="27"/>
        <v>0</v>
      </c>
      <c r="H251" s="843">
        <f t="shared" si="27"/>
        <v>377442.09780294972</v>
      </c>
      <c r="I251" s="850">
        <f t="shared" si="27"/>
        <v>3869513.4976077238</v>
      </c>
      <c r="J251" s="843">
        <f t="shared" si="27"/>
        <v>0</v>
      </c>
    </row>
    <row r="252" spans="2:10" x14ac:dyDescent="0.25">
      <c r="B252" s="820" t="s">
        <v>135</v>
      </c>
      <c r="D252" s="843">
        <f t="shared" si="27"/>
        <v>145658.76467410853</v>
      </c>
      <c r="E252" s="843">
        <f t="shared" si="27"/>
        <v>803219.34429192648</v>
      </c>
      <c r="F252" s="843">
        <f t="shared" si="27"/>
        <v>1479597.5027988555</v>
      </c>
      <c r="G252" s="843">
        <f t="shared" si="27"/>
        <v>0</v>
      </c>
      <c r="H252" s="843">
        <f t="shared" si="27"/>
        <v>355518.2794573101</v>
      </c>
      <c r="I252" s="843">
        <f t="shared" si="27"/>
        <v>8046654.0137174418</v>
      </c>
      <c r="J252" s="843">
        <f t="shared" si="27"/>
        <v>918617.64398491476</v>
      </c>
    </row>
    <row r="253" spans="2:10" x14ac:dyDescent="0.25">
      <c r="B253" s="820" t="s">
        <v>148</v>
      </c>
      <c r="D253" s="843">
        <f t="shared" si="27"/>
        <v>172731.46104413929</v>
      </c>
      <c r="E253" s="843">
        <f t="shared" si="27"/>
        <v>0</v>
      </c>
      <c r="F253" s="843">
        <f t="shared" si="27"/>
        <v>0</v>
      </c>
      <c r="G253" s="843">
        <f t="shared" si="27"/>
        <v>0</v>
      </c>
      <c r="H253" s="843">
        <f t="shared" si="27"/>
        <v>1464869.5815032979</v>
      </c>
      <c r="I253" s="851">
        <f t="shared" si="27"/>
        <v>52377.111374465901</v>
      </c>
      <c r="J253" s="843">
        <f t="shared" si="27"/>
        <v>0</v>
      </c>
    </row>
    <row r="254" spans="2:10" x14ac:dyDescent="0.25">
      <c r="B254" s="820" t="s">
        <v>137</v>
      </c>
      <c r="D254" s="843">
        <f t="shared" si="27"/>
        <v>0</v>
      </c>
      <c r="E254" s="843">
        <f t="shared" si="27"/>
        <v>0</v>
      </c>
      <c r="F254" s="843">
        <f t="shared" si="27"/>
        <v>0</v>
      </c>
      <c r="G254" s="843">
        <f t="shared" si="27"/>
        <v>0</v>
      </c>
      <c r="H254" s="843">
        <f t="shared" si="27"/>
        <v>184878.89712908186</v>
      </c>
      <c r="I254" s="843">
        <f t="shared" si="27"/>
        <v>616459.01060873549</v>
      </c>
      <c r="J254" s="843">
        <f t="shared" si="27"/>
        <v>185942.45525788408</v>
      </c>
    </row>
    <row r="255" spans="2:10" x14ac:dyDescent="0.25">
      <c r="B255" s="820" t="s">
        <v>145</v>
      </c>
      <c r="D255" s="843">
        <f t="shared" si="27"/>
        <v>0</v>
      </c>
      <c r="E255" s="843">
        <f t="shared" si="27"/>
        <v>0</v>
      </c>
      <c r="F255" s="843">
        <f t="shared" si="27"/>
        <v>0</v>
      </c>
      <c r="G255" s="843">
        <f t="shared" si="27"/>
        <v>0</v>
      </c>
      <c r="H255" s="843">
        <f t="shared" si="27"/>
        <v>174054.39779979433</v>
      </c>
      <c r="I255" s="843">
        <f t="shared" si="27"/>
        <v>143136.66068107271</v>
      </c>
      <c r="J255" s="843">
        <f t="shared" si="27"/>
        <v>0</v>
      </c>
    </row>
    <row r="256" spans="2:10" x14ac:dyDescent="0.25">
      <c r="B256" s="820" t="s">
        <v>140</v>
      </c>
      <c r="D256" s="843">
        <f t="shared" si="27"/>
        <v>0</v>
      </c>
      <c r="E256" s="843">
        <f t="shared" si="27"/>
        <v>36420.214624927954</v>
      </c>
      <c r="F256" s="843">
        <f t="shared" si="27"/>
        <v>14570.328301787895</v>
      </c>
      <c r="G256" s="843">
        <f t="shared" si="27"/>
        <v>0</v>
      </c>
      <c r="H256" s="843">
        <f t="shared" si="27"/>
        <v>0</v>
      </c>
      <c r="I256" s="843">
        <f t="shared" si="27"/>
        <v>0</v>
      </c>
      <c r="J256" s="843">
        <f t="shared" si="27"/>
        <v>240243.7400825505</v>
      </c>
    </row>
    <row r="257" spans="2:10" x14ac:dyDescent="0.25">
      <c r="B257" s="820" t="s">
        <v>134</v>
      </c>
      <c r="D257" s="843">
        <f t="shared" si="27"/>
        <v>897.78768611320891</v>
      </c>
      <c r="E257" s="843">
        <f t="shared" si="27"/>
        <v>14473.351187652006</v>
      </c>
      <c r="F257" s="843">
        <f t="shared" si="27"/>
        <v>29784.82935735894</v>
      </c>
      <c r="G257" s="843">
        <f t="shared" si="27"/>
        <v>0</v>
      </c>
      <c r="H257" s="843">
        <f t="shared" si="27"/>
        <v>7761.0761416493551</v>
      </c>
      <c r="I257" s="843">
        <f t="shared" si="27"/>
        <v>64728.725420047238</v>
      </c>
      <c r="J257" s="843">
        <f t="shared" si="27"/>
        <v>0</v>
      </c>
    </row>
    <row r="258" spans="2:10" x14ac:dyDescent="0.25">
      <c r="B258" s="820" t="s">
        <v>136</v>
      </c>
      <c r="D258" s="843">
        <f t="shared" si="27"/>
        <v>4800.2617591327007</v>
      </c>
      <c r="E258" s="843">
        <f t="shared" si="27"/>
        <v>276732.19626199832</v>
      </c>
      <c r="F258" s="843">
        <f t="shared" si="27"/>
        <v>103755.42826211269</v>
      </c>
      <c r="G258" s="843">
        <f t="shared" si="27"/>
        <v>0</v>
      </c>
      <c r="H258" s="843">
        <f t="shared" si="27"/>
        <v>28629.189375088285</v>
      </c>
      <c r="I258" s="843">
        <f t="shared" si="27"/>
        <v>11707.443494184463</v>
      </c>
      <c r="J258" s="843">
        <f t="shared" si="27"/>
        <v>0</v>
      </c>
    </row>
    <row r="259" spans="2:10" x14ac:dyDescent="0.25">
      <c r="B259" s="820" t="s">
        <v>147</v>
      </c>
      <c r="D259" s="843">
        <f t="shared" si="27"/>
        <v>0</v>
      </c>
      <c r="E259" s="843">
        <f t="shared" si="27"/>
        <v>0</v>
      </c>
      <c r="F259" s="843">
        <f t="shared" si="27"/>
        <v>0</v>
      </c>
      <c r="G259" s="843">
        <f t="shared" si="27"/>
        <v>0</v>
      </c>
      <c r="H259" s="843">
        <f t="shared" si="27"/>
        <v>0</v>
      </c>
      <c r="I259" s="843">
        <f t="shared" si="27"/>
        <v>1934737.7917060046</v>
      </c>
      <c r="J259" s="843">
        <f t="shared" si="27"/>
        <v>0</v>
      </c>
    </row>
    <row r="260" spans="2:10" x14ac:dyDescent="0.25">
      <c r="B260" s="820" t="s">
        <v>230</v>
      </c>
      <c r="D260" s="843">
        <f t="shared" si="27"/>
        <v>32926.758663924971</v>
      </c>
      <c r="E260" s="843">
        <f t="shared" si="27"/>
        <v>443275.23785314511</v>
      </c>
      <c r="F260" s="843">
        <f t="shared" si="27"/>
        <v>166197.54680767053</v>
      </c>
      <c r="G260" s="843">
        <f t="shared" si="27"/>
        <v>0</v>
      </c>
      <c r="H260" s="843">
        <f t="shared" si="27"/>
        <v>0</v>
      </c>
      <c r="I260" s="843">
        <f t="shared" si="27"/>
        <v>523871.0900942391</v>
      </c>
      <c r="J260" s="843">
        <f t="shared" si="27"/>
        <v>0</v>
      </c>
    </row>
    <row r="261" spans="2:10" x14ac:dyDescent="0.25">
      <c r="B261" s="820" t="s">
        <v>157</v>
      </c>
      <c r="D261" s="843">
        <f t="shared" ref="D261:J266" si="28">+D227*D94</f>
        <v>0</v>
      </c>
      <c r="E261" s="843">
        <f t="shared" si="28"/>
        <v>0</v>
      </c>
      <c r="F261" s="843">
        <f t="shared" si="28"/>
        <v>0</v>
      </c>
      <c r="G261" s="843">
        <f t="shared" si="28"/>
        <v>0</v>
      </c>
      <c r="H261" s="843">
        <f t="shared" si="28"/>
        <v>0</v>
      </c>
      <c r="I261" s="843">
        <f t="shared" si="28"/>
        <v>901603.45295552607</v>
      </c>
      <c r="J261" s="843">
        <f t="shared" si="28"/>
        <v>64574.323860481367</v>
      </c>
    </row>
    <row r="262" spans="2:10" x14ac:dyDescent="0.25">
      <c r="B262" s="820" t="s">
        <v>150</v>
      </c>
      <c r="D262" s="843">
        <f t="shared" si="28"/>
        <v>0</v>
      </c>
      <c r="E262" s="843">
        <f t="shared" si="28"/>
        <v>336370.02718038909</v>
      </c>
      <c r="F262" s="843">
        <f t="shared" si="28"/>
        <v>126115.48889525566</v>
      </c>
      <c r="G262" s="843">
        <f t="shared" si="28"/>
        <v>0</v>
      </c>
      <c r="H262" s="843">
        <f t="shared" si="28"/>
        <v>0</v>
      </c>
      <c r="I262" s="843">
        <f t="shared" si="28"/>
        <v>1402945.3632367402</v>
      </c>
      <c r="J262" s="843">
        <f t="shared" si="28"/>
        <v>117190.07529142941</v>
      </c>
    </row>
    <row r="263" spans="2:10" x14ac:dyDescent="0.25">
      <c r="B263" s="820" t="s">
        <v>151</v>
      </c>
      <c r="D263" s="843">
        <f t="shared" si="28"/>
        <v>0</v>
      </c>
      <c r="E263" s="843">
        <f t="shared" si="28"/>
        <v>315878.90409656282</v>
      </c>
      <c r="F263" s="843">
        <f t="shared" si="28"/>
        <v>118432.73538896977</v>
      </c>
      <c r="G263" s="843">
        <f t="shared" si="28"/>
        <v>0</v>
      </c>
      <c r="H263" s="843">
        <f t="shared" si="28"/>
        <v>0</v>
      </c>
      <c r="I263" s="843">
        <f t="shared" si="28"/>
        <v>0</v>
      </c>
      <c r="J263" s="843">
        <f t="shared" si="28"/>
        <v>0</v>
      </c>
    </row>
    <row r="264" spans="2:10" x14ac:dyDescent="0.25">
      <c r="B264" s="820" t="s">
        <v>153</v>
      </c>
      <c r="D264" s="843">
        <f t="shared" si="28"/>
        <v>0</v>
      </c>
      <c r="E264" s="843">
        <f t="shared" si="28"/>
        <v>1759451.8340302813</v>
      </c>
      <c r="F264" s="843">
        <f t="shared" si="28"/>
        <v>659672.71250772104</v>
      </c>
      <c r="G264" s="843">
        <f t="shared" si="28"/>
        <v>0</v>
      </c>
      <c r="H264" s="843">
        <f t="shared" si="28"/>
        <v>0</v>
      </c>
      <c r="I264" s="843">
        <f t="shared" si="28"/>
        <v>823906.23773686902</v>
      </c>
      <c r="J264" s="843">
        <f t="shared" si="28"/>
        <v>57529.239990338814</v>
      </c>
    </row>
    <row r="265" spans="2:10" x14ac:dyDescent="0.25">
      <c r="B265" s="820" t="s">
        <v>159</v>
      </c>
      <c r="D265" s="843">
        <f t="shared" si="28"/>
        <v>10324.730116234477</v>
      </c>
      <c r="E265" s="843">
        <f t="shared" si="28"/>
        <v>0</v>
      </c>
      <c r="F265" s="843">
        <f t="shared" si="28"/>
        <v>0</v>
      </c>
      <c r="G265" s="843">
        <f t="shared" si="28"/>
        <v>0</v>
      </c>
      <c r="H265" s="843">
        <f t="shared" si="28"/>
        <v>0</v>
      </c>
      <c r="I265" s="843">
        <f t="shared" si="28"/>
        <v>0</v>
      </c>
      <c r="J265" s="843">
        <f t="shared" si="28"/>
        <v>0</v>
      </c>
    </row>
    <row r="266" spans="2:10" x14ac:dyDescent="0.25">
      <c r="B266" s="820" t="s">
        <v>154</v>
      </c>
      <c r="D266" s="843">
        <f t="shared" si="28"/>
        <v>0</v>
      </c>
      <c r="E266" s="843">
        <f t="shared" si="28"/>
        <v>85655.706844305678</v>
      </c>
      <c r="F266" s="843">
        <f t="shared" si="28"/>
        <v>32114.964094423067</v>
      </c>
      <c r="G266" s="843">
        <f t="shared" si="28"/>
        <v>0</v>
      </c>
      <c r="H266" s="843">
        <f t="shared" si="28"/>
        <v>0</v>
      </c>
      <c r="I266" s="843">
        <f t="shared" si="28"/>
        <v>0</v>
      </c>
      <c r="J266" s="843">
        <f t="shared" si="28"/>
        <v>0</v>
      </c>
    </row>
    <row r="267" spans="2:10" x14ac:dyDescent="0.25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0" x14ac:dyDescent="0.25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0" x14ac:dyDescent="0.25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0" x14ac:dyDescent="0.25">
      <c r="B270" s="820" t="s">
        <v>133</v>
      </c>
      <c r="D270" s="852">
        <f>+D236*D103</f>
        <v>4090.1869488831185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0" x14ac:dyDescent="0.25">
      <c r="C271" s="853" t="s">
        <v>587</v>
      </c>
      <c r="D271" s="854">
        <f>SUM(D245:D270)</f>
        <v>571233.32990172878</v>
      </c>
      <c r="E271" s="854">
        <f t="shared" ref="E271:J271" si="29">SUM(E245:E270)</f>
        <v>4948322.5444567492</v>
      </c>
      <c r="F271" s="854">
        <f t="shared" si="29"/>
        <v>3690619.4569573128</v>
      </c>
      <c r="G271" s="854">
        <f t="shared" si="29"/>
        <v>0</v>
      </c>
      <c r="H271" s="854">
        <f t="shared" si="29"/>
        <v>3384173.4731668159</v>
      </c>
      <c r="I271" s="855">
        <f t="shared" si="29"/>
        <v>20940595.652471665</v>
      </c>
      <c r="J271" s="854">
        <f t="shared" si="29"/>
        <v>3044110.8897061022</v>
      </c>
    </row>
    <row r="272" spans="2:10" x14ac:dyDescent="0.25">
      <c r="B272" s="821" t="s">
        <v>588</v>
      </c>
      <c r="D272" s="856">
        <f>+D174-D271</f>
        <v>0</v>
      </c>
      <c r="E272" s="856">
        <f>+E174-E271</f>
        <v>0</v>
      </c>
      <c r="F272" s="856"/>
      <c r="G272" s="856">
        <f>+G174-G271</f>
        <v>0</v>
      </c>
      <c r="H272" s="856">
        <f>+H174-H271</f>
        <v>0</v>
      </c>
      <c r="I272" s="856">
        <f>+I174-I271</f>
        <v>0</v>
      </c>
      <c r="J272" s="856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RowHeight="13.2" x14ac:dyDescent="0.25"/>
  <cols>
    <col min="1" max="1" width="1.5546875" style="820" customWidth="1"/>
    <col min="2" max="2" width="9.5546875" style="820" customWidth="1"/>
    <col min="3" max="3" width="5.6640625" style="820" bestFit="1" customWidth="1"/>
    <col min="4" max="4" width="9.6640625" style="820" customWidth="1"/>
    <col min="5" max="8" width="10.6640625" style="820" customWidth="1"/>
    <col min="9" max="9" width="11.6640625" style="820" customWidth="1"/>
    <col min="10" max="10" width="10.6640625" style="820" customWidth="1"/>
    <col min="11" max="11" width="12.44140625" style="820" bestFit="1" customWidth="1"/>
    <col min="12" max="12" width="9.44140625" style="820" customWidth="1"/>
    <col min="13" max="13" width="2.5546875" style="820" customWidth="1"/>
    <col min="14" max="14" width="5.6640625" style="820" bestFit="1" customWidth="1"/>
    <col min="15" max="16" width="7.6640625" style="820" bestFit="1" customWidth="1"/>
    <col min="17" max="18" width="5.88671875" style="820" bestFit="1" customWidth="1"/>
    <col min="19" max="19" width="5.88671875" style="820" customWidth="1"/>
    <col min="20" max="25" width="5.88671875" style="820" bestFit="1" customWidth="1"/>
    <col min="26" max="26" width="2.109375" style="820" customWidth="1"/>
    <col min="27" max="27" width="2.6640625" style="820" customWidth="1"/>
    <col min="28" max="16384" width="8.88671875" style="820"/>
  </cols>
  <sheetData>
    <row r="1" spans="1:14" x14ac:dyDescent="0.25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5">
      <c r="K2" s="993"/>
      <c r="L2" s="994"/>
    </row>
    <row r="3" spans="1:14" x14ac:dyDescent="0.25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5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5">
      <c r="N5" s="832"/>
    </row>
    <row r="6" spans="1:14" x14ac:dyDescent="0.25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5">
      <c r="N7" s="832"/>
    </row>
    <row r="8" spans="1:14" x14ac:dyDescent="0.25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5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5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5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5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5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5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5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5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5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5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5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5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5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5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5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5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5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5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5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5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5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5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5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5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5" x14ac:dyDescent="0.25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5" ht="5.25" customHeight="1" x14ac:dyDescent="0.25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5" hidden="1" x14ac:dyDescent="0.25">
      <c r="N35" s="832"/>
    </row>
    <row r="36" spans="2:25" x14ac:dyDescent="0.25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5" x14ac:dyDescent="0.25">
      <c r="N37" s="832"/>
      <c r="Q37" s="820" t="s">
        <v>203</v>
      </c>
      <c r="R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</row>
    <row r="38" spans="2:25" hidden="1" x14ac:dyDescent="0.25">
      <c r="D38" s="837">
        <f>+D36+E36+G36+H36+I36+J36+K36+L36</f>
        <v>17377.241055999999</v>
      </c>
      <c r="N38" s="832"/>
      <c r="Q38" s="820">
        <v>30</v>
      </c>
      <c r="R38" s="820">
        <v>31</v>
      </c>
      <c r="T38" s="820">
        <v>32</v>
      </c>
      <c r="U38" s="820">
        <v>33</v>
      </c>
      <c r="V38" s="820">
        <v>34</v>
      </c>
      <c r="W38" s="820">
        <v>35</v>
      </c>
      <c r="X38" s="820">
        <v>36</v>
      </c>
      <c r="Y38" s="820">
        <v>39</v>
      </c>
    </row>
    <row r="39" spans="2:25" hidden="1" x14ac:dyDescent="0.25">
      <c r="N39" s="832"/>
    </row>
    <row r="40" spans="2:25" hidden="1" x14ac:dyDescent="0.25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5" hidden="1" x14ac:dyDescent="0.25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5" hidden="1" x14ac:dyDescent="0.25">
      <c r="N42" s="832"/>
    </row>
    <row r="43" spans="2:25" x14ac:dyDescent="0.25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T43" s="820">
        <v>32</v>
      </c>
      <c r="U43" s="820">
        <v>33</v>
      </c>
      <c r="V43" s="820">
        <v>34</v>
      </c>
      <c r="W43" s="820">
        <v>35</v>
      </c>
      <c r="X43" s="820">
        <v>36</v>
      </c>
      <c r="Y43" s="820">
        <v>39</v>
      </c>
    </row>
    <row r="44" spans="2:25" x14ac:dyDescent="0.25">
      <c r="D44" s="820">
        <v>30</v>
      </c>
      <c r="E44" s="820">
        <v>31</v>
      </c>
      <c r="G44" s="820">
        <v>32</v>
      </c>
      <c r="H44" s="820">
        <v>33</v>
      </c>
      <c r="I44" s="820">
        <v>34</v>
      </c>
      <c r="J44" s="820">
        <v>35</v>
      </c>
      <c r="K44" s="820">
        <v>36</v>
      </c>
      <c r="L44" s="820">
        <v>39</v>
      </c>
      <c r="N44" s="832"/>
    </row>
    <row r="45" spans="2:25" x14ac:dyDescent="0.25">
      <c r="B45" s="820" t="s">
        <v>229</v>
      </c>
      <c r="D45" s="858">
        <v>0.42499999999999999</v>
      </c>
      <c r="E45" s="858">
        <v>0.42499999999999999</v>
      </c>
      <c r="F45" s="858"/>
      <c r="G45" s="859">
        <v>0</v>
      </c>
      <c r="H45" s="859">
        <v>0</v>
      </c>
      <c r="I45" s="859">
        <v>0</v>
      </c>
      <c r="J45" s="859">
        <v>0</v>
      </c>
      <c r="K45" s="858">
        <v>0.42499999999999999</v>
      </c>
      <c r="L45" s="858">
        <v>0.42499999999999999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/>
      <c r="T45" s="860">
        <v>0</v>
      </c>
      <c r="U45" s="860">
        <v>0</v>
      </c>
      <c r="V45" s="860">
        <v>0</v>
      </c>
      <c r="W45" s="860">
        <v>0</v>
      </c>
      <c r="X45" s="860">
        <v>0.42499999999999999</v>
      </c>
      <c r="Y45" s="860">
        <v>0.42499999999999999</v>
      </c>
    </row>
    <row r="46" spans="2:25" x14ac:dyDescent="0.25">
      <c r="B46" s="820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/>
      <c r="T46" s="860">
        <v>0</v>
      </c>
      <c r="U46" s="860">
        <v>0</v>
      </c>
      <c r="V46" s="860">
        <v>0</v>
      </c>
      <c r="W46" s="860">
        <v>0</v>
      </c>
      <c r="X46" s="860">
        <v>0</v>
      </c>
      <c r="Y46" s="860">
        <v>0.85</v>
      </c>
    </row>
    <row r="47" spans="2:25" x14ac:dyDescent="0.25">
      <c r="B47" s="820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/>
      <c r="T47" s="860">
        <v>0</v>
      </c>
      <c r="U47" s="860">
        <v>0</v>
      </c>
      <c r="V47" s="860">
        <v>0.85</v>
      </c>
      <c r="W47" s="860">
        <v>0</v>
      </c>
      <c r="X47" s="860">
        <v>0</v>
      </c>
      <c r="Y47" s="860">
        <v>0</v>
      </c>
    </row>
    <row r="48" spans="2:25" x14ac:dyDescent="0.25">
      <c r="B48" s="820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/>
      <c r="T48" s="860">
        <v>0.85</v>
      </c>
      <c r="U48" s="860">
        <v>0.85</v>
      </c>
      <c r="V48" s="860">
        <v>0.85</v>
      </c>
      <c r="W48" s="860">
        <v>0.85</v>
      </c>
      <c r="X48" s="860">
        <v>0.85</v>
      </c>
      <c r="Y48" s="860">
        <v>0.85</v>
      </c>
    </row>
    <row r="49" spans="2:25" x14ac:dyDescent="0.25">
      <c r="B49" s="820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/>
      <c r="T49" s="860">
        <v>0.85</v>
      </c>
      <c r="U49" s="860">
        <v>0.85</v>
      </c>
      <c r="V49" s="860">
        <v>0.85</v>
      </c>
      <c r="W49" s="860">
        <v>0.85</v>
      </c>
      <c r="X49" s="860">
        <v>0.85</v>
      </c>
      <c r="Y49" s="860">
        <v>0.85</v>
      </c>
    </row>
    <row r="50" spans="2:25" x14ac:dyDescent="0.25">
      <c r="B50" s="820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/>
      <c r="T50" s="860">
        <v>0.85</v>
      </c>
      <c r="U50" s="860">
        <v>0</v>
      </c>
      <c r="V50" s="860">
        <v>0.85</v>
      </c>
      <c r="W50" s="860">
        <v>0</v>
      </c>
      <c r="X50" s="860">
        <v>0.85</v>
      </c>
      <c r="Y50" s="860">
        <v>0.85</v>
      </c>
    </row>
    <row r="51" spans="2:25" x14ac:dyDescent="0.25">
      <c r="B51" s="820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/>
      <c r="T51" s="860">
        <v>0</v>
      </c>
      <c r="U51" s="860">
        <v>0.85</v>
      </c>
      <c r="V51" s="860">
        <v>0.85</v>
      </c>
      <c r="W51" s="860">
        <v>0.85</v>
      </c>
      <c r="X51" s="860">
        <v>0.85</v>
      </c>
      <c r="Y51" s="860">
        <v>0</v>
      </c>
    </row>
    <row r="52" spans="2:25" x14ac:dyDescent="0.25">
      <c r="B52" s="820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/>
      <c r="T52" s="860">
        <v>0.85</v>
      </c>
      <c r="U52" s="860">
        <v>0.85</v>
      </c>
      <c r="V52" s="860">
        <v>0.85</v>
      </c>
      <c r="W52" s="860">
        <v>0.85</v>
      </c>
      <c r="X52" s="860">
        <v>0.85</v>
      </c>
      <c r="Y52" s="860">
        <v>0.85</v>
      </c>
    </row>
    <row r="53" spans="2:25" x14ac:dyDescent="0.25">
      <c r="B53" s="820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/>
      <c r="T53" s="860">
        <v>0.85</v>
      </c>
      <c r="U53" s="860">
        <v>0.85</v>
      </c>
      <c r="V53" s="860">
        <v>0.85</v>
      </c>
      <c r="W53" s="860">
        <v>0.85</v>
      </c>
      <c r="X53" s="860">
        <v>0.85</v>
      </c>
      <c r="Y53" s="860">
        <v>0</v>
      </c>
    </row>
    <row r="54" spans="2:25" x14ac:dyDescent="0.25">
      <c r="B54" s="820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/>
      <c r="T54" s="860">
        <v>0.85</v>
      </c>
      <c r="U54" s="860">
        <v>0.85</v>
      </c>
      <c r="V54" s="860">
        <v>0.85</v>
      </c>
      <c r="W54" s="860">
        <v>0</v>
      </c>
      <c r="X54" s="860">
        <v>0.85</v>
      </c>
      <c r="Y54" s="860">
        <v>0.85</v>
      </c>
    </row>
    <row r="55" spans="2:25" x14ac:dyDescent="0.25">
      <c r="B55" s="820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/>
      <c r="T55" s="860">
        <v>0.85</v>
      </c>
      <c r="U55" s="860">
        <v>0.85</v>
      </c>
      <c r="V55" s="860">
        <v>0.85</v>
      </c>
      <c r="W55" s="860">
        <v>0.85</v>
      </c>
      <c r="X55" s="860">
        <v>0.85</v>
      </c>
      <c r="Y55" s="860">
        <v>0</v>
      </c>
    </row>
    <row r="56" spans="2:25" x14ac:dyDescent="0.25">
      <c r="B56" s="820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/>
      <c r="T56" s="860">
        <v>0.85</v>
      </c>
      <c r="U56" s="860">
        <v>0</v>
      </c>
      <c r="V56" s="860">
        <v>0</v>
      </c>
      <c r="W56" s="860">
        <v>0</v>
      </c>
      <c r="X56" s="860">
        <v>0</v>
      </c>
      <c r="Y56" s="860">
        <v>0.85</v>
      </c>
    </row>
    <row r="57" spans="2:25" x14ac:dyDescent="0.25">
      <c r="B57" s="820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/>
      <c r="T57" s="860">
        <v>0.85</v>
      </c>
      <c r="U57" s="860">
        <v>0</v>
      </c>
      <c r="V57" s="860">
        <v>0.85</v>
      </c>
      <c r="W57" s="860">
        <v>0</v>
      </c>
      <c r="X57" s="860">
        <v>0.85</v>
      </c>
      <c r="Y57" s="860">
        <v>0</v>
      </c>
    </row>
    <row r="58" spans="2:25" x14ac:dyDescent="0.25">
      <c r="B58" s="820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/>
      <c r="T58" s="860">
        <v>0</v>
      </c>
      <c r="U58" s="860">
        <v>0</v>
      </c>
      <c r="V58" s="860">
        <v>0.85</v>
      </c>
      <c r="W58" s="860">
        <v>0.85</v>
      </c>
      <c r="X58" s="860">
        <v>0.85</v>
      </c>
      <c r="Y58" s="860">
        <v>0</v>
      </c>
    </row>
    <row r="59" spans="2:25" x14ac:dyDescent="0.25">
      <c r="B59" s="820" t="s">
        <v>147</v>
      </c>
      <c r="D59" s="859">
        <v>0</v>
      </c>
      <c r="E59" s="858">
        <v>0.42499999999999999</v>
      </c>
      <c r="F59" s="858"/>
      <c r="G59" s="858">
        <v>0.42499999999999999</v>
      </c>
      <c r="H59" s="858">
        <v>0</v>
      </c>
      <c r="I59" s="858">
        <v>0</v>
      </c>
      <c r="J59" s="858">
        <v>0</v>
      </c>
      <c r="K59" s="858">
        <v>0.42499999999999999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/>
      <c r="T59" s="860">
        <v>0.42499999999999999</v>
      </c>
      <c r="U59" s="860">
        <v>0</v>
      </c>
      <c r="V59" s="860">
        <v>0</v>
      </c>
      <c r="W59" s="860">
        <v>0</v>
      </c>
      <c r="X59" s="860">
        <v>0.42499999999999999</v>
      </c>
      <c r="Y59" s="860">
        <v>0</v>
      </c>
    </row>
    <row r="60" spans="2:25" x14ac:dyDescent="0.25">
      <c r="B60" s="820" t="s">
        <v>230</v>
      </c>
      <c r="D60" s="858">
        <v>0.42499999999999999</v>
      </c>
      <c r="E60" s="858">
        <v>0.42499999999999999</v>
      </c>
      <c r="F60" s="858"/>
      <c r="G60" s="858">
        <v>0.42499999999999999</v>
      </c>
      <c r="H60" s="858">
        <v>0</v>
      </c>
      <c r="I60" s="858">
        <v>0</v>
      </c>
      <c r="J60" s="859">
        <v>0</v>
      </c>
      <c r="K60" s="858">
        <v>0.42499999999999999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/>
      <c r="T60" s="860">
        <v>0.42499999999999999</v>
      </c>
      <c r="U60" s="860">
        <v>0</v>
      </c>
      <c r="V60" s="860">
        <v>0</v>
      </c>
      <c r="W60" s="860">
        <v>0</v>
      </c>
      <c r="X60" s="860">
        <v>0.42499999999999999</v>
      </c>
      <c r="Y60" s="860">
        <v>0</v>
      </c>
    </row>
    <row r="61" spans="2:25" x14ac:dyDescent="0.25">
      <c r="B61" s="820" t="s">
        <v>157</v>
      </c>
      <c r="D61" s="859">
        <v>0</v>
      </c>
      <c r="E61" s="859">
        <v>0</v>
      </c>
      <c r="F61" s="859"/>
      <c r="G61" s="858">
        <v>0</v>
      </c>
      <c r="H61" s="858">
        <v>0</v>
      </c>
      <c r="I61" s="858">
        <v>0</v>
      </c>
      <c r="J61" s="859">
        <v>0</v>
      </c>
      <c r="K61" s="858">
        <v>0.42499999999999999</v>
      </c>
      <c r="L61" s="858">
        <v>0.42499999999999999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/>
      <c r="T61" s="860">
        <v>0</v>
      </c>
      <c r="U61" s="860">
        <v>0</v>
      </c>
      <c r="V61" s="860">
        <v>0</v>
      </c>
      <c r="W61" s="860">
        <v>0</v>
      </c>
      <c r="X61" s="860">
        <v>0.42499999999999999</v>
      </c>
      <c r="Y61" s="860">
        <v>0.42499999999999999</v>
      </c>
    </row>
    <row r="62" spans="2:25" x14ac:dyDescent="0.25">
      <c r="B62" s="820" t="s">
        <v>150</v>
      </c>
      <c r="D62" s="859">
        <v>0</v>
      </c>
      <c r="E62" s="858">
        <v>0.42499999999999999</v>
      </c>
      <c r="F62" s="858"/>
      <c r="G62" s="858">
        <v>0</v>
      </c>
      <c r="H62" s="858">
        <v>0</v>
      </c>
      <c r="I62" s="858">
        <v>0</v>
      </c>
      <c r="J62" s="859">
        <v>0</v>
      </c>
      <c r="K62" s="858">
        <v>0.42499999999999999</v>
      </c>
      <c r="L62" s="858">
        <v>0.42499999999999999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/>
      <c r="T62" s="860">
        <v>0</v>
      </c>
      <c r="U62" s="860">
        <v>0</v>
      </c>
      <c r="V62" s="860">
        <v>0</v>
      </c>
      <c r="W62" s="860">
        <v>0</v>
      </c>
      <c r="X62" s="860">
        <v>0.42499999999999999</v>
      </c>
      <c r="Y62" s="860">
        <v>0.42499999999999999</v>
      </c>
    </row>
    <row r="63" spans="2:25" x14ac:dyDescent="0.25">
      <c r="B63" s="820" t="s">
        <v>151</v>
      </c>
      <c r="D63" s="859">
        <v>0</v>
      </c>
      <c r="E63" s="861">
        <v>0.42499999999999999</v>
      </c>
      <c r="F63" s="861"/>
      <c r="G63" s="858">
        <v>0</v>
      </c>
      <c r="H63" s="858">
        <v>0</v>
      </c>
      <c r="I63" s="858">
        <v>0</v>
      </c>
      <c r="J63" s="859">
        <v>0</v>
      </c>
      <c r="K63" s="858">
        <v>0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/>
      <c r="T63" s="860">
        <v>0</v>
      </c>
      <c r="U63" s="860">
        <v>0</v>
      </c>
      <c r="V63" s="860">
        <v>0</v>
      </c>
      <c r="W63" s="860">
        <v>0</v>
      </c>
      <c r="X63" s="860">
        <v>0</v>
      </c>
      <c r="Y63" s="860">
        <v>0</v>
      </c>
    </row>
    <row r="64" spans="2:25" x14ac:dyDescent="0.25">
      <c r="B64" s="820" t="s">
        <v>153</v>
      </c>
      <c r="D64" s="859">
        <v>0</v>
      </c>
      <c r="E64" s="858">
        <v>0.42499999999999999</v>
      </c>
      <c r="F64" s="858"/>
      <c r="G64" s="858">
        <v>0.42499999999999999</v>
      </c>
      <c r="H64" s="858">
        <v>0</v>
      </c>
      <c r="I64" s="858">
        <v>0</v>
      </c>
      <c r="J64" s="859">
        <v>0</v>
      </c>
      <c r="K64" s="858">
        <v>0.42499999999999999</v>
      </c>
      <c r="L64" s="861">
        <v>0.42499999999999999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/>
      <c r="T64" s="860">
        <v>0.42499999999999999</v>
      </c>
      <c r="U64" s="860">
        <v>0</v>
      </c>
      <c r="V64" s="860">
        <v>0</v>
      </c>
      <c r="W64" s="860">
        <v>0</v>
      </c>
      <c r="X64" s="860">
        <v>0.42499999999999999</v>
      </c>
      <c r="Y64" s="860">
        <v>0.42499999999999999</v>
      </c>
    </row>
    <row r="65" spans="2:25" x14ac:dyDescent="0.25">
      <c r="B65" s="820" t="s">
        <v>159</v>
      </c>
      <c r="D65" s="858">
        <v>0.42499999999999999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v>0</v>
      </c>
      <c r="K65" s="859"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/>
      <c r="T65" s="860">
        <v>0</v>
      </c>
      <c r="U65" s="860">
        <v>0</v>
      </c>
      <c r="V65" s="860">
        <v>0</v>
      </c>
      <c r="W65" s="860">
        <v>0</v>
      </c>
      <c r="X65" s="860">
        <v>0</v>
      </c>
      <c r="Y65" s="860">
        <v>0</v>
      </c>
    </row>
    <row r="66" spans="2:25" x14ac:dyDescent="0.25">
      <c r="B66" s="820" t="s">
        <v>154</v>
      </c>
      <c r="D66" s="859">
        <v>0</v>
      </c>
      <c r="E66" s="858">
        <v>0.42499999999999999</v>
      </c>
      <c r="F66" s="858"/>
      <c r="G66" s="858">
        <v>0</v>
      </c>
      <c r="H66" s="858">
        <v>0</v>
      </c>
      <c r="I66" s="858">
        <v>0</v>
      </c>
      <c r="J66" s="859">
        <v>0</v>
      </c>
      <c r="K66" s="858">
        <v>0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/>
      <c r="T66" s="860">
        <v>0</v>
      </c>
      <c r="U66" s="860">
        <v>0</v>
      </c>
      <c r="V66" s="860">
        <v>0</v>
      </c>
      <c r="W66" s="860">
        <v>0</v>
      </c>
      <c r="X66" s="860">
        <v>0</v>
      </c>
      <c r="Y66" s="860">
        <v>0</v>
      </c>
    </row>
    <row r="67" spans="2:25" x14ac:dyDescent="0.25">
      <c r="B67" s="820" t="s">
        <v>155</v>
      </c>
      <c r="D67" s="859">
        <v>0</v>
      </c>
      <c r="E67" s="858">
        <v>0.42499999999999999</v>
      </c>
      <c r="F67" s="858"/>
      <c r="G67" s="858">
        <v>0.42499999999999999</v>
      </c>
      <c r="H67" s="858">
        <v>0</v>
      </c>
      <c r="I67" s="858">
        <v>0</v>
      </c>
      <c r="J67" s="859">
        <v>0</v>
      </c>
      <c r="K67" s="858">
        <v>0.42499999999999999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/>
      <c r="T67" s="860">
        <v>0.42499999999999999</v>
      </c>
      <c r="U67" s="860">
        <v>0</v>
      </c>
      <c r="V67" s="860">
        <v>0</v>
      </c>
      <c r="W67" s="860">
        <v>0</v>
      </c>
      <c r="X67" s="860">
        <v>0.42499999999999999</v>
      </c>
      <c r="Y67" s="860">
        <v>0</v>
      </c>
    </row>
    <row r="68" spans="2:25" x14ac:dyDescent="0.25">
      <c r="B68" s="820" t="s">
        <v>156</v>
      </c>
      <c r="D68" s="859">
        <v>0</v>
      </c>
      <c r="E68" s="858">
        <v>0.42499999999999999</v>
      </c>
      <c r="F68" s="858"/>
      <c r="G68" s="858">
        <v>0</v>
      </c>
      <c r="H68" s="858">
        <v>0</v>
      </c>
      <c r="I68" s="858">
        <v>0</v>
      </c>
      <c r="J68" s="859">
        <v>0</v>
      </c>
      <c r="K68" s="859"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/>
      <c r="T68" s="860">
        <v>0</v>
      </c>
      <c r="U68" s="860">
        <v>0</v>
      </c>
      <c r="V68" s="860">
        <v>0</v>
      </c>
      <c r="W68" s="860">
        <v>0</v>
      </c>
      <c r="X68" s="860">
        <v>0</v>
      </c>
      <c r="Y68" s="860">
        <v>0</v>
      </c>
    </row>
    <row r="69" spans="2:25" x14ac:dyDescent="0.25">
      <c r="B69" s="820" t="s">
        <v>152</v>
      </c>
      <c r="D69" s="859">
        <v>0</v>
      </c>
      <c r="E69" s="858">
        <v>0.42499999999999999</v>
      </c>
      <c r="F69" s="858"/>
      <c r="G69" s="858">
        <v>0</v>
      </c>
      <c r="H69" s="858">
        <v>0</v>
      </c>
      <c r="I69" s="858">
        <v>0</v>
      </c>
      <c r="J69" s="859">
        <v>0</v>
      </c>
      <c r="K69" s="858">
        <v>0.42499999999999999</v>
      </c>
      <c r="L69" s="862">
        <v>0.125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/>
      <c r="T69" s="860">
        <v>0</v>
      </c>
      <c r="U69" s="860">
        <v>0</v>
      </c>
      <c r="V69" s="860">
        <v>0</v>
      </c>
      <c r="W69" s="860">
        <v>0</v>
      </c>
      <c r="X69" s="860">
        <v>0.42499999999999999</v>
      </c>
      <c r="Y69" s="860">
        <v>0.125</v>
      </c>
    </row>
    <row r="70" spans="2:25" x14ac:dyDescent="0.25">
      <c r="B70" s="820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/>
      <c r="T70" s="860">
        <v>0.25</v>
      </c>
      <c r="U70" s="860">
        <v>0</v>
      </c>
      <c r="V70" s="860">
        <v>0</v>
      </c>
      <c r="W70" s="860">
        <v>0</v>
      </c>
      <c r="X70" s="860">
        <v>0.25</v>
      </c>
      <c r="Y70" s="860">
        <v>0</v>
      </c>
    </row>
    <row r="71" spans="2:25" x14ac:dyDescent="0.25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5" x14ac:dyDescent="0.25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5" x14ac:dyDescent="0.25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5" x14ac:dyDescent="0.25">
      <c r="N74" s="832"/>
    </row>
    <row r="75" spans="2:25" x14ac:dyDescent="0.25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5" x14ac:dyDescent="0.25">
      <c r="D76" s="995" t="s">
        <v>512</v>
      </c>
      <c r="E76" s="996"/>
      <c r="F76" s="996"/>
      <c r="G76" s="996"/>
      <c r="H76" s="996"/>
      <c r="I76" s="996"/>
      <c r="J76" s="997"/>
    </row>
    <row r="78" spans="2:25" x14ac:dyDescent="0.25">
      <c r="B78" s="820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5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5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5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5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0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5">
      <c r="B93" s="820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5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5">
      <c r="B95" s="820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5">
      <c r="B96" s="820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5">
      <c r="B97" s="820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5">
      <c r="B98" s="820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5">
      <c r="B99" s="820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5">
      <c r="B100" s="820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5">
      <c r="B101" s="820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5">
      <c r="B102" s="820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5">
      <c r="B103" s="820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5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7" hidden="1" x14ac:dyDescent="0.25">
      <c r="F105" s="607">
        <f t="shared" si="7"/>
        <v>0</v>
      </c>
    </row>
    <row r="106" spans="2:17" x14ac:dyDescent="0.25">
      <c r="B106" s="820" t="s">
        <v>0</v>
      </c>
      <c r="D106" s="837">
        <f t="shared" ref="D106:J106" si="10">SUM(D78:D104)</f>
        <v>2521.8076449999999</v>
      </c>
      <c r="E106" s="837">
        <f t="shared" si="10"/>
        <v>1043.0869425000001</v>
      </c>
      <c r="F106" s="837">
        <f t="shared" si="10"/>
        <v>1817.7664599999996</v>
      </c>
      <c r="G106" s="837">
        <f t="shared" si="10"/>
        <v>774.67951749999997</v>
      </c>
      <c r="H106" s="837">
        <f t="shared" si="10"/>
        <v>880.19896999999992</v>
      </c>
      <c r="I106" s="837">
        <f t="shared" si="10"/>
        <v>3306.3592137499995</v>
      </c>
      <c r="J106" s="837">
        <f t="shared" si="10"/>
        <v>1416.3240375499997</v>
      </c>
      <c r="K106" s="837"/>
    </row>
    <row r="107" spans="2:17" x14ac:dyDescent="0.25">
      <c r="D107" s="837">
        <f>+D106+E106+G106+H106+I106+J106</f>
        <v>9942.4563262999982</v>
      </c>
      <c r="E107" s="837"/>
      <c r="F107" s="837"/>
      <c r="G107" s="837"/>
      <c r="H107" s="837"/>
      <c r="I107" s="837"/>
      <c r="J107" s="837"/>
      <c r="K107" s="837"/>
    </row>
    <row r="108" spans="2:17" x14ac:dyDescent="0.25">
      <c r="K108" s="837"/>
    </row>
    <row r="109" spans="2:17" x14ac:dyDescent="0.25">
      <c r="D109" s="838" t="s">
        <v>239</v>
      </c>
      <c r="E109" s="838" t="s">
        <v>238</v>
      </c>
      <c r="F109" s="840" t="s">
        <v>575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K109" s="837"/>
      <c r="Q109" s="820" t="s">
        <v>589</v>
      </c>
    </row>
    <row r="110" spans="2:17" x14ac:dyDescent="0.25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7" x14ac:dyDescent="0.25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20">
        <v>0.3</v>
      </c>
      <c r="P112" s="820" t="str">
        <f>IF(EXACT(O112,C112),"ok","help")</f>
        <v>ok</v>
      </c>
    </row>
    <row r="113" spans="2:16" x14ac:dyDescent="0.25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20">
        <v>0.7</v>
      </c>
      <c r="P113" s="820" t="str">
        <f t="shared" ref="P113:P137" si="14">IF(EXACT(O113,C113),"ok","help")</f>
        <v>ok</v>
      </c>
    </row>
    <row r="114" spans="2:16" x14ac:dyDescent="0.25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20">
        <v>0.9</v>
      </c>
      <c r="P114" s="820" t="str">
        <f t="shared" si="14"/>
        <v>ok</v>
      </c>
    </row>
    <row r="115" spans="2:16" x14ac:dyDescent="0.25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20">
        <v>0.9</v>
      </c>
      <c r="P115" s="820" t="str">
        <f t="shared" si="14"/>
        <v>ok</v>
      </c>
    </row>
    <row r="116" spans="2:16" x14ac:dyDescent="0.25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20">
        <v>0.9</v>
      </c>
      <c r="P116" s="820" t="str">
        <f t="shared" si="14"/>
        <v>ok</v>
      </c>
    </row>
    <row r="117" spans="2:16" x14ac:dyDescent="0.25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20">
        <v>0.65</v>
      </c>
      <c r="P117" s="820" t="str">
        <f t="shared" si="14"/>
        <v>ok</v>
      </c>
    </row>
    <row r="118" spans="2:16" x14ac:dyDescent="0.25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20">
        <v>0.7</v>
      </c>
      <c r="P118" s="820" t="str">
        <f t="shared" si="14"/>
        <v>ok</v>
      </c>
    </row>
    <row r="119" spans="2:16" x14ac:dyDescent="0.25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20">
        <v>0.3</v>
      </c>
      <c r="P119" s="820" t="str">
        <f t="shared" si="14"/>
        <v>ok</v>
      </c>
    </row>
    <row r="120" spans="2:16" x14ac:dyDescent="0.25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20">
        <v>0.7</v>
      </c>
      <c r="P120" s="820" t="str">
        <f t="shared" si="14"/>
        <v>ok</v>
      </c>
    </row>
    <row r="121" spans="2:16" x14ac:dyDescent="0.25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20">
        <v>0.5</v>
      </c>
      <c r="P121" s="820" t="str">
        <f t="shared" si="14"/>
        <v>ok</v>
      </c>
    </row>
    <row r="122" spans="2:16" x14ac:dyDescent="0.25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20">
        <v>0.9</v>
      </c>
      <c r="P122" s="820" t="str">
        <f t="shared" si="14"/>
        <v>ok</v>
      </c>
    </row>
    <row r="123" spans="2:16" x14ac:dyDescent="0.25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20">
        <v>0.1</v>
      </c>
      <c r="P123" s="820" t="str">
        <f t="shared" si="14"/>
        <v>ok</v>
      </c>
    </row>
    <row r="124" spans="2:16" x14ac:dyDescent="0.25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20">
        <v>0.1</v>
      </c>
      <c r="P124" s="820" t="str">
        <f t="shared" si="14"/>
        <v>ok</v>
      </c>
    </row>
    <row r="125" spans="2:16" x14ac:dyDescent="0.25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20">
        <v>0.1</v>
      </c>
      <c r="P125" s="820" t="str">
        <f t="shared" si="14"/>
        <v>ok</v>
      </c>
    </row>
    <row r="126" spans="2:16" x14ac:dyDescent="0.25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20">
        <v>0.3</v>
      </c>
      <c r="P126" s="820" t="str">
        <f t="shared" si="14"/>
        <v>ok</v>
      </c>
    </row>
    <row r="127" spans="2:16" x14ac:dyDescent="0.25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20">
        <v>0.3</v>
      </c>
      <c r="P127" s="820" t="str">
        <f t="shared" si="14"/>
        <v>ok</v>
      </c>
    </row>
    <row r="128" spans="2:16" x14ac:dyDescent="0.25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20">
        <v>0.7</v>
      </c>
      <c r="P128" s="820" t="str">
        <f t="shared" si="14"/>
        <v>ok</v>
      </c>
    </row>
    <row r="129" spans="2:16" x14ac:dyDescent="0.25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20">
        <v>0.9</v>
      </c>
      <c r="P129" s="820" t="str">
        <f t="shared" si="14"/>
        <v>ok</v>
      </c>
    </row>
    <row r="130" spans="2:16" x14ac:dyDescent="0.25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20">
        <v>0.9</v>
      </c>
      <c r="P130" s="820" t="str">
        <f t="shared" si="14"/>
        <v>ok</v>
      </c>
    </row>
    <row r="131" spans="2:16" x14ac:dyDescent="0.25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20">
        <v>0.3</v>
      </c>
      <c r="P131" s="820" t="str">
        <f t="shared" si="14"/>
        <v>ok</v>
      </c>
    </row>
    <row r="132" spans="2:16" x14ac:dyDescent="0.25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20">
        <v>0.7</v>
      </c>
      <c r="P132" s="820" t="str">
        <f t="shared" si="14"/>
        <v>ok</v>
      </c>
    </row>
    <row r="133" spans="2:16" x14ac:dyDescent="0.25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20">
        <v>0.5</v>
      </c>
      <c r="P133" s="820" t="str">
        <f t="shared" si="14"/>
        <v>ok</v>
      </c>
    </row>
    <row r="134" spans="2:16" x14ac:dyDescent="0.25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20">
        <v>0.1</v>
      </c>
      <c r="P134" s="820" t="str">
        <f t="shared" si="14"/>
        <v>ok</v>
      </c>
    </row>
    <row r="135" spans="2:16" x14ac:dyDescent="0.25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20">
        <v>0.1</v>
      </c>
      <c r="P135" s="820" t="str">
        <f t="shared" si="14"/>
        <v>ok</v>
      </c>
    </row>
    <row r="136" spans="2:16" x14ac:dyDescent="0.25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20">
        <v>0.3</v>
      </c>
      <c r="P136" s="820" t="str">
        <f t="shared" si="14"/>
        <v>ok</v>
      </c>
    </row>
    <row r="137" spans="2:16" x14ac:dyDescent="0.25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20">
        <v>0.3</v>
      </c>
      <c r="P137" s="820" t="str">
        <f t="shared" si="14"/>
        <v>ok</v>
      </c>
    </row>
    <row r="138" spans="2:16" ht="6.75" customHeight="1" x14ac:dyDescent="0.25">
      <c r="D138" s="835"/>
      <c r="E138" s="835"/>
      <c r="F138" s="835"/>
      <c r="G138" s="835"/>
      <c r="H138" s="835"/>
      <c r="I138" s="835"/>
      <c r="J138" s="835"/>
    </row>
    <row r="139" spans="2:16" ht="5.25" customHeight="1" x14ac:dyDescent="0.25"/>
    <row r="140" spans="2:16" x14ac:dyDescent="0.25">
      <c r="B140" s="820" t="s">
        <v>0</v>
      </c>
      <c r="D140" s="837">
        <f t="shared" ref="D140:J140" si="17">SUM(D112:D138)</f>
        <v>876.22361950000004</v>
      </c>
      <c r="E140" s="837">
        <f t="shared" si="17"/>
        <v>327.37709425000008</v>
      </c>
      <c r="F140" s="837">
        <f t="shared" si="17"/>
        <v>659.31103224999993</v>
      </c>
      <c r="G140" s="837">
        <f t="shared" si="17"/>
        <v>331.93393799999996</v>
      </c>
      <c r="H140" s="837">
        <f t="shared" si="17"/>
        <v>526.80590249999989</v>
      </c>
      <c r="I140" s="837">
        <f t="shared" si="17"/>
        <v>1310.5501158750001</v>
      </c>
      <c r="J140" s="837">
        <f t="shared" si="17"/>
        <v>532.57735479499991</v>
      </c>
      <c r="K140" s="837">
        <f>D140+F140+H140+I140+J140</f>
        <v>3905.4680249199996</v>
      </c>
    </row>
    <row r="141" spans="2:16" x14ac:dyDescent="0.25">
      <c r="D141" s="857">
        <f>D140/$K$140</f>
        <v>0.22435815986944324</v>
      </c>
      <c r="E141" s="857">
        <f t="shared" ref="E141:J141" si="18">E140/$K$140</f>
        <v>8.3825316751045764E-2</v>
      </c>
      <c r="F141" s="857">
        <f t="shared" si="18"/>
        <v>0.16881741907578551</v>
      </c>
      <c r="G141" s="857">
        <f t="shared" si="18"/>
        <v>8.4992102324739777E-2</v>
      </c>
      <c r="H141" s="857">
        <f t="shared" si="18"/>
        <v>0.13488931394100739</v>
      </c>
      <c r="I141" s="857">
        <f t="shared" si="18"/>
        <v>0.33556800555340499</v>
      </c>
      <c r="J141" s="857">
        <f t="shared" si="18"/>
        <v>0.13636710156035892</v>
      </c>
      <c r="K141" s="857">
        <f>K140/$K$140</f>
        <v>1</v>
      </c>
    </row>
    <row r="142" spans="2:16" x14ac:dyDescent="0.25">
      <c r="D142" s="837"/>
      <c r="E142" s="837"/>
      <c r="F142" s="837"/>
      <c r="G142" s="837"/>
      <c r="H142" s="837"/>
      <c r="I142" s="837"/>
      <c r="J142" s="837"/>
    </row>
    <row r="143" spans="2:16" x14ac:dyDescent="0.25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6" x14ac:dyDescent="0.25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5">
      <c r="B145" s="820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5">
      <c r="B146" s="820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5">
      <c r="B147" s="820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5">
      <c r="B148" s="820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5">
      <c r="B149" s="820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5">
      <c r="B150" s="820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5">
      <c r="B151" s="820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5">
      <c r="B152" s="820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5">
      <c r="B153" s="820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5">
      <c r="B154" s="820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5">
      <c r="B155" s="820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5">
      <c r="B156" s="820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5">
      <c r="B157" s="820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5">
      <c r="B158" s="820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5">
      <c r="B159" s="820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5">
      <c r="B160" s="820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5">
      <c r="B161" s="820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5">
      <c r="B162" s="820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5">
      <c r="B163" s="820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5">
      <c r="B164" s="820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5">
      <c r="B165" s="820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5">
      <c r="B166" s="820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5">
      <c r="B167" s="820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5">
      <c r="B168" s="820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5">
      <c r="B169" s="820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5">
      <c r="B170" s="820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5"/>
    <row r="172" spans="2:12" x14ac:dyDescent="0.25">
      <c r="B172" s="820" t="s">
        <v>0</v>
      </c>
      <c r="D172" s="842">
        <f>SUM(D145:D170)</f>
        <v>0.99999999999999989</v>
      </c>
      <c r="E172" s="842">
        <f t="shared" ref="E172:J172" si="21">SUM(E145:E170)</f>
        <v>0.99999999999999956</v>
      </c>
      <c r="F172" s="842">
        <f t="shared" si="21"/>
        <v>1</v>
      </c>
      <c r="G172" s="842">
        <f t="shared" si="21"/>
        <v>1</v>
      </c>
      <c r="H172" s="842">
        <f t="shared" si="21"/>
        <v>1.0000000000000002</v>
      </c>
      <c r="I172" s="842">
        <f t="shared" si="21"/>
        <v>1</v>
      </c>
      <c r="J172" s="842">
        <f t="shared" si="21"/>
        <v>1</v>
      </c>
    </row>
    <row r="174" spans="2:12" x14ac:dyDescent="0.25">
      <c r="B174" s="821" t="s">
        <v>578</v>
      </c>
      <c r="D174" s="865">
        <f>+'1. Storm Drainage Fee Calc Sum'!B41</f>
        <v>571233.32990172878</v>
      </c>
      <c r="E174" s="866">
        <f>+'1. Storm Drainage Fee Calc Sum'!C41</f>
        <v>4948322.5444567492</v>
      </c>
      <c r="F174" s="866">
        <f>+E174+G174</f>
        <v>4948322.5444567492</v>
      </c>
      <c r="G174" s="866">
        <f>+'1. Storm Drainage Fee Calc Sum'!D41</f>
        <v>0</v>
      </c>
      <c r="H174" s="866">
        <f>+'1. Storm Drainage Fee Calc Sum'!E41</f>
        <v>3384173.4731668155</v>
      </c>
      <c r="I174" s="867">
        <f>+'1. Storm Drainage Fee Calc Sum'!F41</f>
        <v>20940595.652471669</v>
      </c>
      <c r="J174" s="866">
        <f>+'1. Storm Drainage Fee Calc Sum'!G41</f>
        <v>3044110.8897061022</v>
      </c>
      <c r="K174" s="868">
        <f>J174+I174+H174+F174+D174</f>
        <v>32888435.889703065</v>
      </c>
      <c r="L174" s="820" t="s">
        <v>591</v>
      </c>
    </row>
    <row r="175" spans="2:12" x14ac:dyDescent="0.25">
      <c r="B175" s="821"/>
      <c r="D175" s="593"/>
      <c r="E175" s="843"/>
      <c r="F175" s="843"/>
      <c r="G175" s="843"/>
      <c r="H175" s="843"/>
      <c r="I175" s="844"/>
      <c r="J175" s="843"/>
    </row>
    <row r="176" spans="2:12" x14ac:dyDescent="0.25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5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5">
      <c r="B179" s="820" t="s">
        <v>229</v>
      </c>
      <c r="D179" s="616">
        <f t="shared" ref="D179:J194" si="22">+D$174*D145</f>
        <v>272076.63557324407</v>
      </c>
      <c r="E179" s="616">
        <f t="shared" si="22"/>
        <v>215115.46843773869</v>
      </c>
      <c r="F179" s="616">
        <f t="shared" si="22"/>
        <v>106814.34640194359</v>
      </c>
      <c r="G179" s="616">
        <f t="shared" si="22"/>
        <v>0</v>
      </c>
      <c r="H179" s="616">
        <f t="shared" si="22"/>
        <v>0</v>
      </c>
      <c r="I179" s="616">
        <f t="shared" si="22"/>
        <v>237283.06455965203</v>
      </c>
      <c r="J179" s="616">
        <f t="shared" si="22"/>
        <v>139508.35737999724</v>
      </c>
    </row>
    <row r="180" spans="2:10" x14ac:dyDescent="0.25">
      <c r="B180" s="820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612109.50046220387</v>
      </c>
    </row>
    <row r="181" spans="2:10" x14ac:dyDescent="0.25">
      <c r="B181" s="820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4914.3198561117388</v>
      </c>
      <c r="I181" s="616">
        <f t="shared" si="22"/>
        <v>0</v>
      </c>
      <c r="J181" s="616">
        <f t="shared" si="22"/>
        <v>0</v>
      </c>
    </row>
    <row r="182" spans="2:10" x14ac:dyDescent="0.25">
      <c r="B182" s="820" t="s">
        <v>142</v>
      </c>
      <c r="D182" s="616">
        <f t="shared" si="22"/>
        <v>0</v>
      </c>
      <c r="E182" s="616">
        <f t="shared" si="22"/>
        <v>210620.34576864395</v>
      </c>
      <c r="F182" s="616">
        <f t="shared" si="22"/>
        <v>409173.80216747004</v>
      </c>
      <c r="G182" s="616">
        <f t="shared" si="22"/>
        <v>0</v>
      </c>
      <c r="H182" s="616">
        <f t="shared" si="22"/>
        <v>432050.29306183325</v>
      </c>
      <c r="I182" s="616">
        <f t="shared" si="22"/>
        <v>572645.73954117706</v>
      </c>
      <c r="J182" s="616">
        <f t="shared" si="22"/>
        <v>102343.19863010473</v>
      </c>
    </row>
    <row r="183" spans="2:10" x14ac:dyDescent="0.25">
      <c r="B183" s="820" t="s">
        <v>143</v>
      </c>
      <c r="D183" s="616">
        <f t="shared" si="22"/>
        <v>0</v>
      </c>
      <c r="E183" s="616">
        <f t="shared" si="22"/>
        <v>196831.44857791613</v>
      </c>
      <c r="F183" s="616">
        <f t="shared" si="22"/>
        <v>230132.2018973628</v>
      </c>
      <c r="G183" s="616">
        <f t="shared" si="22"/>
        <v>0</v>
      </c>
      <c r="H183" s="616">
        <f t="shared" si="22"/>
        <v>280457.77702836884</v>
      </c>
      <c r="I183" s="616">
        <f t="shared" si="22"/>
        <v>1108837.229597135</v>
      </c>
      <c r="J183" s="616">
        <f t="shared" si="22"/>
        <v>453405.25873945269</v>
      </c>
    </row>
    <row r="184" spans="2:10" x14ac:dyDescent="0.25">
      <c r="B184" s="820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165150.01761175098</v>
      </c>
      <c r="G184" s="616">
        <f t="shared" si="22"/>
        <v>0</v>
      </c>
      <c r="H184" s="616">
        <f t="shared" si="22"/>
        <v>73597.564011330833</v>
      </c>
      <c r="I184" s="616">
        <f t="shared" si="22"/>
        <v>404692.869794239</v>
      </c>
      <c r="J184" s="616">
        <f t="shared" si="22"/>
        <v>65849.038803679927</v>
      </c>
    </row>
    <row r="185" spans="2:10" x14ac:dyDescent="0.25">
      <c r="B185" s="820" t="s">
        <v>146</v>
      </c>
      <c r="D185" s="616">
        <f t="shared" si="22"/>
        <v>37054.407203472256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377442.09780294972</v>
      </c>
      <c r="I185" s="616">
        <f t="shared" si="22"/>
        <v>2763974.2697194656</v>
      </c>
      <c r="J185" s="616">
        <f t="shared" si="22"/>
        <v>0</v>
      </c>
    </row>
    <row r="186" spans="2:10" x14ac:dyDescent="0.25">
      <c r="B186" s="820" t="s">
        <v>135</v>
      </c>
      <c r="D186" s="616">
        <f t="shared" si="22"/>
        <v>73682.87110736662</v>
      </c>
      <c r="E186" s="616">
        <f t="shared" si="22"/>
        <v>419604.52470081998</v>
      </c>
      <c r="F186" s="616">
        <f t="shared" si="22"/>
        <v>1023661.5769355843</v>
      </c>
      <c r="G186" s="616">
        <f t="shared" si="22"/>
        <v>0</v>
      </c>
      <c r="H186" s="616">
        <f t="shared" si="22"/>
        <v>355518.2794573101</v>
      </c>
      <c r="I186" s="616">
        <f t="shared" si="22"/>
        <v>6761982.341920618</v>
      </c>
      <c r="J186" s="616">
        <f t="shared" si="22"/>
        <v>796882.47061659396</v>
      </c>
    </row>
    <row r="187" spans="2:10" x14ac:dyDescent="0.25">
      <c r="B187" s="820" t="s">
        <v>148</v>
      </c>
      <c r="D187" s="616">
        <f t="shared" si="22"/>
        <v>87377.851986992551</v>
      </c>
      <c r="E187" s="616">
        <f t="shared" si="22"/>
        <v>0</v>
      </c>
      <c r="F187" s="616">
        <f t="shared" si="22"/>
        <v>615938.53666738875</v>
      </c>
      <c r="G187" s="616">
        <f t="shared" si="22"/>
        <v>0</v>
      </c>
      <c r="H187" s="616">
        <f t="shared" si="22"/>
        <v>1464869.5815032979</v>
      </c>
      <c r="I187" s="616">
        <f t="shared" si="22"/>
        <v>37412.710474005602</v>
      </c>
      <c r="J187" s="616">
        <f t="shared" si="22"/>
        <v>0</v>
      </c>
    </row>
    <row r="188" spans="2:10" x14ac:dyDescent="0.25">
      <c r="B188" s="820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26450.360356524197</v>
      </c>
      <c r="G188" s="616">
        <f t="shared" si="22"/>
        <v>0</v>
      </c>
      <c r="H188" s="616">
        <f t="shared" si="22"/>
        <v>184878.89712908186</v>
      </c>
      <c r="I188" s="616">
        <f t="shared" si="22"/>
        <v>518039.54005577316</v>
      </c>
      <c r="J188" s="616">
        <f t="shared" si="22"/>
        <v>161301.36853854224</v>
      </c>
    </row>
    <row r="189" spans="2:10" x14ac:dyDescent="0.25">
      <c r="B189" s="820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62604.704443862807</v>
      </c>
      <c r="G189" s="616">
        <f t="shared" si="22"/>
        <v>0</v>
      </c>
      <c r="H189" s="616">
        <f t="shared" si="22"/>
        <v>174054.39779979433</v>
      </c>
      <c r="I189" s="616">
        <f t="shared" si="22"/>
        <v>120284.47729415253</v>
      </c>
      <c r="J189" s="616">
        <f t="shared" si="22"/>
        <v>0</v>
      </c>
    </row>
    <row r="190" spans="2:10" x14ac:dyDescent="0.25">
      <c r="B190" s="820" t="s">
        <v>140</v>
      </c>
      <c r="D190" s="616">
        <f t="shared" si="22"/>
        <v>0</v>
      </c>
      <c r="E190" s="616">
        <f t="shared" si="22"/>
        <v>19026.0443249989</v>
      </c>
      <c r="F190" s="616">
        <f t="shared" si="22"/>
        <v>10080.501770017523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208406.64927430631</v>
      </c>
    </row>
    <row r="191" spans="2:10" x14ac:dyDescent="0.25">
      <c r="B191" s="820" t="s">
        <v>134</v>
      </c>
      <c r="D191" s="616">
        <f t="shared" si="22"/>
        <v>454.15443763830871</v>
      </c>
      <c r="E191" s="616">
        <f t="shared" si="22"/>
        <v>7560.9280193275981</v>
      </c>
      <c r="F191" s="616">
        <f t="shared" si="22"/>
        <v>20606.675349908492</v>
      </c>
      <c r="G191" s="616">
        <f t="shared" si="22"/>
        <v>0</v>
      </c>
      <c r="H191" s="616">
        <f t="shared" si="22"/>
        <v>7761.0761416493542</v>
      </c>
      <c r="I191" s="616">
        <f t="shared" si="22"/>
        <v>54394.596506726019</v>
      </c>
      <c r="J191" s="616">
        <f t="shared" si="22"/>
        <v>0</v>
      </c>
    </row>
    <row r="192" spans="2:10" x14ac:dyDescent="0.25">
      <c r="B192" s="820" t="s">
        <v>136</v>
      </c>
      <c r="D192" s="616">
        <f t="shared" si="22"/>
        <v>2428.2580541661487</v>
      </c>
      <c r="E192" s="616">
        <f t="shared" si="22"/>
        <v>144565.84307527239</v>
      </c>
      <c r="F192" s="616">
        <f t="shared" si="22"/>
        <v>71783.336420553547</v>
      </c>
      <c r="G192" s="616">
        <f t="shared" si="22"/>
        <v>0</v>
      </c>
      <c r="H192" s="616">
        <f t="shared" si="22"/>
        <v>28629.189375088285</v>
      </c>
      <c r="I192" s="616">
        <f t="shared" si="22"/>
        <v>9838.3161549822107</v>
      </c>
      <c r="J192" s="616">
        <f t="shared" si="22"/>
        <v>0</v>
      </c>
    </row>
    <row r="193" spans="2:11" x14ac:dyDescent="0.25">
      <c r="B193" s="820" t="s">
        <v>147</v>
      </c>
      <c r="D193" s="616">
        <f t="shared" si="22"/>
        <v>0</v>
      </c>
      <c r="E193" s="616">
        <f t="shared" si="22"/>
        <v>656883.79047208815</v>
      </c>
      <c r="F193" s="616">
        <f t="shared" si="22"/>
        <v>553614.72157063067</v>
      </c>
      <c r="G193" s="616">
        <f t="shared" si="22"/>
        <v>0</v>
      </c>
      <c r="H193" s="616">
        <f t="shared" si="22"/>
        <v>0</v>
      </c>
      <c r="I193" s="616">
        <f t="shared" si="22"/>
        <v>2303289.3231648374</v>
      </c>
      <c r="J193" s="616">
        <f t="shared" si="22"/>
        <v>0</v>
      </c>
    </row>
    <row r="194" spans="2:11" x14ac:dyDescent="0.25">
      <c r="B194" s="820" t="s">
        <v>230</v>
      </c>
      <c r="D194" s="616">
        <f t="shared" si="22"/>
        <v>70789.334306063785</v>
      </c>
      <c r="E194" s="616">
        <f t="shared" si="22"/>
        <v>492083.05393445329</v>
      </c>
      <c r="F194" s="616">
        <f t="shared" si="22"/>
        <v>289864.40926376038</v>
      </c>
      <c r="G194" s="616">
        <f t="shared" si="22"/>
        <v>0</v>
      </c>
      <c r="H194" s="616">
        <f t="shared" si="22"/>
        <v>0</v>
      </c>
      <c r="I194" s="616">
        <f t="shared" si="22"/>
        <v>935496.29337483319</v>
      </c>
      <c r="J194" s="616">
        <f t="shared" si="22"/>
        <v>0</v>
      </c>
    </row>
    <row r="195" spans="2:11" x14ac:dyDescent="0.25">
      <c r="B195" s="820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1610027.1694361262</v>
      </c>
      <c r="J195" s="616">
        <f t="shared" si="23"/>
        <v>119035.99123174544</v>
      </c>
    </row>
    <row r="196" spans="2:11" x14ac:dyDescent="0.25">
      <c r="B196" s="820" t="s">
        <v>150</v>
      </c>
      <c r="D196" s="616">
        <f t="shared" si="23"/>
        <v>0</v>
      </c>
      <c r="E196" s="616">
        <f t="shared" si="23"/>
        <v>248937.86988657602</v>
      </c>
      <c r="F196" s="616">
        <f t="shared" si="23"/>
        <v>123608.66496368547</v>
      </c>
      <c r="G196" s="616">
        <f t="shared" si="23"/>
        <v>0</v>
      </c>
      <c r="H196" s="616">
        <f t="shared" si="23"/>
        <v>0</v>
      </c>
      <c r="I196" s="616">
        <f t="shared" si="23"/>
        <v>1670194.8398275911</v>
      </c>
      <c r="J196" s="616">
        <f t="shared" si="23"/>
        <v>216027.60882139558</v>
      </c>
    </row>
    <row r="197" spans="2:11" x14ac:dyDescent="0.25">
      <c r="B197" s="820" t="s">
        <v>151</v>
      </c>
      <c r="D197" s="616">
        <f t="shared" si="23"/>
        <v>0</v>
      </c>
      <c r="E197" s="616">
        <f t="shared" si="23"/>
        <v>233772.97373090341</v>
      </c>
      <c r="F197" s="616">
        <f t="shared" si="23"/>
        <v>116078.62315457981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5">
      <c r="B198" s="820" t="s">
        <v>153</v>
      </c>
      <c r="D198" s="616">
        <f t="shared" si="23"/>
        <v>0</v>
      </c>
      <c r="E198" s="616">
        <f t="shared" si="23"/>
        <v>1302120.1544114971</v>
      </c>
      <c r="F198" s="616">
        <f t="shared" si="23"/>
        <v>721882.87887420657</v>
      </c>
      <c r="G198" s="616">
        <f t="shared" si="23"/>
        <v>0</v>
      </c>
      <c r="H198" s="616">
        <f t="shared" si="23"/>
        <v>0</v>
      </c>
      <c r="I198" s="616">
        <f t="shared" si="23"/>
        <v>980853.55483489053</v>
      </c>
      <c r="J198" s="616">
        <f t="shared" si="23"/>
        <v>106049.11825100605</v>
      </c>
    </row>
    <row r="199" spans="2:11" x14ac:dyDescent="0.25">
      <c r="B199" s="820" t="s">
        <v>159</v>
      </c>
      <c r="D199" s="616">
        <f t="shared" si="23"/>
        <v>22197.167333654692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5">
      <c r="B200" s="820" t="s">
        <v>154</v>
      </c>
      <c r="D200" s="616">
        <f t="shared" si="23"/>
        <v>0</v>
      </c>
      <c r="E200" s="616">
        <f t="shared" si="23"/>
        <v>63391.347273683685</v>
      </c>
      <c r="F200" s="616">
        <f t="shared" si="23"/>
        <v>31476.608240922138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5">
      <c r="B201" s="820" t="s">
        <v>155</v>
      </c>
      <c r="D201" s="616">
        <f t="shared" si="23"/>
        <v>0</v>
      </c>
      <c r="E201" s="616">
        <f t="shared" si="23"/>
        <v>21546.781924645591</v>
      </c>
      <c r="F201" s="616">
        <f t="shared" si="23"/>
        <v>11979.072611377194</v>
      </c>
      <c r="G201" s="616">
        <f t="shared" si="23"/>
        <v>0</v>
      </c>
      <c r="H201" s="616">
        <f t="shared" si="23"/>
        <v>0</v>
      </c>
      <c r="I201" s="616">
        <f t="shared" si="23"/>
        <v>20345.73505351779</v>
      </c>
      <c r="J201" s="616">
        <f t="shared" si="23"/>
        <v>0</v>
      </c>
    </row>
    <row r="202" spans="2:11" x14ac:dyDescent="0.25">
      <c r="B202" s="820" t="s">
        <v>156</v>
      </c>
      <c r="D202" s="616">
        <f t="shared" si="23"/>
        <v>0</v>
      </c>
      <c r="E202" s="616">
        <f t="shared" si="23"/>
        <v>7485.6399340374364</v>
      </c>
      <c r="F202" s="616">
        <f t="shared" si="23"/>
        <v>3716.9513785379836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5">
      <c r="B203" s="820" t="s">
        <v>152</v>
      </c>
      <c r="D203" s="616">
        <f t="shared" si="23"/>
        <v>0</v>
      </c>
      <c r="E203" s="616">
        <f t="shared" si="23"/>
        <v>679504.32695784746</v>
      </c>
      <c r="F203" s="616">
        <f t="shared" si="23"/>
        <v>337403.95838759618</v>
      </c>
      <c r="G203" s="616">
        <f t="shared" si="23"/>
        <v>0</v>
      </c>
      <c r="H203" s="616">
        <f t="shared" si="23"/>
        <v>0</v>
      </c>
      <c r="I203" s="616">
        <f t="shared" si="23"/>
        <v>202142.23394818362</v>
      </c>
      <c r="J203" s="616">
        <f t="shared" si="23"/>
        <v>63192.328957074169</v>
      </c>
    </row>
    <row r="204" spans="2:11" x14ac:dyDescent="0.25">
      <c r="B204" s="820" t="s">
        <v>133</v>
      </c>
      <c r="D204" s="863">
        <f t="shared" si="23"/>
        <v>5172.6498991302878</v>
      </c>
      <c r="E204" s="863">
        <f t="shared" si="23"/>
        <v>29272.003026298298</v>
      </c>
      <c r="F204" s="863">
        <f t="shared" si="23"/>
        <v>16300.595989086341</v>
      </c>
      <c r="G204" s="863">
        <f t="shared" si="23"/>
        <v>0</v>
      </c>
      <c r="H204" s="863">
        <f t="shared" si="23"/>
        <v>0</v>
      </c>
      <c r="I204" s="863">
        <f t="shared" si="23"/>
        <v>628861.34721376281</v>
      </c>
      <c r="J204" s="863">
        <f t="shared" si="23"/>
        <v>0</v>
      </c>
    </row>
    <row r="205" spans="2:11" x14ac:dyDescent="0.25">
      <c r="D205" s="864">
        <f>SUM(D179:D204)</f>
        <v>571233.3299017289</v>
      </c>
      <c r="E205" s="864">
        <f t="shared" ref="E205:J205" si="24">SUM(E179:E204)</f>
        <v>4948322.5444567492</v>
      </c>
      <c r="F205" s="864">
        <f t="shared" si="24"/>
        <v>4948322.5444567511</v>
      </c>
      <c r="G205" s="864">
        <f t="shared" si="24"/>
        <v>0</v>
      </c>
      <c r="H205" s="864">
        <f t="shared" si="24"/>
        <v>3384173.4731668159</v>
      </c>
      <c r="I205" s="864">
        <f t="shared" si="24"/>
        <v>20940595.652471665</v>
      </c>
      <c r="J205" s="864">
        <f t="shared" si="24"/>
        <v>3044110.8897061027</v>
      </c>
      <c r="K205" s="856">
        <f>J205+I205+H205+F205+D205</f>
        <v>32888435.889703061</v>
      </c>
    </row>
    <row r="208" spans="2:11" x14ac:dyDescent="0.25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5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5">
      <c r="D210" s="845"/>
      <c r="E210" s="845"/>
      <c r="F210" s="845"/>
      <c r="G210" s="845"/>
      <c r="H210" s="845"/>
      <c r="I210" s="845"/>
      <c r="J210" s="845"/>
    </row>
    <row r="211" spans="2:12" x14ac:dyDescent="0.25">
      <c r="B211" s="820" t="s">
        <v>229</v>
      </c>
      <c r="D211" s="616">
        <f>+D179/D78</f>
        <v>195.5779268633589</v>
      </c>
      <c r="E211" s="616">
        <f>+E179/E78</f>
        <v>4534.516279270887</v>
      </c>
      <c r="F211" s="616">
        <f>+F179/F78</f>
        <v>2251.5879315274797</v>
      </c>
      <c r="G211" s="616"/>
      <c r="H211" s="616"/>
      <c r="I211" s="616">
        <f>+I179/I78</f>
        <v>4793.5432759449632</v>
      </c>
      <c r="J211" s="616">
        <f>+J179/J78</f>
        <v>1714.7429545954938</v>
      </c>
      <c r="K211" s="616"/>
      <c r="L211" s="616"/>
    </row>
    <row r="212" spans="2:12" x14ac:dyDescent="0.25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4001.0668940561513</v>
      </c>
      <c r="K212" s="616"/>
      <c r="L212" s="616"/>
    </row>
    <row r="213" spans="2:12" x14ac:dyDescent="0.25">
      <c r="B213" s="820" t="s">
        <v>144</v>
      </c>
      <c r="D213" s="616"/>
      <c r="E213" s="616"/>
      <c r="F213" s="616"/>
      <c r="G213" s="616"/>
      <c r="H213" s="616">
        <f t="shared" ref="H213:J221" si="25">+H181/H80</f>
        <v>5781.552771896163</v>
      </c>
      <c r="I213" s="616"/>
      <c r="J213" s="616"/>
      <c r="K213" s="616"/>
      <c r="L213" s="616"/>
    </row>
    <row r="214" spans="2:12" x14ac:dyDescent="0.25">
      <c r="B214" s="820" t="s">
        <v>142</v>
      </c>
      <c r="D214" s="616"/>
      <c r="E214" s="616">
        <f t="shared" ref="E214:G215" si="26">+E182/E81</f>
        <v>13603.548837812659</v>
      </c>
      <c r="F214" s="616">
        <f t="shared" si="26"/>
        <v>6754.7637945824381</v>
      </c>
      <c r="G214" s="616">
        <f t="shared" si="26"/>
        <v>0</v>
      </c>
      <c r="H214" s="616">
        <f t="shared" si="25"/>
        <v>5781.552771896163</v>
      </c>
      <c r="I214" s="616">
        <f t="shared" si="25"/>
        <v>14380.629827834895</v>
      </c>
      <c r="J214" s="616">
        <f t="shared" si="25"/>
        <v>5144.2288637864813</v>
      </c>
      <c r="K214" s="616"/>
      <c r="L214" s="616"/>
    </row>
    <row r="215" spans="2:12" x14ac:dyDescent="0.25">
      <c r="B215" s="820" t="s">
        <v>143</v>
      </c>
      <c r="D215" s="616"/>
      <c r="E215" s="616">
        <f t="shared" si="26"/>
        <v>13603.548837812663</v>
      </c>
      <c r="F215" s="616">
        <f t="shared" si="26"/>
        <v>6754.7637945824399</v>
      </c>
      <c r="G215" s="616">
        <f t="shared" si="26"/>
        <v>0</v>
      </c>
      <c r="H215" s="616">
        <f t="shared" si="25"/>
        <v>5781.552771896163</v>
      </c>
      <c r="I215" s="616">
        <f t="shared" si="25"/>
        <v>14380.629827834895</v>
      </c>
      <c r="J215" s="616">
        <f t="shared" si="25"/>
        <v>5144.2288637864813</v>
      </c>
      <c r="K215" s="616"/>
      <c r="L215" s="616"/>
    </row>
    <row r="216" spans="2:12" x14ac:dyDescent="0.25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5"/>
        <v>4175.5658908138957</v>
      </c>
      <c r="I216" s="616">
        <f t="shared" si="25"/>
        <v>10386.01043121409</v>
      </c>
      <c r="J216" s="616">
        <f t="shared" si="25"/>
        <v>3715.2764016235697</v>
      </c>
      <c r="K216" s="616"/>
      <c r="L216" s="616"/>
    </row>
    <row r="217" spans="2:12" x14ac:dyDescent="0.25">
      <c r="B217" s="820" t="s">
        <v>146</v>
      </c>
      <c r="D217" s="616">
        <f>+D185/D84</f>
        <v>456.34849601450406</v>
      </c>
      <c r="E217" s="616"/>
      <c r="F217" s="616"/>
      <c r="G217" s="616"/>
      <c r="H217" s="616">
        <f t="shared" si="25"/>
        <v>4496.7632670303483</v>
      </c>
      <c r="I217" s="616">
        <f>+I185/I84</f>
        <v>11184.934310538249</v>
      </c>
      <c r="J217" s="616"/>
      <c r="K217" s="593"/>
      <c r="L217" s="616"/>
    </row>
    <row r="218" spans="2:12" x14ac:dyDescent="0.25">
      <c r="B218" s="820" t="s">
        <v>135</v>
      </c>
      <c r="D218" s="869">
        <f>+D186/D85</f>
        <v>195.57792686335893</v>
      </c>
      <c r="E218" s="869">
        <f>+E186/E85</f>
        <v>4534.5162792708861</v>
      </c>
      <c r="F218" s="869">
        <f>+F186/F85</f>
        <v>2251.5879315274792</v>
      </c>
      <c r="G218" s="869">
        <f>+G186/G85</f>
        <v>0</v>
      </c>
      <c r="H218" s="869">
        <f t="shared" si="25"/>
        <v>1927.1842572987207</v>
      </c>
      <c r="I218" s="869">
        <f>+I186/I85</f>
        <v>4793.543275944965</v>
      </c>
      <c r="J218" s="869">
        <f>+J186/J85</f>
        <v>1714.7429545954935</v>
      </c>
      <c r="K218" s="616"/>
      <c r="L218" s="616"/>
    </row>
    <row r="219" spans="2:12" x14ac:dyDescent="0.25">
      <c r="B219" s="820" t="s">
        <v>148</v>
      </c>
      <c r="D219" s="616">
        <f>+D187/D86</f>
        <v>456.34849601450406</v>
      </c>
      <c r="E219" s="616"/>
      <c r="F219" s="616"/>
      <c r="G219" s="616">
        <f>+G187/G86</f>
        <v>0</v>
      </c>
      <c r="H219" s="616">
        <f t="shared" si="25"/>
        <v>4496.7632670303492</v>
      </c>
      <c r="I219" s="616">
        <f>+I187/I86</f>
        <v>11184.934310538249</v>
      </c>
      <c r="J219" s="616"/>
      <c r="K219" s="616"/>
      <c r="L219" s="616"/>
    </row>
    <row r="220" spans="2:12" x14ac:dyDescent="0.25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5"/>
        <v>3211.9737621645349</v>
      </c>
      <c r="I220" s="616">
        <f>+I188/I87</f>
        <v>7989.2387932416077</v>
      </c>
      <c r="J220" s="616">
        <f>+J188/J87</f>
        <v>2857.9049243258228</v>
      </c>
      <c r="K220" s="616"/>
      <c r="L220" s="616"/>
    </row>
    <row r="221" spans="2:12" x14ac:dyDescent="0.25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5"/>
        <v>5781.552771896163</v>
      </c>
      <c r="I221" s="616">
        <f>+I189/I88</f>
        <v>14380.629827834895</v>
      </c>
      <c r="J221" s="616"/>
      <c r="K221" s="616"/>
      <c r="L221" s="616"/>
    </row>
    <row r="222" spans="2:12" x14ac:dyDescent="0.25">
      <c r="B222" s="820" t="s">
        <v>140</v>
      </c>
      <c r="D222" s="616"/>
      <c r="E222" s="616">
        <f t="shared" ref="E222:F224" si="27">+E190/E89</f>
        <v>1511.5054264236289</v>
      </c>
      <c r="F222" s="616">
        <f t="shared" si="27"/>
        <v>750.52931050915993</v>
      </c>
      <c r="G222" s="616">
        <f>+G190/G89</f>
        <v>0</v>
      </c>
      <c r="H222" s="616"/>
      <c r="I222" s="616"/>
      <c r="J222" s="616">
        <f>+J190/J89</f>
        <v>571.58098486516474</v>
      </c>
      <c r="K222" s="616"/>
      <c r="L222" s="616"/>
    </row>
    <row r="223" spans="2:12" x14ac:dyDescent="0.25">
      <c r="B223" s="820" t="s">
        <v>134</v>
      </c>
      <c r="D223" s="616">
        <f>+D191/D90</f>
        <v>65.192642287786299</v>
      </c>
      <c r="E223" s="616">
        <f t="shared" si="27"/>
        <v>1511.5054264236289</v>
      </c>
      <c r="F223" s="616">
        <f t="shared" si="27"/>
        <v>750.52931050915993</v>
      </c>
      <c r="G223" s="616">
        <f>+G191/G90</f>
        <v>0</v>
      </c>
      <c r="H223" s="616">
        <f>+H191/H90</f>
        <v>642.39475243290701</v>
      </c>
      <c r="I223" s="616">
        <f>+I191/I90</f>
        <v>1597.8477586483218</v>
      </c>
      <c r="J223" s="616"/>
      <c r="K223" s="616"/>
      <c r="L223" s="616"/>
    </row>
    <row r="224" spans="2:12" x14ac:dyDescent="0.25">
      <c r="B224" s="820" t="s">
        <v>136</v>
      </c>
      <c r="D224" s="616">
        <f>+D192/D91</f>
        <v>65.192642287786299</v>
      </c>
      <c r="E224" s="616">
        <f t="shared" si="27"/>
        <v>1511.5054264236289</v>
      </c>
      <c r="F224" s="616">
        <f t="shared" si="27"/>
        <v>750.52931050915993</v>
      </c>
      <c r="G224" s="616"/>
      <c r="H224" s="616">
        <f>+H192/H91</f>
        <v>642.39475243290701</v>
      </c>
      <c r="I224" s="616">
        <f>+I192/I91</f>
        <v>1597.8477586483218</v>
      </c>
      <c r="J224" s="616"/>
      <c r="K224" s="616"/>
      <c r="L224" s="616"/>
    </row>
    <row r="225" spans="2:12" x14ac:dyDescent="0.25">
      <c r="B225" s="820" t="s">
        <v>147</v>
      </c>
      <c r="D225" s="616"/>
      <c r="E225" s="616"/>
      <c r="F225" s="616"/>
      <c r="G225" s="616"/>
      <c r="H225" s="616"/>
      <c r="I225" s="616">
        <f>+I193/I92</f>
        <v>4793.543275944965</v>
      </c>
      <c r="J225" s="616"/>
      <c r="K225" s="616"/>
      <c r="L225" s="616"/>
    </row>
    <row r="226" spans="2:12" x14ac:dyDescent="0.25">
      <c r="B226" s="820" t="s">
        <v>230</v>
      </c>
      <c r="D226" s="616">
        <f>+D194/D93</f>
        <v>195.57792686335895</v>
      </c>
      <c r="E226" s="616">
        <f>+E194/E93</f>
        <v>4534.516279270887</v>
      </c>
      <c r="F226" s="616">
        <f>+F194/F93</f>
        <v>2251.5879315274797</v>
      </c>
      <c r="G226" s="616"/>
      <c r="H226" s="616"/>
      <c r="I226" s="616">
        <f>+I194/I93</f>
        <v>4793.5432759449641</v>
      </c>
      <c r="J226" s="616"/>
      <c r="K226" s="616"/>
      <c r="L226" s="616"/>
    </row>
    <row r="227" spans="2:12" x14ac:dyDescent="0.25">
      <c r="B227" s="820" t="s">
        <v>157</v>
      </c>
      <c r="D227" s="616"/>
      <c r="E227" s="616"/>
      <c r="F227" s="616"/>
      <c r="G227" s="616"/>
      <c r="H227" s="616"/>
      <c r="I227" s="616">
        <f>+I195/I94</f>
        <v>11184.934310538252</v>
      </c>
      <c r="J227" s="616">
        <f>+J195/J94</f>
        <v>4001.0668940561518</v>
      </c>
      <c r="K227" s="616"/>
      <c r="L227" s="616"/>
    </row>
    <row r="228" spans="2:12" x14ac:dyDescent="0.25">
      <c r="B228" s="820" t="s">
        <v>150</v>
      </c>
      <c r="D228" s="616"/>
      <c r="E228" s="616">
        <f t="shared" ref="E228:F230" si="28">+E196/E95</f>
        <v>13603.548837812661</v>
      </c>
      <c r="F228" s="616">
        <f t="shared" si="28"/>
        <v>6754.7637945824408</v>
      </c>
      <c r="G228" s="616"/>
      <c r="H228" s="616"/>
      <c r="I228" s="616">
        <f>+I196/I95</f>
        <v>14380.629827834893</v>
      </c>
      <c r="J228" s="616">
        <f>+J196/J95</f>
        <v>5144.2288637864813</v>
      </c>
      <c r="K228" s="616"/>
      <c r="L228" s="616"/>
    </row>
    <row r="229" spans="2:12" x14ac:dyDescent="0.25">
      <c r="B229" s="820" t="s">
        <v>151</v>
      </c>
      <c r="D229" s="616"/>
      <c r="E229" s="616">
        <f t="shared" si="28"/>
        <v>13603.548837812659</v>
      </c>
      <c r="F229" s="616">
        <f t="shared" si="28"/>
        <v>6754.7637945824381</v>
      </c>
      <c r="G229" s="616"/>
      <c r="H229" s="616"/>
      <c r="I229" s="616"/>
      <c r="J229" s="616"/>
      <c r="K229" s="616"/>
      <c r="L229" s="616"/>
    </row>
    <row r="230" spans="2:12" x14ac:dyDescent="0.25">
      <c r="B230" s="820" t="s">
        <v>153</v>
      </c>
      <c r="D230" s="616"/>
      <c r="E230" s="616">
        <f t="shared" si="28"/>
        <v>4534.516279270887</v>
      </c>
      <c r="F230" s="616">
        <f t="shared" si="28"/>
        <v>2251.5879315274801</v>
      </c>
      <c r="G230" s="616"/>
      <c r="H230" s="616"/>
      <c r="I230" s="616">
        <f>+I198/I97</f>
        <v>4793.543275944965</v>
      </c>
      <c r="J230" s="616">
        <f>+J198/J97</f>
        <v>1714.7429545954935</v>
      </c>
      <c r="K230" s="616"/>
      <c r="L230" s="616"/>
    </row>
    <row r="231" spans="2:12" x14ac:dyDescent="0.25">
      <c r="B231" s="820" t="s">
        <v>159</v>
      </c>
      <c r="D231" s="616">
        <f>+D199/D98</f>
        <v>456.34849601450412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0" t="s">
        <v>154</v>
      </c>
      <c r="D232" s="616"/>
      <c r="E232" s="616">
        <f>+E200/E99</f>
        <v>7557.5271321181444</v>
      </c>
      <c r="F232" s="616">
        <f>+F200/F99</f>
        <v>3752.6465525457993</v>
      </c>
      <c r="G232" s="616"/>
      <c r="H232" s="616"/>
      <c r="I232" s="616"/>
      <c r="J232" s="616"/>
      <c r="K232" s="616"/>
      <c r="L232" s="616"/>
    </row>
    <row r="233" spans="2:12" x14ac:dyDescent="0.25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0" t="s">
        <v>133</v>
      </c>
      <c r="D236" s="616">
        <f>+D204/D103</f>
        <v>195.5779268633589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5">
      <c r="B239" s="821" t="s">
        <v>582</v>
      </c>
      <c r="D239" s="846">
        <f>+D218/5</f>
        <v>39.115585372671788</v>
      </c>
      <c r="E239" s="846">
        <f t="shared" ref="E239:J239" si="29">+E218/5</f>
        <v>906.90325585417725</v>
      </c>
      <c r="F239" s="846">
        <f t="shared" si="29"/>
        <v>450.31758630549587</v>
      </c>
      <c r="G239" s="846">
        <f t="shared" si="29"/>
        <v>0</v>
      </c>
      <c r="H239" s="846">
        <f t="shared" si="29"/>
        <v>385.43685145974416</v>
      </c>
      <c r="I239" s="846">
        <f t="shared" si="29"/>
        <v>958.70865518899302</v>
      </c>
      <c r="J239" s="846">
        <f t="shared" si="29"/>
        <v>342.94859091909871</v>
      </c>
      <c r="K239" s="820" t="s">
        <v>592</v>
      </c>
    </row>
    <row r="241" spans="2:10" x14ac:dyDescent="0.25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5">
      <c r="B242" s="848" t="s">
        <v>585</v>
      </c>
      <c r="E242" s="849">
        <f>+(E239-E241)/E241</f>
        <v>-0.29258716392029854</v>
      </c>
      <c r="F242" s="849">
        <f>+(F239-F241)/F241</f>
        <v>-0.55480218852644991</v>
      </c>
      <c r="G242" s="849">
        <f>+(G239-G241)/G241</f>
        <v>-1</v>
      </c>
      <c r="H242" s="849">
        <f>+(H239-H241)/H241</f>
        <v>-0.24866110826560592</v>
      </c>
      <c r="I242" s="849">
        <f>+(I239-I241)/I241</f>
        <v>-0.2991895795402098</v>
      </c>
    </row>
    <row r="244" spans="2:10" x14ac:dyDescent="0.25">
      <c r="B244" s="819" t="s">
        <v>586</v>
      </c>
    </row>
    <row r="245" spans="2:10" x14ac:dyDescent="0.25">
      <c r="B245" s="820" t="s">
        <v>229</v>
      </c>
      <c r="D245" s="843">
        <f t="shared" ref="D245:J260" si="30">+D211*D78</f>
        <v>272076.63557324407</v>
      </c>
      <c r="E245" s="843">
        <f t="shared" si="30"/>
        <v>215115.46843773872</v>
      </c>
      <c r="F245" s="843">
        <f t="shared" si="30"/>
        <v>106814.34640194359</v>
      </c>
      <c r="G245" s="843">
        <f t="shared" si="30"/>
        <v>0</v>
      </c>
      <c r="H245" s="843">
        <f t="shared" si="30"/>
        <v>0</v>
      </c>
      <c r="I245" s="843">
        <f t="shared" si="30"/>
        <v>237283.064559652</v>
      </c>
      <c r="J245" s="843">
        <f t="shared" si="30"/>
        <v>139508.35737999724</v>
      </c>
    </row>
    <row r="246" spans="2:10" x14ac:dyDescent="0.25">
      <c r="B246" s="820" t="s">
        <v>149</v>
      </c>
      <c r="D246" s="843">
        <f t="shared" si="30"/>
        <v>0</v>
      </c>
      <c r="E246" s="843">
        <f t="shared" si="30"/>
        <v>0</v>
      </c>
      <c r="F246" s="843">
        <f t="shared" si="30"/>
        <v>0</v>
      </c>
      <c r="G246" s="843">
        <f t="shared" si="30"/>
        <v>0</v>
      </c>
      <c r="H246" s="843">
        <f t="shared" si="30"/>
        <v>0</v>
      </c>
      <c r="I246" s="843">
        <f t="shared" si="30"/>
        <v>0</v>
      </c>
      <c r="J246" s="843">
        <f t="shared" si="30"/>
        <v>612109.50046220387</v>
      </c>
    </row>
    <row r="247" spans="2:10" x14ac:dyDescent="0.25">
      <c r="B247" s="820" t="s">
        <v>144</v>
      </c>
      <c r="D247" s="843">
        <f t="shared" si="30"/>
        <v>0</v>
      </c>
      <c r="E247" s="843">
        <f t="shared" si="30"/>
        <v>0</v>
      </c>
      <c r="F247" s="843">
        <f t="shared" si="30"/>
        <v>0</v>
      </c>
      <c r="G247" s="843">
        <f t="shared" si="30"/>
        <v>0</v>
      </c>
      <c r="H247" s="843">
        <f t="shared" si="30"/>
        <v>4914.3198561117388</v>
      </c>
      <c r="I247" s="843">
        <f t="shared" si="30"/>
        <v>0</v>
      </c>
      <c r="J247" s="843">
        <f t="shared" si="30"/>
        <v>0</v>
      </c>
    </row>
    <row r="248" spans="2:10" x14ac:dyDescent="0.25">
      <c r="B248" s="820" t="s">
        <v>142</v>
      </c>
      <c r="D248" s="843">
        <f t="shared" si="30"/>
        <v>0</v>
      </c>
      <c r="E248" s="843">
        <f t="shared" si="30"/>
        <v>210620.34576864395</v>
      </c>
      <c r="F248" s="843">
        <f t="shared" si="30"/>
        <v>409173.80216747004</v>
      </c>
      <c r="G248" s="843">
        <f t="shared" si="30"/>
        <v>0</v>
      </c>
      <c r="H248" s="843">
        <f t="shared" si="30"/>
        <v>432050.29306183325</v>
      </c>
      <c r="I248" s="843">
        <f t="shared" si="30"/>
        <v>572645.73954117706</v>
      </c>
      <c r="J248" s="843">
        <f t="shared" si="30"/>
        <v>102343.19863010473</v>
      </c>
    </row>
    <row r="249" spans="2:10" x14ac:dyDescent="0.25">
      <c r="B249" s="820" t="s">
        <v>143</v>
      </c>
      <c r="D249" s="843">
        <f t="shared" si="30"/>
        <v>0</v>
      </c>
      <c r="E249" s="843">
        <f t="shared" si="30"/>
        <v>196831.44857791613</v>
      </c>
      <c r="F249" s="843">
        <f t="shared" si="30"/>
        <v>230132.2018973628</v>
      </c>
      <c r="G249" s="843">
        <f t="shared" si="30"/>
        <v>0</v>
      </c>
      <c r="H249" s="843">
        <f t="shared" si="30"/>
        <v>280457.77702836884</v>
      </c>
      <c r="I249" s="843">
        <f t="shared" si="30"/>
        <v>1108837.229597135</v>
      </c>
      <c r="J249" s="843">
        <f t="shared" si="30"/>
        <v>453405.25873945269</v>
      </c>
    </row>
    <row r="250" spans="2:10" x14ac:dyDescent="0.25">
      <c r="B250" s="820" t="s">
        <v>139</v>
      </c>
      <c r="D250" s="843">
        <f t="shared" si="30"/>
        <v>0</v>
      </c>
      <c r="E250" s="843">
        <f t="shared" si="30"/>
        <v>0</v>
      </c>
      <c r="F250" s="843">
        <f t="shared" si="30"/>
        <v>0</v>
      </c>
      <c r="G250" s="843">
        <f t="shared" si="30"/>
        <v>0</v>
      </c>
      <c r="H250" s="843">
        <f t="shared" si="30"/>
        <v>73597.564011330833</v>
      </c>
      <c r="I250" s="843">
        <f t="shared" si="30"/>
        <v>404692.869794239</v>
      </c>
      <c r="J250" s="843">
        <f t="shared" si="30"/>
        <v>65849.038803679927</v>
      </c>
    </row>
    <row r="251" spans="2:10" x14ac:dyDescent="0.25">
      <c r="B251" s="820" t="s">
        <v>146</v>
      </c>
      <c r="D251" s="843">
        <f t="shared" si="30"/>
        <v>37054.407203472256</v>
      </c>
      <c r="E251" s="843">
        <f t="shared" si="30"/>
        <v>0</v>
      </c>
      <c r="F251" s="843">
        <f t="shared" si="30"/>
        <v>0</v>
      </c>
      <c r="G251" s="843">
        <f t="shared" si="30"/>
        <v>0</v>
      </c>
      <c r="H251" s="843">
        <f t="shared" si="30"/>
        <v>377442.09780294972</v>
      </c>
      <c r="I251" s="850">
        <f t="shared" si="30"/>
        <v>2763974.2697194656</v>
      </c>
      <c r="J251" s="843">
        <f t="shared" si="30"/>
        <v>0</v>
      </c>
    </row>
    <row r="252" spans="2:10" x14ac:dyDescent="0.25">
      <c r="B252" s="820" t="s">
        <v>135</v>
      </c>
      <c r="D252" s="843">
        <f t="shared" si="30"/>
        <v>73682.87110736662</v>
      </c>
      <c r="E252" s="843">
        <f t="shared" si="30"/>
        <v>419604.52470081992</v>
      </c>
      <c r="F252" s="843">
        <f t="shared" si="30"/>
        <v>1023661.5769355842</v>
      </c>
      <c r="G252" s="843">
        <f t="shared" si="30"/>
        <v>0</v>
      </c>
      <c r="H252" s="843">
        <f t="shared" si="30"/>
        <v>355518.2794573101</v>
      </c>
      <c r="I252" s="843">
        <f t="shared" si="30"/>
        <v>6761982.3419206189</v>
      </c>
      <c r="J252" s="843">
        <f t="shared" si="30"/>
        <v>796882.47061659396</v>
      </c>
    </row>
    <row r="253" spans="2:10" x14ac:dyDescent="0.25">
      <c r="B253" s="820" t="s">
        <v>148</v>
      </c>
      <c r="D253" s="843">
        <f t="shared" si="30"/>
        <v>87377.851986992551</v>
      </c>
      <c r="E253" s="843">
        <f t="shared" si="30"/>
        <v>0</v>
      </c>
      <c r="F253" s="843">
        <f t="shared" si="30"/>
        <v>0</v>
      </c>
      <c r="G253" s="843">
        <f t="shared" si="30"/>
        <v>0</v>
      </c>
      <c r="H253" s="843">
        <f t="shared" si="30"/>
        <v>1464869.5815032979</v>
      </c>
      <c r="I253" s="851">
        <f t="shared" si="30"/>
        <v>37412.710474005602</v>
      </c>
      <c r="J253" s="843">
        <f t="shared" si="30"/>
        <v>0</v>
      </c>
    </row>
    <row r="254" spans="2:10" x14ac:dyDescent="0.25">
      <c r="B254" s="820" t="s">
        <v>137</v>
      </c>
      <c r="D254" s="843">
        <f t="shared" si="30"/>
        <v>0</v>
      </c>
      <c r="E254" s="843">
        <f t="shared" si="30"/>
        <v>0</v>
      </c>
      <c r="F254" s="843">
        <f t="shared" si="30"/>
        <v>0</v>
      </c>
      <c r="G254" s="843">
        <f t="shared" si="30"/>
        <v>0</v>
      </c>
      <c r="H254" s="843">
        <f t="shared" si="30"/>
        <v>184878.89712908186</v>
      </c>
      <c r="I254" s="843">
        <f t="shared" si="30"/>
        <v>518039.54005577316</v>
      </c>
      <c r="J254" s="843">
        <f t="shared" si="30"/>
        <v>161301.36853854224</v>
      </c>
    </row>
    <row r="255" spans="2:10" x14ac:dyDescent="0.25">
      <c r="B255" s="820" t="s">
        <v>145</v>
      </c>
      <c r="D255" s="843">
        <f t="shared" si="30"/>
        <v>0</v>
      </c>
      <c r="E255" s="843">
        <f t="shared" si="30"/>
        <v>0</v>
      </c>
      <c r="F255" s="843">
        <f t="shared" si="30"/>
        <v>0</v>
      </c>
      <c r="G255" s="843">
        <f t="shared" si="30"/>
        <v>0</v>
      </c>
      <c r="H255" s="843">
        <f t="shared" si="30"/>
        <v>174054.39779979433</v>
      </c>
      <c r="I255" s="843">
        <f t="shared" si="30"/>
        <v>120284.47729415253</v>
      </c>
      <c r="J255" s="843">
        <f t="shared" si="30"/>
        <v>0</v>
      </c>
    </row>
    <row r="256" spans="2:10" x14ac:dyDescent="0.25">
      <c r="B256" s="820" t="s">
        <v>140</v>
      </c>
      <c r="D256" s="843">
        <f t="shared" si="30"/>
        <v>0</v>
      </c>
      <c r="E256" s="843">
        <f t="shared" si="30"/>
        <v>19026.0443249989</v>
      </c>
      <c r="F256" s="843">
        <f t="shared" si="30"/>
        <v>10080.501770017523</v>
      </c>
      <c r="G256" s="843">
        <f t="shared" si="30"/>
        <v>0</v>
      </c>
      <c r="H256" s="843">
        <f t="shared" si="30"/>
        <v>0</v>
      </c>
      <c r="I256" s="843">
        <f t="shared" si="30"/>
        <v>0</v>
      </c>
      <c r="J256" s="843">
        <f t="shared" si="30"/>
        <v>208406.64927430634</v>
      </c>
    </row>
    <row r="257" spans="2:11" x14ac:dyDescent="0.25">
      <c r="B257" s="820" t="s">
        <v>134</v>
      </c>
      <c r="D257" s="843">
        <f t="shared" si="30"/>
        <v>454.15443763830865</v>
      </c>
      <c r="E257" s="843">
        <f t="shared" si="30"/>
        <v>7560.9280193275981</v>
      </c>
      <c r="F257" s="843">
        <f t="shared" si="30"/>
        <v>20606.675349908492</v>
      </c>
      <c r="G257" s="843">
        <f t="shared" si="30"/>
        <v>0</v>
      </c>
      <c r="H257" s="843">
        <f t="shared" si="30"/>
        <v>7761.0761416493551</v>
      </c>
      <c r="I257" s="843">
        <f t="shared" si="30"/>
        <v>54394.596506726019</v>
      </c>
      <c r="J257" s="843">
        <f t="shared" si="30"/>
        <v>0</v>
      </c>
    </row>
    <row r="258" spans="2:11" x14ac:dyDescent="0.25">
      <c r="B258" s="820" t="s">
        <v>136</v>
      </c>
      <c r="D258" s="843">
        <f t="shared" si="30"/>
        <v>2428.2580541661487</v>
      </c>
      <c r="E258" s="843">
        <f t="shared" si="30"/>
        <v>144565.84307527239</v>
      </c>
      <c r="F258" s="843">
        <f t="shared" si="30"/>
        <v>71783.336420553547</v>
      </c>
      <c r="G258" s="843">
        <f t="shared" si="30"/>
        <v>0</v>
      </c>
      <c r="H258" s="843">
        <f t="shared" si="30"/>
        <v>28629.189375088285</v>
      </c>
      <c r="I258" s="843">
        <f t="shared" si="30"/>
        <v>9838.3161549822107</v>
      </c>
      <c r="J258" s="843">
        <f t="shared" si="30"/>
        <v>0</v>
      </c>
    </row>
    <row r="259" spans="2:11" x14ac:dyDescent="0.25">
      <c r="B259" s="820" t="s">
        <v>147</v>
      </c>
      <c r="D259" s="843">
        <f t="shared" si="30"/>
        <v>0</v>
      </c>
      <c r="E259" s="843">
        <f t="shared" si="30"/>
        <v>0</v>
      </c>
      <c r="F259" s="843">
        <f t="shared" si="30"/>
        <v>0</v>
      </c>
      <c r="G259" s="843">
        <f t="shared" si="30"/>
        <v>0</v>
      </c>
      <c r="H259" s="843">
        <f t="shared" si="30"/>
        <v>0</v>
      </c>
      <c r="I259" s="843">
        <f t="shared" si="30"/>
        <v>2303289.3231648374</v>
      </c>
      <c r="J259" s="843">
        <f t="shared" si="30"/>
        <v>0</v>
      </c>
    </row>
    <row r="260" spans="2:11" x14ac:dyDescent="0.25">
      <c r="B260" s="820" t="s">
        <v>230</v>
      </c>
      <c r="D260" s="843">
        <f t="shared" si="30"/>
        <v>70789.334306063785</v>
      </c>
      <c r="E260" s="843">
        <f t="shared" si="30"/>
        <v>492083.05393445329</v>
      </c>
      <c r="F260" s="843">
        <f t="shared" si="30"/>
        <v>289864.40926376038</v>
      </c>
      <c r="G260" s="843">
        <f t="shared" si="30"/>
        <v>0</v>
      </c>
      <c r="H260" s="843">
        <f t="shared" si="30"/>
        <v>0</v>
      </c>
      <c r="I260" s="843">
        <f t="shared" si="30"/>
        <v>935496.29337483319</v>
      </c>
      <c r="J260" s="843">
        <f t="shared" si="30"/>
        <v>0</v>
      </c>
    </row>
    <row r="261" spans="2:11" x14ac:dyDescent="0.25">
      <c r="B261" s="820" t="s">
        <v>157</v>
      </c>
      <c r="D261" s="843">
        <f t="shared" ref="D261:J266" si="31">+D227*D94</f>
        <v>0</v>
      </c>
      <c r="E261" s="843">
        <f t="shared" si="31"/>
        <v>0</v>
      </c>
      <c r="F261" s="843">
        <f t="shared" si="31"/>
        <v>0</v>
      </c>
      <c r="G261" s="843">
        <f t="shared" si="31"/>
        <v>0</v>
      </c>
      <c r="H261" s="843">
        <f t="shared" si="31"/>
        <v>0</v>
      </c>
      <c r="I261" s="843">
        <f t="shared" si="31"/>
        <v>1610027.1694361262</v>
      </c>
      <c r="J261" s="843">
        <f t="shared" si="31"/>
        <v>119035.99123174544</v>
      </c>
    </row>
    <row r="262" spans="2:11" x14ac:dyDescent="0.25">
      <c r="B262" s="820" t="s">
        <v>150</v>
      </c>
      <c r="D262" s="843">
        <f t="shared" si="31"/>
        <v>0</v>
      </c>
      <c r="E262" s="843">
        <f t="shared" si="31"/>
        <v>248937.86988657602</v>
      </c>
      <c r="F262" s="843">
        <f t="shared" si="31"/>
        <v>123608.66496368547</v>
      </c>
      <c r="G262" s="843">
        <f t="shared" si="31"/>
        <v>0</v>
      </c>
      <c r="H262" s="843">
        <f t="shared" si="31"/>
        <v>0</v>
      </c>
      <c r="I262" s="843">
        <f t="shared" si="31"/>
        <v>1670194.8398275911</v>
      </c>
      <c r="J262" s="843">
        <f t="shared" si="31"/>
        <v>216027.60882139558</v>
      </c>
    </row>
    <row r="263" spans="2:11" x14ac:dyDescent="0.25">
      <c r="B263" s="820" t="s">
        <v>151</v>
      </c>
      <c r="D263" s="843">
        <f t="shared" si="31"/>
        <v>0</v>
      </c>
      <c r="E263" s="843">
        <f t="shared" si="31"/>
        <v>233772.97373090341</v>
      </c>
      <c r="F263" s="843">
        <f t="shared" si="31"/>
        <v>116078.62315457981</v>
      </c>
      <c r="G263" s="843">
        <f t="shared" si="31"/>
        <v>0</v>
      </c>
      <c r="H263" s="843">
        <f t="shared" si="31"/>
        <v>0</v>
      </c>
      <c r="I263" s="843">
        <f t="shared" si="31"/>
        <v>0</v>
      </c>
      <c r="J263" s="843">
        <f t="shared" si="31"/>
        <v>0</v>
      </c>
    </row>
    <row r="264" spans="2:11" x14ac:dyDescent="0.25">
      <c r="B264" s="820" t="s">
        <v>153</v>
      </c>
      <c r="D264" s="843">
        <f t="shared" si="31"/>
        <v>0</v>
      </c>
      <c r="E264" s="843">
        <f t="shared" si="31"/>
        <v>1302120.1544114971</v>
      </c>
      <c r="F264" s="843">
        <f t="shared" si="31"/>
        <v>721882.87887420657</v>
      </c>
      <c r="G264" s="843">
        <f t="shared" si="31"/>
        <v>0</v>
      </c>
      <c r="H264" s="843">
        <f t="shared" si="31"/>
        <v>0</v>
      </c>
      <c r="I264" s="843">
        <f t="shared" si="31"/>
        <v>980853.55483489053</v>
      </c>
      <c r="J264" s="843">
        <f t="shared" si="31"/>
        <v>106049.11825100605</v>
      </c>
    </row>
    <row r="265" spans="2:11" x14ac:dyDescent="0.25">
      <c r="B265" s="820" t="s">
        <v>159</v>
      </c>
      <c r="D265" s="843">
        <f t="shared" si="31"/>
        <v>22197.167333654692</v>
      </c>
      <c r="E265" s="843">
        <f t="shared" si="31"/>
        <v>0</v>
      </c>
      <c r="F265" s="843">
        <f t="shared" si="31"/>
        <v>0</v>
      </c>
      <c r="G265" s="843">
        <f t="shared" si="31"/>
        <v>0</v>
      </c>
      <c r="H265" s="843">
        <f t="shared" si="31"/>
        <v>0</v>
      </c>
      <c r="I265" s="843">
        <f t="shared" si="31"/>
        <v>0</v>
      </c>
      <c r="J265" s="843">
        <f t="shared" si="31"/>
        <v>0</v>
      </c>
    </row>
    <row r="266" spans="2:11" x14ac:dyDescent="0.25">
      <c r="B266" s="820" t="s">
        <v>154</v>
      </c>
      <c r="D266" s="843">
        <f t="shared" si="31"/>
        <v>0</v>
      </c>
      <c r="E266" s="843">
        <f t="shared" si="31"/>
        <v>63391.347273683685</v>
      </c>
      <c r="F266" s="843">
        <f t="shared" si="31"/>
        <v>31476.608240922138</v>
      </c>
      <c r="G266" s="843">
        <f t="shared" si="31"/>
        <v>0</v>
      </c>
      <c r="H266" s="843">
        <f t="shared" si="31"/>
        <v>0</v>
      </c>
      <c r="I266" s="843">
        <f t="shared" si="31"/>
        <v>0</v>
      </c>
      <c r="J266" s="843">
        <f t="shared" si="31"/>
        <v>0</v>
      </c>
    </row>
    <row r="267" spans="2:11" x14ac:dyDescent="0.25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1" x14ac:dyDescent="0.25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1" x14ac:dyDescent="0.25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1" x14ac:dyDescent="0.25">
      <c r="B270" s="820" t="s">
        <v>133</v>
      </c>
      <c r="D270" s="852">
        <f>+D236*D103</f>
        <v>5172.6498991302878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1" x14ac:dyDescent="0.25">
      <c r="C271" s="853" t="s">
        <v>587</v>
      </c>
      <c r="D271" s="854">
        <f>SUM(D245:D270)</f>
        <v>571233.3299017289</v>
      </c>
      <c r="E271" s="854">
        <f t="shared" ref="E271:J271" si="32">SUM(E245:E270)</f>
        <v>3553630.002141831</v>
      </c>
      <c r="F271" s="854">
        <f t="shared" si="32"/>
        <v>3155163.625439994</v>
      </c>
      <c r="G271" s="854">
        <f t="shared" si="32"/>
        <v>0</v>
      </c>
      <c r="H271" s="854">
        <f t="shared" si="32"/>
        <v>3384173.4731668159</v>
      </c>
      <c r="I271" s="855">
        <f t="shared" si="32"/>
        <v>20089246.336256202</v>
      </c>
      <c r="J271" s="854">
        <f t="shared" si="32"/>
        <v>2980918.5607490283</v>
      </c>
      <c r="K271" s="856">
        <f>J271+I271+H271+F271+D271</f>
        <v>30180735.325513769</v>
      </c>
    </row>
    <row r="272" spans="2:11" x14ac:dyDescent="0.25">
      <c r="B272" s="821" t="s">
        <v>588</v>
      </c>
      <c r="D272" s="856">
        <f>+D174-D271</f>
        <v>0</v>
      </c>
      <c r="E272" s="856">
        <f>+E174-E271</f>
        <v>1394692.5423149182</v>
      </c>
      <c r="F272" s="856"/>
      <c r="G272" s="856">
        <f>+G174-G271</f>
        <v>0</v>
      </c>
      <c r="H272" s="856">
        <f>+H174-H271</f>
        <v>0</v>
      </c>
      <c r="I272" s="856">
        <f>+I174-I271</f>
        <v>851349.31621546671</v>
      </c>
      <c r="J272" s="856">
        <f>+J174-J271</f>
        <v>63192.328957073856</v>
      </c>
      <c r="K272" s="856">
        <f>J272+I272+H272+F272+D272</f>
        <v>914541.64517254056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4140625" defaultRowHeight="15.6" x14ac:dyDescent="0.35"/>
  <cols>
    <col min="1" max="1" width="51.5546875" style="673" bestFit="1" customWidth="1"/>
    <col min="2" max="2" width="16.109375" style="673" bestFit="1" customWidth="1"/>
    <col min="3" max="3" width="14.33203125" style="673" customWidth="1"/>
    <col min="4" max="4" width="17.5546875" style="673" bestFit="1" customWidth="1"/>
    <col min="5" max="5" width="11.44140625" style="673" customWidth="1"/>
    <col min="6" max="6" width="13.33203125" style="673" customWidth="1"/>
    <col min="7" max="8" width="11.44140625" style="673" customWidth="1"/>
    <col min="9" max="9" width="48.6640625" style="673" customWidth="1"/>
    <col min="10" max="11" width="11.44140625" style="673" customWidth="1"/>
    <col min="12" max="12" width="16.5546875" style="673" bestFit="1" customWidth="1"/>
    <col min="13" max="13" width="11.44140625" style="673" customWidth="1"/>
    <col min="14" max="14" width="30.44140625" style="673" bestFit="1" customWidth="1"/>
    <col min="15" max="16384" width="11.44140625" style="673"/>
  </cols>
  <sheetData>
    <row r="1" spans="1:7" ht="16.2" x14ac:dyDescent="0.35">
      <c r="A1" s="782" t="s">
        <v>542</v>
      </c>
      <c r="B1" s="778" t="str">
        <f>'1. Storm Drainage Fee Calc Sum'!$J$1</f>
        <v>Internal</v>
      </c>
      <c r="C1" s="783"/>
      <c r="G1" s="674" t="s">
        <v>439</v>
      </c>
    </row>
    <row r="2" spans="1:7" ht="16.2" x14ac:dyDescent="0.35">
      <c r="A2" s="782" t="s">
        <v>406</v>
      </c>
      <c r="B2" s="779" t="str">
        <f>'1. Storm Drainage Fee Calc Sum'!$J$2</f>
        <v>Working Draft - v7</v>
      </c>
      <c r="C2" s="783"/>
      <c r="G2" s="674"/>
    </row>
    <row r="3" spans="1:7" ht="16.2" x14ac:dyDescent="0.35">
      <c r="A3" s="782" t="s">
        <v>438</v>
      </c>
      <c r="B3" s="780">
        <f>'1. Storm Drainage Fee Calc Sum'!$J$3</f>
        <v>41248</v>
      </c>
      <c r="C3" s="783"/>
      <c r="G3" s="674"/>
    </row>
    <row r="4" spans="1:7" ht="16.2" x14ac:dyDescent="0.35">
      <c r="A4" s="782" t="s">
        <v>543</v>
      </c>
      <c r="B4" s="581"/>
      <c r="C4" s="783"/>
      <c r="G4" s="674"/>
    </row>
    <row r="5" spans="1:7" ht="16.2" x14ac:dyDescent="0.35">
      <c r="A5" s="783"/>
      <c r="B5" s="783"/>
      <c r="C5" s="783"/>
      <c r="G5" s="674"/>
    </row>
    <row r="6" spans="1:7" ht="16.2" x14ac:dyDescent="0.35">
      <c r="A6" s="783"/>
      <c r="B6" s="783"/>
      <c r="C6" s="783"/>
      <c r="G6" s="674"/>
    </row>
    <row r="7" spans="1:7" ht="16.2" x14ac:dyDescent="0.35">
      <c r="A7" s="783"/>
      <c r="B7" s="784"/>
      <c r="C7" s="783"/>
      <c r="G7" s="674"/>
    </row>
    <row r="8" spans="1:7" ht="16.2" x14ac:dyDescent="0.35">
      <c r="A8" s="783"/>
      <c r="B8" s="783"/>
      <c r="C8" s="783"/>
      <c r="D8" s="676"/>
      <c r="E8" s="676"/>
      <c r="F8" s="676"/>
      <c r="G8" s="674"/>
    </row>
    <row r="9" spans="1:7" ht="16.2" x14ac:dyDescent="0.35">
      <c r="A9" s="785" t="s">
        <v>392</v>
      </c>
      <c r="B9" s="786" t="s">
        <v>440</v>
      </c>
      <c r="C9" s="783"/>
      <c r="D9" s="676"/>
      <c r="E9" s="676"/>
      <c r="F9" s="676"/>
      <c r="G9" s="674"/>
    </row>
    <row r="10" spans="1:7" ht="16.2" x14ac:dyDescent="0.35">
      <c r="A10" s="787"/>
      <c r="B10" s="787"/>
      <c r="C10" s="783"/>
      <c r="D10" s="679"/>
      <c r="E10" s="679"/>
      <c r="F10" s="676"/>
      <c r="G10" s="674"/>
    </row>
    <row r="11" spans="1:7" ht="16.2" x14ac:dyDescent="0.35">
      <c r="A11" s="783" t="s">
        <v>496</v>
      </c>
      <c r="B11" s="788">
        <v>0.02</v>
      </c>
      <c r="C11" s="783"/>
      <c r="D11" s="676"/>
      <c r="E11" s="676"/>
      <c r="F11" s="676"/>
      <c r="G11" s="674"/>
    </row>
    <row r="12" spans="1:7" ht="16.2" x14ac:dyDescent="0.35">
      <c r="A12" s="783" t="s">
        <v>441</v>
      </c>
      <c r="B12" s="789">
        <v>30</v>
      </c>
      <c r="C12" s="783"/>
      <c r="G12" s="674"/>
    </row>
    <row r="13" spans="1:7" ht="16.2" x14ac:dyDescent="0.35">
      <c r="A13" s="783" t="s">
        <v>442</v>
      </c>
      <c r="B13" s="789">
        <v>1</v>
      </c>
      <c r="C13" s="783"/>
      <c r="G13" s="674"/>
    </row>
    <row r="14" spans="1:7" ht="16.2" x14ac:dyDescent="0.35">
      <c r="A14" s="783" t="s">
        <v>500</v>
      </c>
      <c r="B14" s="790">
        <f>(PMT(B11/B13,B12*B13,-1000))*B13</f>
        <v>44.649922293402959</v>
      </c>
      <c r="C14" s="791"/>
      <c r="D14" s="681"/>
      <c r="E14" s="681"/>
      <c r="F14" s="681"/>
      <c r="G14" s="674"/>
    </row>
    <row r="15" spans="1:7" ht="16.2" hidden="1" x14ac:dyDescent="0.35">
      <c r="A15" s="783" t="s">
        <v>443</v>
      </c>
      <c r="B15" s="790">
        <f>(-PMT(B11/B13,B12*B13,B34,0))*B13</f>
        <v>14451.486502796428</v>
      </c>
      <c r="C15" s="792"/>
      <c r="D15" s="681"/>
      <c r="E15" s="681"/>
      <c r="F15" s="681"/>
      <c r="G15" s="674"/>
    </row>
    <row r="16" spans="1:7" ht="16.2" x14ac:dyDescent="0.35">
      <c r="A16" s="783" t="s">
        <v>501</v>
      </c>
      <c r="B16" s="790">
        <f>(B14-((PMT(0/B13,B12*B13,-1000))*B13))</f>
        <v>11.316588960069623</v>
      </c>
      <c r="C16" s="792"/>
      <c r="D16" s="681"/>
      <c r="E16" s="681"/>
      <c r="F16" s="681"/>
      <c r="G16" s="674"/>
    </row>
    <row r="17" spans="1:7" ht="16.2" x14ac:dyDescent="0.35">
      <c r="A17" s="783"/>
      <c r="B17" s="790"/>
      <c r="C17" s="792"/>
      <c r="D17" s="681"/>
      <c r="E17" s="681"/>
      <c r="F17" s="681"/>
      <c r="G17" s="674"/>
    </row>
    <row r="18" spans="1:7" ht="16.2" hidden="1" x14ac:dyDescent="0.35">
      <c r="A18" s="783"/>
      <c r="B18" s="790"/>
      <c r="C18" s="792"/>
      <c r="D18" s="681"/>
      <c r="E18" s="681"/>
      <c r="F18" s="681"/>
      <c r="G18" s="674"/>
    </row>
    <row r="19" spans="1:7" ht="16.2" hidden="1" x14ac:dyDescent="0.35">
      <c r="A19" s="783"/>
      <c r="B19" s="792"/>
      <c r="C19" s="792"/>
      <c r="D19" s="681"/>
      <c r="E19" s="681"/>
      <c r="F19" s="681"/>
      <c r="G19" s="674"/>
    </row>
    <row r="20" spans="1:7" ht="16.2" hidden="1" x14ac:dyDescent="0.35">
      <c r="A20" s="783" t="s">
        <v>444</v>
      </c>
      <c r="B20" s="792">
        <f>'1. Storm Drainage Fee Calc Sum'!B23</f>
        <v>323662.07510582026</v>
      </c>
      <c r="C20" s="793"/>
      <c r="D20" s="682"/>
      <c r="G20" s="674"/>
    </row>
    <row r="21" spans="1:7" ht="16.2" hidden="1" x14ac:dyDescent="0.35">
      <c r="A21" s="783"/>
      <c r="B21" s="794"/>
      <c r="C21" s="783"/>
      <c r="D21" s="683"/>
      <c r="E21" s="707"/>
      <c r="G21" s="674"/>
    </row>
    <row r="22" spans="1:7" ht="16.2" hidden="1" x14ac:dyDescent="0.35">
      <c r="A22" s="783" t="s">
        <v>445</v>
      </c>
      <c r="B22" s="792">
        <f>SUM(B20:B20)</f>
        <v>323662.07510582026</v>
      </c>
      <c r="C22" s="795">
        <f>B22/B34</f>
        <v>1</v>
      </c>
      <c r="E22" s="707"/>
      <c r="F22" s="707"/>
      <c r="G22" s="674"/>
    </row>
    <row r="23" spans="1:7" ht="16.2" hidden="1" x14ac:dyDescent="0.35">
      <c r="A23" s="783"/>
      <c r="B23" s="783"/>
      <c r="C23" s="783"/>
      <c r="G23" s="674"/>
    </row>
    <row r="24" spans="1:7" ht="16.2" hidden="1" x14ac:dyDescent="0.35">
      <c r="A24" s="783" t="s">
        <v>446</v>
      </c>
      <c r="B24" s="792"/>
      <c r="C24" s="792"/>
      <c r="D24" s="681"/>
      <c r="E24" s="681"/>
      <c r="F24" s="681"/>
      <c r="G24" s="674"/>
    </row>
    <row r="25" spans="1:7" ht="16.2" hidden="1" x14ac:dyDescent="0.35">
      <c r="A25" s="783" t="s">
        <v>447</v>
      </c>
      <c r="B25" s="792">
        <f>B62+$B$34*C62</f>
        <v>0</v>
      </c>
      <c r="C25" s="792"/>
      <c r="D25" s="681"/>
      <c r="E25" s="681"/>
      <c r="F25" s="681"/>
      <c r="G25" s="674"/>
    </row>
    <row r="26" spans="1:7" ht="16.2" hidden="1" x14ac:dyDescent="0.35">
      <c r="A26" s="783" t="s">
        <v>448</v>
      </c>
      <c r="B26" s="792">
        <f>B63+$B$34*C63</f>
        <v>0</v>
      </c>
      <c r="C26" s="796">
        <f>B26/B34</f>
        <v>0</v>
      </c>
      <c r="D26" s="681"/>
      <c r="E26" s="681"/>
      <c r="F26" s="681"/>
      <c r="G26" s="674"/>
    </row>
    <row r="27" spans="1:7" ht="16.2" hidden="1" x14ac:dyDescent="0.35">
      <c r="A27" s="783" t="s">
        <v>449</v>
      </c>
      <c r="B27" s="792">
        <f>B64+$B$34*C64</f>
        <v>0</v>
      </c>
      <c r="C27" s="783"/>
      <c r="G27" s="674"/>
    </row>
    <row r="28" spans="1:7" ht="16.2" hidden="1" x14ac:dyDescent="0.35">
      <c r="A28" s="783" t="s">
        <v>450</v>
      </c>
      <c r="B28" s="792">
        <f>B65+$B$34*C65</f>
        <v>0</v>
      </c>
      <c r="C28" s="795"/>
      <c r="D28" s="681"/>
      <c r="E28" s="681"/>
      <c r="F28" s="681"/>
      <c r="G28" s="674"/>
    </row>
    <row r="29" spans="1:7" ht="16.2" hidden="1" x14ac:dyDescent="0.35">
      <c r="A29" s="783" t="s">
        <v>451</v>
      </c>
      <c r="B29" s="792">
        <f>B66+$B$34*C66</f>
        <v>0</v>
      </c>
      <c r="C29" s="795"/>
      <c r="G29" s="674"/>
    </row>
    <row r="30" spans="1:7" ht="16.2" hidden="1" x14ac:dyDescent="0.35">
      <c r="A30" s="783" t="s">
        <v>452</v>
      </c>
      <c r="B30" s="792">
        <f>SUM(B68:B71)+$B$34*SUM(C68:C71)</f>
        <v>0</v>
      </c>
      <c r="C30" s="795"/>
      <c r="G30" s="674"/>
    </row>
    <row r="31" spans="1:7" ht="16.2" hidden="1" x14ac:dyDescent="0.35">
      <c r="A31" s="783"/>
      <c r="B31" s="794"/>
      <c r="C31" s="797"/>
      <c r="D31" s="681"/>
      <c r="E31" s="681"/>
      <c r="F31" s="681"/>
      <c r="G31" s="674"/>
    </row>
    <row r="32" spans="1:7" ht="16.2" hidden="1" x14ac:dyDescent="0.35">
      <c r="A32" s="783" t="s">
        <v>453</v>
      </c>
      <c r="B32" s="792">
        <f>SUM(B24:B31)</f>
        <v>0</v>
      </c>
      <c r="C32" s="788">
        <f>B32/B34</f>
        <v>0</v>
      </c>
      <c r="G32" s="674"/>
    </row>
    <row r="33" spans="1:7" ht="16.2" hidden="1" x14ac:dyDescent="0.35">
      <c r="A33" s="783"/>
      <c r="B33" s="794"/>
      <c r="C33" s="788"/>
      <c r="G33" s="674"/>
    </row>
    <row r="34" spans="1:7" ht="16.2" hidden="1" x14ac:dyDescent="0.35">
      <c r="A34" s="792" t="s">
        <v>454</v>
      </c>
      <c r="B34" s="792">
        <f>(+B22+B73)/(1-C73)</f>
        <v>323662.07510582026</v>
      </c>
      <c r="C34" s="788">
        <f>SUM(C22:C33)</f>
        <v>1</v>
      </c>
      <c r="G34" s="674"/>
    </row>
    <row r="35" spans="1:7" ht="16.2" hidden="1" x14ac:dyDescent="0.35">
      <c r="A35" s="783"/>
      <c r="B35" s="783"/>
      <c r="C35" s="783"/>
      <c r="G35" s="674"/>
    </row>
    <row r="36" spans="1:7" ht="16.2" hidden="1" x14ac:dyDescent="0.35">
      <c r="A36" s="783" t="s">
        <v>455</v>
      </c>
      <c r="B36" s="792">
        <f>B22+B32</f>
        <v>323662.07510582026</v>
      </c>
      <c r="C36" s="783"/>
      <c r="D36" s="681"/>
      <c r="E36" s="681"/>
      <c r="F36" s="681"/>
      <c r="G36" s="674"/>
    </row>
    <row r="37" spans="1:7" ht="16.2" hidden="1" x14ac:dyDescent="0.35">
      <c r="A37" s="783"/>
      <c r="B37" s="783"/>
      <c r="C37" s="783"/>
      <c r="G37" s="674"/>
    </row>
    <row r="38" spans="1:7" ht="16.2" hidden="1" x14ac:dyDescent="0.35">
      <c r="A38" s="783" t="s">
        <v>456</v>
      </c>
      <c r="B38" s="792">
        <f>IF(MOD(B34,5000)&gt;0,TRUNC(B34/5000)*5000+5000,B34)</f>
        <v>325000</v>
      </c>
      <c r="C38" s="792"/>
      <c r="G38" s="674"/>
    </row>
    <row r="39" spans="1:7" ht="16.2" hidden="1" x14ac:dyDescent="0.35">
      <c r="A39" s="787" t="s">
        <v>457</v>
      </c>
      <c r="B39" s="792"/>
      <c r="C39" s="792"/>
      <c r="G39" s="674"/>
    </row>
    <row r="40" spans="1:7" ht="16.2" x14ac:dyDescent="0.35">
      <c r="A40" s="783"/>
      <c r="B40" s="783"/>
      <c r="C40" s="783"/>
      <c r="G40" s="674"/>
    </row>
    <row r="41" spans="1:7" ht="16.2" hidden="1" x14ac:dyDescent="0.35">
      <c r="A41" s="783" t="s">
        <v>495</v>
      </c>
      <c r="B41" s="783"/>
      <c r="C41" s="783"/>
      <c r="G41" s="674"/>
    </row>
    <row r="42" spans="1:7" ht="16.2" x14ac:dyDescent="0.35">
      <c r="A42" s="783"/>
      <c r="B42" s="783"/>
      <c r="C42" s="783"/>
      <c r="G42" s="674"/>
    </row>
    <row r="43" spans="1:7" ht="16.2" x14ac:dyDescent="0.35">
      <c r="A43" s="798" t="s">
        <v>510</v>
      </c>
      <c r="B43" s="783"/>
      <c r="C43" s="783"/>
      <c r="G43" s="674"/>
    </row>
    <row r="44" spans="1:7" ht="16.2" x14ac:dyDescent="0.35">
      <c r="A44" s="783"/>
      <c r="B44" s="783"/>
      <c r="C44" s="783"/>
      <c r="G44" s="674"/>
    </row>
    <row r="45" spans="1:7" ht="16.2" x14ac:dyDescent="0.35">
      <c r="A45" s="798" t="s">
        <v>511</v>
      </c>
      <c r="B45" s="783"/>
      <c r="C45" s="783"/>
      <c r="G45" s="674"/>
    </row>
    <row r="46" spans="1:7" x14ac:dyDescent="0.35">
      <c r="A46" s="684"/>
      <c r="G46" s="674"/>
    </row>
    <row r="47" spans="1:7" hidden="1" x14ac:dyDescent="0.35"/>
    <row r="48" spans="1:7" hidden="1" x14ac:dyDescent="0.35">
      <c r="A48" s="677"/>
      <c r="B48" s="677"/>
      <c r="C48" s="677"/>
      <c r="D48" s="677"/>
      <c r="E48" s="677"/>
      <c r="F48" s="677"/>
      <c r="G48" s="677"/>
    </row>
    <row r="49" spans="1:4" hidden="1" x14ac:dyDescent="0.35"/>
    <row r="50" spans="1:4" hidden="1" x14ac:dyDescent="0.35">
      <c r="A50" s="673" t="s">
        <v>458</v>
      </c>
    </row>
    <row r="51" spans="1:4" hidden="1" x14ac:dyDescent="0.35"/>
    <row r="52" spans="1:4" hidden="1" x14ac:dyDescent="0.35">
      <c r="A52" s="673" t="s">
        <v>459</v>
      </c>
    </row>
    <row r="53" spans="1:4" hidden="1" x14ac:dyDescent="0.35"/>
    <row r="54" spans="1:4" hidden="1" x14ac:dyDescent="0.35"/>
    <row r="55" spans="1:4" hidden="1" x14ac:dyDescent="0.35">
      <c r="A55" s="685"/>
    </row>
    <row r="56" spans="1:4" hidden="1" x14ac:dyDescent="0.35">
      <c r="A56" s="686"/>
    </row>
    <row r="57" spans="1:4" hidden="1" x14ac:dyDescent="0.35"/>
    <row r="58" spans="1:4" hidden="1" x14ac:dyDescent="0.35"/>
    <row r="59" spans="1:4" hidden="1" x14ac:dyDescent="0.35">
      <c r="A59" s="687"/>
      <c r="B59" s="687" t="s">
        <v>460</v>
      </c>
      <c r="C59" s="687" t="s">
        <v>461</v>
      </c>
      <c r="D59" s="688"/>
    </row>
    <row r="60" spans="1:4" hidden="1" x14ac:dyDescent="0.35">
      <c r="A60" s="678" t="s">
        <v>462</v>
      </c>
      <c r="B60" s="678" t="s">
        <v>463</v>
      </c>
      <c r="C60" s="678" t="s">
        <v>463</v>
      </c>
      <c r="D60" s="678" t="s">
        <v>464</v>
      </c>
    </row>
    <row r="61" spans="1:4" hidden="1" x14ac:dyDescent="0.35"/>
    <row r="62" spans="1:4" hidden="1" x14ac:dyDescent="0.35">
      <c r="A62" s="673" t="s">
        <v>465</v>
      </c>
      <c r="B62" s="689">
        <v>0</v>
      </c>
      <c r="C62" s="690">
        <v>0</v>
      </c>
      <c r="D62" s="673" t="s">
        <v>466</v>
      </c>
    </row>
    <row r="63" spans="1:4" hidden="1" x14ac:dyDescent="0.35">
      <c r="A63" s="673" t="s">
        <v>467</v>
      </c>
      <c r="B63" s="689">
        <v>0</v>
      </c>
      <c r="C63" s="691">
        <v>0</v>
      </c>
      <c r="D63" s="673" t="s">
        <v>468</v>
      </c>
    </row>
    <row r="64" spans="1:4" hidden="1" x14ac:dyDescent="0.35">
      <c r="A64" s="673" t="s">
        <v>469</v>
      </c>
      <c r="B64" s="689">
        <v>0</v>
      </c>
      <c r="C64" s="691">
        <v>0</v>
      </c>
    </row>
    <row r="65" spans="1:6" hidden="1" x14ac:dyDescent="0.35">
      <c r="A65" s="673" t="s">
        <v>470</v>
      </c>
      <c r="B65" s="692">
        <v>0</v>
      </c>
      <c r="C65" s="691">
        <v>0</v>
      </c>
      <c r="D65" s="673" t="s">
        <v>400</v>
      </c>
    </row>
    <row r="66" spans="1:6" hidden="1" x14ac:dyDescent="0.35">
      <c r="A66" s="673" t="s">
        <v>471</v>
      </c>
      <c r="B66" s="693">
        <v>0</v>
      </c>
      <c r="C66" s="693">
        <v>0</v>
      </c>
    </row>
    <row r="67" spans="1:6" hidden="1" x14ac:dyDescent="0.35">
      <c r="A67" s="673" t="s">
        <v>472</v>
      </c>
      <c r="B67" s="681"/>
      <c r="C67" s="694"/>
    </row>
    <row r="68" spans="1:6" hidden="1" x14ac:dyDescent="0.35">
      <c r="A68" s="673" t="s">
        <v>473</v>
      </c>
      <c r="B68" s="692">
        <v>0</v>
      </c>
      <c r="C68" s="693">
        <v>0</v>
      </c>
    </row>
    <row r="69" spans="1:6" hidden="1" x14ac:dyDescent="0.35">
      <c r="A69" s="673" t="s">
        <v>474</v>
      </c>
      <c r="B69" s="692">
        <v>0</v>
      </c>
      <c r="C69" s="693">
        <v>0</v>
      </c>
    </row>
    <row r="70" spans="1:6" hidden="1" x14ac:dyDescent="0.35">
      <c r="A70" s="673" t="s">
        <v>475</v>
      </c>
      <c r="B70" s="692">
        <v>0</v>
      </c>
      <c r="C70" s="693">
        <v>0</v>
      </c>
    </row>
    <row r="71" spans="1:6" hidden="1" x14ac:dyDescent="0.35">
      <c r="A71" s="673" t="s">
        <v>476</v>
      </c>
      <c r="B71" s="695">
        <f>0.1*(B68+B69+B70)</f>
        <v>0</v>
      </c>
      <c r="C71" s="691">
        <v>0</v>
      </c>
    </row>
    <row r="72" spans="1:6" hidden="1" x14ac:dyDescent="0.35">
      <c r="B72" s="696" t="s">
        <v>477</v>
      </c>
      <c r="C72" s="696" t="s">
        <v>477</v>
      </c>
    </row>
    <row r="73" spans="1:6" hidden="1" x14ac:dyDescent="0.35">
      <c r="B73" s="681">
        <f>SUM(B61:B72)</f>
        <v>0</v>
      </c>
      <c r="C73" s="680">
        <f>SUM(C61:C72)</f>
        <v>0</v>
      </c>
      <c r="F73" s="697"/>
    </row>
    <row r="74" spans="1:6" hidden="1" x14ac:dyDescent="0.35">
      <c r="B74" s="681"/>
      <c r="C74" s="680"/>
      <c r="F74" s="697"/>
    </row>
    <row r="75" spans="1:6" hidden="1" x14ac:dyDescent="0.35">
      <c r="B75" s="681"/>
      <c r="F75" s="698"/>
    </row>
    <row r="76" spans="1:6" hidden="1" x14ac:dyDescent="0.35">
      <c r="A76" s="673" t="s">
        <v>478</v>
      </c>
      <c r="B76" s="681">
        <f>B22</f>
        <v>323662.07510582026</v>
      </c>
      <c r="C76" s="699">
        <f>B76/$B$79</f>
        <v>1</v>
      </c>
      <c r="F76" s="682"/>
    </row>
    <row r="77" spans="1:6" hidden="1" x14ac:dyDescent="0.35">
      <c r="A77" s="673" t="s">
        <v>479</v>
      </c>
      <c r="B77" s="681">
        <f>B73</f>
        <v>0</v>
      </c>
      <c r="C77" s="699">
        <f>B77/$B$79</f>
        <v>0</v>
      </c>
      <c r="F77" s="682"/>
    </row>
    <row r="78" spans="1:6" hidden="1" x14ac:dyDescent="0.35">
      <c r="A78" s="673" t="s">
        <v>480</v>
      </c>
      <c r="B78" s="700">
        <f>C73*B34</f>
        <v>0</v>
      </c>
      <c r="C78" s="701">
        <f>B78/$B$79</f>
        <v>0</v>
      </c>
      <c r="F78" s="698"/>
    </row>
    <row r="79" spans="1:6" hidden="1" x14ac:dyDescent="0.35">
      <c r="A79" s="673" t="s">
        <v>481</v>
      </c>
      <c r="B79" s="698">
        <f>SUM(B76:B78)</f>
        <v>323662.07510582026</v>
      </c>
      <c r="C79" s="702">
        <f>SUM(C76:C78)</f>
        <v>1</v>
      </c>
    </row>
    <row r="80" spans="1:6" hidden="1" x14ac:dyDescent="0.35">
      <c r="D80" s="682"/>
    </row>
    <row r="81" spans="1:6" hidden="1" x14ac:dyDescent="0.35">
      <c r="D81" s="682"/>
    </row>
    <row r="82" spans="1:6" hidden="1" x14ac:dyDescent="0.35">
      <c r="A82" s="675" t="s">
        <v>374</v>
      </c>
      <c r="D82" s="682"/>
    </row>
    <row r="83" spans="1:6" hidden="1" x14ac:dyDescent="0.35">
      <c r="A83" s="673" t="s">
        <v>482</v>
      </c>
    </row>
    <row r="84" spans="1:6" hidden="1" x14ac:dyDescent="0.35">
      <c r="A84" s="673" t="s">
        <v>483</v>
      </c>
    </row>
    <row r="85" spans="1:6" hidden="1" x14ac:dyDescent="0.35">
      <c r="F85" s="682"/>
    </row>
    <row r="86" spans="1:6" hidden="1" x14ac:dyDescent="0.35">
      <c r="A86" s="688"/>
      <c r="C86" s="703" t="s">
        <v>484</v>
      </c>
      <c r="D86" s="704"/>
    </row>
    <row r="87" spans="1:6" hidden="1" x14ac:dyDescent="0.35">
      <c r="A87" s="687"/>
      <c r="B87" s="674" t="s">
        <v>485</v>
      </c>
      <c r="C87" s="687" t="s">
        <v>460</v>
      </c>
      <c r="D87" s="687" t="s">
        <v>486</v>
      </c>
    </row>
    <row r="88" spans="1:6" hidden="1" x14ac:dyDescent="0.35">
      <c r="A88" s="678" t="s">
        <v>487</v>
      </c>
      <c r="B88" s="705" t="s">
        <v>488</v>
      </c>
      <c r="C88" s="678" t="s">
        <v>463</v>
      </c>
      <c r="D88" s="678" t="s">
        <v>463</v>
      </c>
    </row>
    <row r="89" spans="1:6" hidden="1" x14ac:dyDescent="0.35"/>
    <row r="90" spans="1:6" hidden="1" x14ac:dyDescent="0.35">
      <c r="A90" s="688" t="s">
        <v>489</v>
      </c>
      <c r="B90" s="681">
        <v>15000</v>
      </c>
      <c r="C90" s="681">
        <v>15000</v>
      </c>
      <c r="D90" s="680">
        <v>0</v>
      </c>
    </row>
    <row r="91" spans="1:6" hidden="1" x14ac:dyDescent="0.35">
      <c r="A91" s="688" t="s">
        <v>490</v>
      </c>
      <c r="B91" s="680">
        <v>0.02</v>
      </c>
      <c r="C91" s="681">
        <v>0</v>
      </c>
      <c r="D91" s="680">
        <v>0.02</v>
      </c>
    </row>
    <row r="92" spans="1:6" hidden="1" x14ac:dyDescent="0.35">
      <c r="A92" s="688" t="s">
        <v>491</v>
      </c>
      <c r="B92" s="680">
        <v>0.01</v>
      </c>
      <c r="C92" s="681">
        <v>20000</v>
      </c>
      <c r="D92" s="680">
        <v>0.01</v>
      </c>
    </row>
    <row r="93" spans="1:6" hidden="1" x14ac:dyDescent="0.35">
      <c r="A93" s="688" t="s">
        <v>492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35"/>
    <row r="95" spans="1:6" hidden="1" x14ac:dyDescent="0.35">
      <c r="A95" s="673" t="s">
        <v>493</v>
      </c>
    </row>
    <row r="96" spans="1:6" hidden="1" x14ac:dyDescent="0.35">
      <c r="A96" s="673" t="s">
        <v>494</v>
      </c>
    </row>
    <row r="97" spans="1:2" hidden="1" x14ac:dyDescent="0.35"/>
    <row r="98" spans="1:2" hidden="1" x14ac:dyDescent="0.35"/>
    <row r="100" spans="1:2" x14ac:dyDescent="0.3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3.2" x14ac:dyDescent="0.25"/>
  <cols>
    <col min="1" max="1" width="36.33203125" bestFit="1" customWidth="1"/>
    <col min="2" max="2" width="42.33203125" customWidth="1"/>
    <col min="3" max="3" width="16.109375" bestFit="1" customWidth="1"/>
  </cols>
  <sheetData>
    <row r="1" spans="1:3" ht="15" x14ac:dyDescent="0.25">
      <c r="A1" s="782" t="s">
        <v>545</v>
      </c>
      <c r="B1" s="782"/>
      <c r="C1" s="778" t="str">
        <f>'1. Storm Drainage Fee Calc Sum'!$J$1</f>
        <v>Internal</v>
      </c>
    </row>
    <row r="2" spans="1:3" ht="15" x14ac:dyDescent="0.25">
      <c r="A2" s="782" t="s">
        <v>406</v>
      </c>
      <c r="B2" s="782"/>
      <c r="C2" s="779" t="str">
        <f>'1. Storm Drainage Fee Calc Sum'!$J$2</f>
        <v>Working Draft - v7</v>
      </c>
    </row>
    <row r="3" spans="1:3" ht="15" x14ac:dyDescent="0.25">
      <c r="A3" s="782" t="s">
        <v>438</v>
      </c>
      <c r="B3" s="782"/>
      <c r="C3" s="780">
        <f>'1. Storm Drainage Fee Calc Sum'!$J$3</f>
        <v>41248</v>
      </c>
    </row>
    <row r="4" spans="1:3" ht="15" x14ac:dyDescent="0.25">
      <c r="A4" s="782" t="s">
        <v>546</v>
      </c>
      <c r="B4" s="782"/>
      <c r="C4" s="581"/>
    </row>
    <row r="16" spans="1:3" ht="13.8" thickBot="1" x14ac:dyDescent="0.3"/>
    <row r="17" spans="2:2" ht="25.2" thickBot="1" x14ac:dyDescent="0.45">
      <c r="B17" s="805" t="s">
        <v>544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8" sqref="D8"/>
    </sheetView>
  </sheetViews>
  <sheetFormatPr defaultColWidth="9.109375" defaultRowHeight="13.2" x14ac:dyDescent="0.25"/>
  <cols>
    <col min="1" max="1" width="10" style="1" customWidth="1"/>
    <col min="2" max="2" width="34.44140625" style="1" customWidth="1"/>
    <col min="3" max="3" width="13.33203125" style="2" customWidth="1"/>
    <col min="4" max="4" width="12" style="1" customWidth="1"/>
    <col min="5" max="5" width="25.6640625" style="2" customWidth="1"/>
    <col min="6" max="6" width="11.6640625" style="1" customWidth="1"/>
    <col min="7" max="8" width="9.5546875" style="1" customWidth="1"/>
    <col min="9" max="13" width="9.5546875" style="2" customWidth="1"/>
    <col min="14" max="16384" width="9.109375" style="2"/>
  </cols>
  <sheetData>
    <row r="4" spans="1:6" x14ac:dyDescent="0.25">
      <c r="E4" s="29" t="s">
        <v>346</v>
      </c>
    </row>
    <row r="5" spans="1:6" ht="26.25" customHeight="1" thickBot="1" x14ac:dyDescent="0.3">
      <c r="D5" s="241"/>
    </row>
    <row r="6" spans="1:6" x14ac:dyDescent="0.25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8" thickBot="1" x14ac:dyDescent="0.3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5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5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5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5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5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5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5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5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5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5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5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5">
      <c r="A19" s="399" t="s">
        <v>274</v>
      </c>
      <c r="B19" s="400" t="s">
        <v>273</v>
      </c>
      <c r="C19" s="401">
        <f>'South &amp; Levee'!F14</f>
        <v>2240236.3694192879</v>
      </c>
      <c r="D19" s="401">
        <f t="shared" si="0"/>
        <v>2240236.3694192879</v>
      </c>
      <c r="E19" s="1002"/>
      <c r="F19" s="999"/>
    </row>
    <row r="20" spans="1:6" ht="18.75" customHeight="1" x14ac:dyDescent="0.25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5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5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3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3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3">
      <c r="A25" s="1008" t="s">
        <v>0</v>
      </c>
      <c r="B25" s="1009"/>
      <c r="C25" s="1010">
        <f>SUM(D8:D24)</f>
        <v>12405010.044026315</v>
      </c>
      <c r="D25" s="1011"/>
      <c r="E25" s="1004"/>
      <c r="F25" s="1005"/>
    </row>
    <row r="26" spans="1:6" x14ac:dyDescent="0.25">
      <c r="C26" s="3"/>
      <c r="D26" s="4"/>
    </row>
    <row r="27" spans="1:6" x14ac:dyDescent="0.25">
      <c r="C27" s="3"/>
      <c r="D27" s="4"/>
    </row>
    <row r="29" spans="1:6" x14ac:dyDescent="0.25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2" style="4" customWidth="1"/>
    <col min="7" max="13" width="11.88671875" style="2" customWidth="1"/>
    <col min="14" max="16384" width="9.109375" style="2"/>
  </cols>
  <sheetData>
    <row r="4" spans="1:13" x14ac:dyDescent="0.25">
      <c r="I4" s="29">
        <v>40891</v>
      </c>
    </row>
    <row r="5" spans="1:13" ht="13.8" thickBot="1" x14ac:dyDescent="0.3"/>
    <row r="6" spans="1:13" x14ac:dyDescent="0.25">
      <c r="A6" s="1016" t="s">
        <v>6</v>
      </c>
      <c r="B6" s="1029" t="s">
        <v>19</v>
      </c>
      <c r="C6" s="17" t="s">
        <v>1</v>
      </c>
      <c r="D6" s="7" t="s">
        <v>3</v>
      </c>
      <c r="E6" s="17" t="s">
        <v>4</v>
      </c>
      <c r="F6" s="1018" t="s">
        <v>0</v>
      </c>
      <c r="G6" s="1020" t="s">
        <v>16</v>
      </c>
      <c r="H6" s="1021"/>
      <c r="I6" s="1021"/>
      <c r="J6" s="1021"/>
      <c r="K6" s="1021"/>
      <c r="L6" s="1021"/>
      <c r="M6" s="1022"/>
    </row>
    <row r="7" spans="1:13" s="1" customFormat="1" ht="13.8" thickBot="1" x14ac:dyDescent="0.3">
      <c r="A7" s="1017"/>
      <c r="B7" s="1030"/>
      <c r="C7" s="18" t="s">
        <v>2</v>
      </c>
      <c r="D7" s="13" t="s">
        <v>2</v>
      </c>
      <c r="E7" s="18" t="s">
        <v>5</v>
      </c>
      <c r="F7" s="1019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5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5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5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5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5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5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5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5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5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5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5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5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5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5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5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5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5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5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5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5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5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5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5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5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5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5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5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5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8" thickBot="1" x14ac:dyDescent="0.3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3">
      <c r="A60" s="24" t="s">
        <v>17</v>
      </c>
      <c r="B60" s="1026"/>
      <c r="C60" s="1027"/>
      <c r="D60" s="1027"/>
      <c r="E60" s="1027"/>
      <c r="F60" s="1028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3">
      <c r="A61" s="15" t="s">
        <v>60</v>
      </c>
      <c r="B61" s="1026" t="s">
        <v>58</v>
      </c>
      <c r="C61" s="1027"/>
      <c r="D61" s="1027"/>
      <c r="E61" s="1027"/>
      <c r="F61" s="1028"/>
      <c r="G61" s="1023">
        <f>SUM(G60:M60)</f>
        <v>1012300</v>
      </c>
      <c r="H61" s="1024"/>
      <c r="I61" s="1024"/>
      <c r="J61" s="1024"/>
      <c r="K61" s="1024"/>
      <c r="L61" s="1024"/>
      <c r="M61" s="1025"/>
    </row>
    <row r="62" spans="1:13" ht="16.5" customHeight="1" thickBot="1" x14ac:dyDescent="0.3">
      <c r="A62" s="15" t="s">
        <v>61</v>
      </c>
      <c r="B62" s="1026" t="s">
        <v>59</v>
      </c>
      <c r="C62" s="1027"/>
      <c r="D62" s="1027"/>
      <c r="E62" s="1027"/>
      <c r="F62" s="1028"/>
      <c r="G62" s="1023">
        <f>'South &amp; Levee'!G53:M53</f>
        <v>8155010.0440263152</v>
      </c>
      <c r="H62" s="1024"/>
      <c r="I62" s="1024"/>
      <c r="J62" s="1024"/>
      <c r="K62" s="1024"/>
      <c r="L62" s="1024"/>
      <c r="M62" s="1025"/>
    </row>
    <row r="63" spans="1:13" ht="16.5" customHeight="1" thickBot="1" x14ac:dyDescent="0.3">
      <c r="A63" s="15" t="s">
        <v>115</v>
      </c>
      <c r="B63" s="1026" t="s">
        <v>114</v>
      </c>
      <c r="C63" s="1027"/>
      <c r="D63" s="1027"/>
      <c r="E63" s="1027"/>
      <c r="F63" s="1028"/>
      <c r="G63" s="1023">
        <f>Trails!G14</f>
        <v>1500000</v>
      </c>
      <c r="H63" s="1024"/>
      <c r="I63" s="1024"/>
      <c r="J63" s="1024"/>
      <c r="K63" s="1024"/>
      <c r="L63" s="1024"/>
      <c r="M63" s="1025"/>
    </row>
    <row r="64" spans="1:13" ht="16.5" customHeight="1" thickBot="1" x14ac:dyDescent="0.3">
      <c r="A64" s="15" t="s">
        <v>76</v>
      </c>
      <c r="B64" s="1026" t="s">
        <v>77</v>
      </c>
      <c r="C64" s="1027"/>
      <c r="D64" s="1027"/>
      <c r="E64" s="1027"/>
      <c r="F64" s="1028"/>
      <c r="G64" s="1023">
        <f>'South &amp; Levee'!F64</f>
        <v>12279928.35</v>
      </c>
      <c r="H64" s="1024"/>
      <c r="I64" s="1024"/>
      <c r="J64" s="1024"/>
      <c r="K64" s="1024"/>
      <c r="L64" s="1024"/>
      <c r="M64" s="1025"/>
    </row>
    <row r="65" spans="1:13" ht="16.5" customHeight="1" thickBot="1" x14ac:dyDescent="0.3">
      <c r="A65" s="37" t="s">
        <v>62</v>
      </c>
      <c r="B65" s="1031" t="s">
        <v>75</v>
      </c>
      <c r="C65" s="1032"/>
      <c r="D65" s="1032"/>
      <c r="E65" s="1032"/>
      <c r="F65" s="1033"/>
      <c r="G65" s="1034">
        <f>SUM(G61:M64)</f>
        <v>22947238.394026317</v>
      </c>
      <c r="H65" s="1035"/>
      <c r="I65" s="1035"/>
      <c r="J65" s="1035"/>
      <c r="K65" s="1035"/>
      <c r="L65" s="1035"/>
      <c r="M65" s="1036"/>
    </row>
    <row r="66" spans="1:13" x14ac:dyDescent="0.25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5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5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5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5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5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5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5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5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5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5">
      <c r="G76" s="3"/>
      <c r="H76" s="3"/>
      <c r="I76" s="3"/>
      <c r="J76" s="3"/>
      <c r="K76" s="3"/>
      <c r="L76" s="3"/>
      <c r="M76" s="3"/>
    </row>
    <row r="77" spans="1:13" x14ac:dyDescent="0.25">
      <c r="G77" s="3"/>
      <c r="H77" s="3"/>
      <c r="I77" s="3"/>
      <c r="J77" s="3"/>
      <c r="K77" s="3"/>
      <c r="L77" s="3"/>
      <c r="M77" s="3"/>
    </row>
  </sheetData>
  <mergeCells count="15">
    <mergeCell ref="B65:F65"/>
    <mergeCell ref="G65:M65"/>
    <mergeCell ref="B62:F62"/>
    <mergeCell ref="G62:M62"/>
    <mergeCell ref="B64:F64"/>
    <mergeCell ref="G64:M64"/>
    <mergeCell ref="B63:F63"/>
    <mergeCell ref="G63:M63"/>
    <mergeCell ref="A6:A7"/>
    <mergeCell ref="F6:F7"/>
    <mergeCell ref="G6:M6"/>
    <mergeCell ref="G61:M61"/>
    <mergeCell ref="B60:F60"/>
    <mergeCell ref="B61:F61"/>
    <mergeCell ref="B6:B7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topLeftCell="A7" zoomScale="90" zoomScaleNormal="100" workbookViewId="0">
      <selection activeCell="H49" sqref="H49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13" width="11.88671875" style="2" customWidth="1"/>
    <col min="14" max="16384" width="9.109375" style="2"/>
  </cols>
  <sheetData>
    <row r="4" spans="1:13" x14ac:dyDescent="0.25">
      <c r="I4" s="434">
        <v>40862</v>
      </c>
    </row>
    <row r="5" spans="1:13" ht="13.8" thickBot="1" x14ac:dyDescent="0.3"/>
    <row r="6" spans="1:13" x14ac:dyDescent="0.25">
      <c r="A6" s="1016" t="s">
        <v>6</v>
      </c>
      <c r="B6" s="1029" t="s">
        <v>19</v>
      </c>
      <c r="C6" s="17" t="s">
        <v>1</v>
      </c>
      <c r="D6" s="7" t="s">
        <v>3</v>
      </c>
      <c r="E6" s="17" t="s">
        <v>4</v>
      </c>
      <c r="F6" s="1018" t="s">
        <v>0</v>
      </c>
      <c r="G6" s="1020" t="s">
        <v>16</v>
      </c>
      <c r="H6" s="1021"/>
      <c r="I6" s="1021"/>
      <c r="J6" s="1021"/>
      <c r="K6" s="1021"/>
      <c r="L6" s="1021"/>
      <c r="M6" s="1022"/>
    </row>
    <row r="7" spans="1:13" s="1" customFormat="1" ht="13.8" thickBot="1" x14ac:dyDescent="0.3">
      <c r="A7" s="1017"/>
      <c r="B7" s="1030"/>
      <c r="C7" s="18" t="s">
        <v>2</v>
      </c>
      <c r="D7" s="13" t="s">
        <v>2</v>
      </c>
      <c r="E7" s="18" t="s">
        <v>5</v>
      </c>
      <c r="F7" s="1019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5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5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237" t="s">
        <v>22</v>
      </c>
      <c r="B14" s="8" t="s">
        <v>9</v>
      </c>
      <c r="C14" s="19">
        <v>5050</v>
      </c>
      <c r="D14" s="35">
        <v>17</v>
      </c>
      <c r="E14" s="397">
        <f>530/1.19474</f>
        <v>443.61116226124517</v>
      </c>
      <c r="F14" s="396">
        <f>C14*E14</f>
        <v>2240236.3694192879</v>
      </c>
      <c r="G14" s="22"/>
      <c r="H14" s="404">
        <f>SUM(F14:F16)</f>
        <v>4112510.0440263152</v>
      </c>
      <c r="I14" s="10"/>
      <c r="J14" s="20"/>
      <c r="K14" s="10"/>
      <c r="L14" s="20"/>
      <c r="M14" s="11"/>
    </row>
    <row r="15" spans="1:13" x14ac:dyDescent="0.25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5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5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5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5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5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5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5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5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5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5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5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5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5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5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5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5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5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8" thickBot="1" x14ac:dyDescent="0.3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3">
      <c r="A52" s="24" t="s">
        <v>17</v>
      </c>
      <c r="B52" s="1026"/>
      <c r="C52" s="1027"/>
      <c r="D52" s="1027"/>
      <c r="E52" s="1027"/>
      <c r="F52" s="1028"/>
      <c r="G52" s="27">
        <f>SUM(G8:G47)</f>
        <v>2382500</v>
      </c>
      <c r="H52" s="25">
        <f t="shared" ref="H52:M52" si="2">SUM(H8:H51)</f>
        <v>4112510.0440263152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3">
      <c r="A53" s="15" t="s">
        <v>0</v>
      </c>
      <c r="B53" s="1026" t="s">
        <v>59</v>
      </c>
      <c r="C53" s="1027"/>
      <c r="D53" s="1027"/>
      <c r="E53" s="1027"/>
      <c r="F53" s="1028"/>
      <c r="G53" s="1023">
        <f>SUM(G52:M52)</f>
        <v>8155010.0440263152</v>
      </c>
      <c r="H53" s="1024"/>
      <c r="I53" s="1024"/>
      <c r="J53" s="1024"/>
      <c r="K53" s="1024"/>
      <c r="L53" s="1024"/>
      <c r="M53" s="1025"/>
    </row>
    <row r="54" spans="1:22" x14ac:dyDescent="0.25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8" thickBot="1" x14ac:dyDescent="0.3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5">
      <c r="A56" s="1051" t="s">
        <v>63</v>
      </c>
      <c r="B56" s="1045" t="s">
        <v>64</v>
      </c>
      <c r="C56" s="1046"/>
      <c r="D56" s="1057" t="s">
        <v>65</v>
      </c>
      <c r="E56" s="1057"/>
      <c r="F56" s="1058"/>
      <c r="G56" s="1043" t="s">
        <v>70</v>
      </c>
      <c r="H56" s="1044"/>
      <c r="I56" s="6"/>
      <c r="J56" s="6"/>
      <c r="K56" s="6"/>
      <c r="L56" s="6"/>
      <c r="M56" s="6"/>
    </row>
    <row r="57" spans="1:22" ht="15.6" x14ac:dyDescent="0.25">
      <c r="A57" s="1052"/>
      <c r="B57" s="1047"/>
      <c r="C57" s="1048"/>
      <c r="D57" s="1060" t="s">
        <v>66</v>
      </c>
      <c r="E57" s="1060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3">
      <c r="A58" s="1052"/>
      <c r="B58" s="1049">
        <f>'Levee &amp; Monitor'!C11</f>
        <v>16161</v>
      </c>
      <c r="C58" s="1050"/>
      <c r="D58" s="1061">
        <f>'Levee &amp; Monitor'!G11</f>
        <v>9703685</v>
      </c>
      <c r="E58" s="1061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5">
      <c r="A59" s="43" t="s">
        <v>85</v>
      </c>
      <c r="B59" s="1053" t="s">
        <v>78</v>
      </c>
      <c r="C59" s="1054"/>
      <c r="D59" s="1057" t="s">
        <v>71</v>
      </c>
      <c r="E59" s="1057"/>
      <c r="F59" s="1058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3">
      <c r="A60" s="44" t="s">
        <v>86</v>
      </c>
      <c r="B60" s="1055">
        <v>30</v>
      </c>
      <c r="C60" s="1056"/>
      <c r="D60" s="1056">
        <f>$F$58*$B$60</f>
        <v>10771090.35</v>
      </c>
      <c r="E60" s="1056"/>
      <c r="F60" s="1059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3">
      <c r="B61" s="1037" t="s">
        <v>73</v>
      </c>
      <c r="C61" s="1038"/>
      <c r="D61" s="1039">
        <f>D60+H60</f>
        <v>12279928.35</v>
      </c>
      <c r="E61" s="1040"/>
      <c r="F61" s="1040"/>
      <c r="G61" s="1040"/>
      <c r="H61" s="1041"/>
      <c r="I61" s="6"/>
      <c r="J61" s="6"/>
      <c r="K61" s="6"/>
      <c r="L61" s="6"/>
      <c r="M61" s="6"/>
    </row>
    <row r="62" spans="1:22" x14ac:dyDescent="0.25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5">
      <c r="E63" s="5"/>
      <c r="F63" s="1042"/>
      <c r="G63" s="1042"/>
      <c r="H63" s="6"/>
      <c r="I63" s="6"/>
      <c r="J63" s="6"/>
      <c r="K63" s="6"/>
      <c r="L63" s="6"/>
      <c r="M63" s="6"/>
    </row>
    <row r="64" spans="1:22" x14ac:dyDescent="0.25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5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5">
      <c r="G66" s="3"/>
      <c r="H66" s="3"/>
      <c r="I66" s="3"/>
      <c r="J66" s="3"/>
      <c r="K66" s="3"/>
      <c r="L66" s="3"/>
      <c r="M66" s="3"/>
    </row>
    <row r="67" spans="5:13" x14ac:dyDescent="0.25">
      <c r="G67" s="3"/>
      <c r="H67" s="3"/>
      <c r="I67" s="3"/>
      <c r="J67" s="3"/>
      <c r="K67" s="3"/>
      <c r="L67" s="3"/>
      <c r="M67" s="3"/>
    </row>
  </sheetData>
  <mergeCells count="21">
    <mergeCell ref="A6:A7"/>
    <mergeCell ref="F6:F7"/>
    <mergeCell ref="G6:M6"/>
    <mergeCell ref="G53:M53"/>
    <mergeCell ref="B52:F52"/>
    <mergeCell ref="B53:F53"/>
    <mergeCell ref="B6:B7"/>
    <mergeCell ref="A56:A58"/>
    <mergeCell ref="B59:C59"/>
    <mergeCell ref="B60:C60"/>
    <mergeCell ref="D59:F59"/>
    <mergeCell ref="D60:F60"/>
    <mergeCell ref="D57:E57"/>
    <mergeCell ref="D58:E58"/>
    <mergeCell ref="D56:F56"/>
    <mergeCell ref="B61:C61"/>
    <mergeCell ref="D61:H61"/>
    <mergeCell ref="F63:G63"/>
    <mergeCell ref="G56:H56"/>
    <mergeCell ref="B56:C57"/>
    <mergeCell ref="B58:C58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09375" defaultRowHeight="13.2" outlineLevelRow="1" x14ac:dyDescent="0.25"/>
  <cols>
    <col min="1" max="1" width="12.6640625" style="286" customWidth="1"/>
    <col min="2" max="2" width="12.6640625" style="46" customWidth="1"/>
    <col min="3" max="4" width="12.6640625" style="311" customWidth="1"/>
    <col min="5" max="6" width="12.6640625" style="282" customWidth="1"/>
    <col min="7" max="7" width="1.88671875" style="45" customWidth="1"/>
    <col min="8" max="8" width="9.33203125" style="45" customWidth="1"/>
    <col min="9" max="9" width="10.6640625" style="45" customWidth="1"/>
    <col min="10" max="10" width="11" style="438" customWidth="1"/>
    <col min="11" max="11" width="10.33203125" style="440" customWidth="1"/>
    <col min="12" max="12" width="7" style="46" customWidth="1"/>
    <col min="13" max="13" width="3.44140625" style="46" customWidth="1"/>
    <col min="14" max="14" width="9.33203125" style="45" customWidth="1"/>
    <col min="15" max="15" width="10.6640625" style="45" customWidth="1"/>
    <col min="16" max="16" width="11" style="438" customWidth="1"/>
    <col min="17" max="17" width="10.33203125" style="440" customWidth="1"/>
    <col min="18" max="18" width="7" style="46" customWidth="1"/>
    <col min="19" max="19" width="7.33203125" style="45" customWidth="1"/>
    <col min="20" max="21" width="13.33203125" style="45" customWidth="1"/>
    <col min="22" max="16384" width="9.109375" style="45"/>
  </cols>
  <sheetData>
    <row r="1" spans="1:18" s="2" customFormat="1" x14ac:dyDescent="0.25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5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5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8" thickBot="1" x14ac:dyDescent="0.3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5">
      <c r="A5" s="1095" t="s">
        <v>203</v>
      </c>
      <c r="B5" s="1093" t="s">
        <v>129</v>
      </c>
      <c r="C5" s="1091" t="s">
        <v>256</v>
      </c>
      <c r="D5" s="1092"/>
      <c r="E5" s="1089" t="s">
        <v>257</v>
      </c>
      <c r="F5" s="1090"/>
      <c r="J5" s="289"/>
      <c r="K5" s="229"/>
      <c r="P5" s="289"/>
      <c r="Q5" s="229"/>
    </row>
    <row r="6" spans="1:18" ht="15.75" customHeight="1" thickBot="1" x14ac:dyDescent="0.3">
      <c r="A6" s="1096"/>
      <c r="B6" s="1094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5">
      <c r="A7" s="1068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5">
      <c r="A8" s="1069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5">
      <c r="A9" s="1069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5">
      <c r="A10" s="1069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5">
      <c r="A11" s="1069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5">
      <c r="A12" s="1069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5">
      <c r="A13" s="1069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5">
      <c r="A14" s="1069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8" thickBot="1" x14ac:dyDescent="0.3">
      <c r="A15" s="1070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5">
      <c r="A16" s="1071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5">
      <c r="A17" s="1072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5">
      <c r="A18" s="1072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5">
      <c r="A19" s="1072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5">
      <c r="A20" s="1072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5">
      <c r="A21" s="1072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5">
      <c r="A22" s="1072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5">
      <c r="A23" s="1072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5">
      <c r="A24" s="1072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5">
      <c r="A25" s="1072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5">
      <c r="A26" s="1072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5">
      <c r="A27" s="1072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5">
      <c r="A28" s="1072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5">
      <c r="A29" s="1072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5">
      <c r="A30" s="1072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5">
      <c r="A31" s="1072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5">
      <c r="A32" s="1072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5">
      <c r="A33" s="1072"/>
      <c r="B33" s="339" t="s">
        <v>266</v>
      </c>
      <c r="C33" s="322">
        <v>19912</v>
      </c>
      <c r="D33" s="300"/>
      <c r="E33" s="314"/>
      <c r="F33" s="329"/>
    </row>
    <row r="34" spans="1:6" x14ac:dyDescent="0.25">
      <c r="A34" s="1072"/>
      <c r="B34" s="339" t="s">
        <v>148</v>
      </c>
      <c r="C34" s="322">
        <v>17446</v>
      </c>
      <c r="D34" s="300"/>
      <c r="E34" s="314"/>
      <c r="F34" s="329"/>
    </row>
    <row r="35" spans="1:6" ht="13.8" thickBot="1" x14ac:dyDescent="0.3">
      <c r="A35" s="1073"/>
      <c r="B35" s="340" t="s">
        <v>146</v>
      </c>
      <c r="C35" s="323">
        <v>17446</v>
      </c>
      <c r="D35" s="324"/>
      <c r="E35" s="316"/>
      <c r="F35" s="330"/>
    </row>
    <row r="36" spans="1:6" x14ac:dyDescent="0.25">
      <c r="A36" s="1071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5">
      <c r="A37" s="1072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5">
      <c r="A38" s="1072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5">
      <c r="A39" s="1072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5">
      <c r="A40" s="1072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5">
      <c r="A41" s="1072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5">
      <c r="A42" s="1072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5">
      <c r="A43" s="1072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5">
      <c r="A44" s="1072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5">
      <c r="A45" s="1072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5">
      <c r="A46" s="1072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5">
      <c r="A47" s="1072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5">
      <c r="A48" s="1072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5">
      <c r="A49" s="1072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5">
      <c r="A50" s="1072"/>
      <c r="B50" s="339" t="s">
        <v>266</v>
      </c>
      <c r="C50" s="322">
        <v>11531</v>
      </c>
      <c r="D50" s="300"/>
      <c r="E50" s="314"/>
      <c r="F50" s="329"/>
    </row>
    <row r="51" spans="1:6" ht="13.8" thickBot="1" x14ac:dyDescent="0.3">
      <c r="A51" s="1073"/>
      <c r="B51" s="339" t="s">
        <v>146</v>
      </c>
      <c r="C51" s="322">
        <v>10105</v>
      </c>
      <c r="D51" s="300"/>
      <c r="E51" s="314"/>
      <c r="F51" s="329"/>
    </row>
    <row r="52" spans="1:6" x14ac:dyDescent="0.25">
      <c r="A52" s="1071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5">
      <c r="A53" s="1072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5">
      <c r="A54" s="1072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5">
      <c r="A55" s="1072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5">
      <c r="A56" s="1072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5">
      <c r="A57" s="1072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5">
      <c r="A58" s="1072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5">
      <c r="A59" s="1072"/>
      <c r="B59" s="341" t="s">
        <v>266</v>
      </c>
      <c r="C59" s="327">
        <v>7854</v>
      </c>
      <c r="D59" s="327"/>
      <c r="E59" s="328"/>
      <c r="F59" s="336"/>
    </row>
    <row r="60" spans="1:6" x14ac:dyDescent="0.25">
      <c r="A60" s="1072"/>
      <c r="B60" s="339" t="s">
        <v>139</v>
      </c>
      <c r="C60" s="322"/>
      <c r="D60" s="322">
        <v>328</v>
      </c>
      <c r="E60" s="337"/>
      <c r="F60" s="315"/>
    </row>
    <row r="61" spans="1:6" ht="13.8" thickBot="1" x14ac:dyDescent="0.3">
      <c r="A61" s="1073"/>
      <c r="B61" s="340" t="s">
        <v>133</v>
      </c>
      <c r="C61" s="323"/>
      <c r="D61" s="323">
        <v>1254</v>
      </c>
      <c r="E61" s="338"/>
      <c r="F61" s="317"/>
    </row>
    <row r="62" spans="1:6" x14ac:dyDescent="0.25">
      <c r="A62" s="1071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5">
      <c r="A63" s="1072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5">
      <c r="A64" s="1072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5">
      <c r="A65" s="1072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5">
      <c r="A66" s="1072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5">
      <c r="A67" s="1072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5">
      <c r="A68" s="1072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5">
      <c r="A69" s="1072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5">
      <c r="A70" s="1072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5">
      <c r="A71" s="1072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5">
      <c r="A72" s="1072"/>
      <c r="B72" s="341" t="s">
        <v>266</v>
      </c>
      <c r="C72" s="327">
        <v>16719</v>
      </c>
      <c r="D72" s="327"/>
      <c r="E72" s="328"/>
      <c r="F72" s="336"/>
    </row>
    <row r="73" spans="1:23" x14ac:dyDescent="0.25">
      <c r="A73" s="1072"/>
      <c r="B73" s="339" t="s">
        <v>146</v>
      </c>
      <c r="C73" s="322">
        <v>14638</v>
      </c>
      <c r="D73" s="322"/>
      <c r="E73" s="314"/>
      <c r="F73" s="329"/>
    </row>
    <row r="74" spans="1:23" ht="13.8" thickBot="1" x14ac:dyDescent="0.3">
      <c r="A74" s="1073"/>
      <c r="B74" s="340" t="s">
        <v>133</v>
      </c>
      <c r="C74" s="323"/>
      <c r="D74" s="323">
        <v>2665</v>
      </c>
      <c r="E74" s="338"/>
      <c r="F74" s="317"/>
    </row>
    <row r="75" spans="1:23" x14ac:dyDescent="0.25">
      <c r="A75" s="1071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5">
      <c r="A76" s="1072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8" thickBot="1" x14ac:dyDescent="0.3">
      <c r="A77" s="1072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8" thickBot="1" x14ac:dyDescent="0.3">
      <c r="A78" s="1072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x14ac:dyDescent="0.25">
      <c r="A79" s="1072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5">
      <c r="A80" s="1072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5">
      <c r="A81" s="1072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8" thickBot="1" x14ac:dyDescent="0.3">
      <c r="A82" s="1072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8" thickBot="1" x14ac:dyDescent="0.3">
      <c r="A83" s="1072"/>
      <c r="B83" s="339" t="s">
        <v>137</v>
      </c>
      <c r="C83" s="322"/>
      <c r="D83" s="322">
        <v>485</v>
      </c>
      <c r="E83" s="337"/>
      <c r="F83" s="315"/>
      <c r="H83" s="1062" t="s">
        <v>129</v>
      </c>
      <c r="I83" s="1084" t="s">
        <v>304</v>
      </c>
      <c r="J83" s="1085"/>
      <c r="K83" s="1085"/>
      <c r="L83" s="1086"/>
      <c r="M83" s="487"/>
      <c r="N83" s="1062" t="s">
        <v>129</v>
      </c>
      <c r="O83" s="1074" t="s">
        <v>297</v>
      </c>
      <c r="P83" s="1075"/>
      <c r="Q83" s="1075"/>
      <c r="R83" s="1076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5">
      <c r="A84" s="1072"/>
      <c r="B84" s="339" t="s">
        <v>139</v>
      </c>
      <c r="C84" s="322"/>
      <c r="D84" s="322">
        <v>342</v>
      </c>
      <c r="E84" s="337"/>
      <c r="F84" s="315"/>
      <c r="H84" s="1083"/>
      <c r="I84" s="442" t="s">
        <v>295</v>
      </c>
      <c r="J84" s="1097" t="s">
        <v>296</v>
      </c>
      <c r="K84" s="1098"/>
      <c r="L84" s="1066" t="s">
        <v>131</v>
      </c>
      <c r="M84" s="255"/>
      <c r="N84" s="1083"/>
      <c r="O84" s="442" t="s">
        <v>295</v>
      </c>
      <c r="P84" s="1079" t="s">
        <v>296</v>
      </c>
      <c r="Q84" s="1080"/>
      <c r="R84" s="1066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8" thickBot="1" x14ac:dyDescent="0.3">
      <c r="A85" s="1073"/>
      <c r="B85" s="340" t="s">
        <v>133</v>
      </c>
      <c r="C85" s="323"/>
      <c r="D85" s="323">
        <v>1311</v>
      </c>
      <c r="E85" s="338"/>
      <c r="F85" s="317"/>
      <c r="H85" s="1063"/>
      <c r="I85" s="443" t="s">
        <v>298</v>
      </c>
      <c r="J85" s="447" t="s">
        <v>299</v>
      </c>
      <c r="K85" s="448" t="s">
        <v>300</v>
      </c>
      <c r="L85" s="1067"/>
      <c r="M85" s="255"/>
      <c r="N85" s="1063"/>
      <c r="O85" s="443" t="s">
        <v>298</v>
      </c>
      <c r="P85" s="447" t="s">
        <v>299</v>
      </c>
      <c r="Q85" s="448" t="s">
        <v>300</v>
      </c>
      <c r="R85" s="1067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3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4249.824790538114</v>
      </c>
      <c r="F86" s="305">
        <f>'PFF-Zones'!I85</f>
        <v>849.96495810762281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5">
      <c r="A87" s="483"/>
      <c r="B87" s="287" t="str">
        <f>'PFF-Zones'!B86</f>
        <v>CMU</v>
      </c>
      <c r="C87" s="288">
        <v>23974</v>
      </c>
      <c r="D87" s="298"/>
      <c r="E87" s="288">
        <f>'PFF-Zones'!H86</f>
        <v>12749.474371614348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1069680.8997784439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5">
      <c r="A88" s="483"/>
      <c r="B88" s="287" t="str">
        <f>'PFF-Zones'!B87</f>
        <v>GC</v>
      </c>
      <c r="C88" s="288">
        <v>23974</v>
      </c>
      <c r="D88" s="298"/>
      <c r="E88" s="288">
        <f>'PFF-Zones'!H87</f>
        <v>12749.474371614346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2209483.9086007662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5">
      <c r="A89" s="483"/>
      <c r="B89" s="283" t="str">
        <f>'PFF-Zones'!B88</f>
        <v>HDR</v>
      </c>
      <c r="C89" s="299"/>
      <c r="D89" s="300">
        <v>870</v>
      </c>
      <c r="E89" s="360">
        <f>'PFF-Zones'!H88</f>
        <v>9207.9537128325828</v>
      </c>
      <c r="F89" s="307">
        <f>'PFF-Zones'!I88</f>
        <v>541.64433604897545</v>
      </c>
      <c r="H89" s="491" t="str">
        <f t="shared" si="0"/>
        <v>HDR</v>
      </c>
      <c r="I89" s="493">
        <v>25.7</v>
      </c>
      <c r="J89" s="452"/>
      <c r="K89" s="492">
        <f>$F$89*L89</f>
        <v>236644.41041979735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423565.8707902988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5">
      <c r="A90" s="485"/>
      <c r="B90" s="287" t="str">
        <f>'PFF-Zones'!B89</f>
        <v>HI</v>
      </c>
      <c r="C90" s="288">
        <v>18657</v>
      </c>
      <c r="D90" s="298"/>
      <c r="E90" s="288">
        <f>'PFF-Zones'!H89</f>
        <v>9916.2578445889339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2449315.6876134668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5">
      <c r="A91" s="485"/>
      <c r="B91" s="283" t="str">
        <f>'PFF-Zones'!B90</f>
        <v>LDR</v>
      </c>
      <c r="C91" s="299"/>
      <c r="D91" s="300">
        <v>1368</v>
      </c>
      <c r="E91" s="360">
        <f>'PFF-Zones'!H90</f>
        <v>4249.8247905381149</v>
      </c>
      <c r="F91" s="307">
        <f>'PFF-Zones'!I90</f>
        <v>849.96495810762303</v>
      </c>
      <c r="H91" s="491" t="str">
        <f t="shared" si="0"/>
        <v>LDR</v>
      </c>
      <c r="I91" s="493">
        <v>57.6</v>
      </c>
      <c r="J91" s="452"/>
      <c r="K91" s="492">
        <f>$F$91*L91</f>
        <v>244789.90793499543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1404142.1107937933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5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9916.2578445889339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5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7083.0413175635249</v>
      </c>
      <c r="F93" s="307">
        <f>'PFF-Zones'!I92</f>
        <v>708.30413175635249</v>
      </c>
      <c r="H93" s="491" t="str">
        <f t="shared" si="0"/>
        <v>MDR</v>
      </c>
      <c r="I93" s="493">
        <v>41.2</v>
      </c>
      <c r="J93" s="452"/>
      <c r="K93" s="492">
        <f>$F$93*L93</f>
        <v>291821.3022836172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432773.82450313139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5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12749.474371614346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5">
      <c r="A95" s="483"/>
      <c r="B95" s="287" t="str">
        <f>'PFF-Zones'!B94</f>
        <v>P</v>
      </c>
      <c r="C95" s="321"/>
      <c r="D95" s="298"/>
      <c r="E95" s="288">
        <f>'PFF-Zones'!H94</f>
        <v>1416.6082635127052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96754.344397917768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5">
      <c r="A96" s="483"/>
      <c r="B96" s="287" t="str">
        <f>'PFF-Zones'!B95</f>
        <v>PQP</v>
      </c>
      <c r="C96" s="321"/>
      <c r="D96" s="298"/>
      <c r="E96" s="288">
        <f>'PFF-Zones'!H95</f>
        <v>1416.6082635127052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37115.136504032875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5">
      <c r="A97" s="483"/>
      <c r="B97" s="287" t="str">
        <f>'PFF-Zones'!B96</f>
        <v>UR</v>
      </c>
      <c r="C97" s="299"/>
      <c r="D97" s="300">
        <v>1368</v>
      </c>
      <c r="E97" s="360">
        <f>'PFF-Zones'!H96</f>
        <v>4249.8247905381158</v>
      </c>
      <c r="F97" s="307">
        <f>'PFF-Zones'!I96</f>
        <v>849.96495810762315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5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4249.8247905381149</v>
      </c>
      <c r="F98" s="307">
        <f>'PFF-Zones'!I97</f>
        <v>849.96495810762303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5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9916.2578445889358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5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12749.474371614344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5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4249.8247905381149</v>
      </c>
      <c r="F101" s="307">
        <f>'PFF-Zones'!I100</f>
        <v>849.96495810762303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5">
      <c r="A102" s="483"/>
      <c r="B102" s="287" t="str">
        <f>'PFF-Zones'!B101</f>
        <v>UR-P</v>
      </c>
      <c r="C102" s="321"/>
      <c r="D102" s="298"/>
      <c r="E102" s="288">
        <f>'PFF-Zones'!H101</f>
        <v>1416.608263512705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5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4249.8247905381149</v>
      </c>
      <c r="F103" s="307">
        <f>'PFF-Zones'!I102</f>
        <v>2124.9123952690575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8" outlineLevel="1" thickBot="1" x14ac:dyDescent="0.3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4249.8247905381149</v>
      </c>
      <c r="F104" s="307">
        <f>'PFF-Zones'!I103</f>
        <v>2124.9123952690575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8" thickBot="1" x14ac:dyDescent="0.3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773255.62063840998</v>
      </c>
      <c r="L105" s="1081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5862349.9768946273</v>
      </c>
      <c r="Q105" s="454">
        <f>Q89+Q91+Q93+Q104</f>
        <v>2260481.8060872233</v>
      </c>
      <c r="R105" s="1062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8" thickBot="1" x14ac:dyDescent="0.3">
      <c r="A106" s="363"/>
      <c r="B106" s="364"/>
      <c r="C106" s="365"/>
      <c r="D106" s="365"/>
      <c r="E106" s="366"/>
      <c r="F106" s="366"/>
      <c r="H106" s="1074" t="s">
        <v>0</v>
      </c>
      <c r="I106" s="1076"/>
      <c r="J106" s="1087">
        <f>SUM(J105:K105)</f>
        <v>773255.62063840998</v>
      </c>
      <c r="K106" s="1088"/>
      <c r="L106" s="1082"/>
      <c r="M106" s="422"/>
      <c r="N106" s="1064" t="s">
        <v>0</v>
      </c>
      <c r="O106" s="1065"/>
      <c r="P106" s="1077">
        <f>SUM(P105:Q105)</f>
        <v>8122831.7829818502</v>
      </c>
      <c r="Q106" s="1078"/>
      <c r="R106" s="1063"/>
    </row>
    <row r="107" spans="1:23" ht="12.75" hidden="1" customHeight="1" x14ac:dyDescent="0.25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5">
      <c r="A108" s="1071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5">
      <c r="A109" s="1072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5">
      <c r="A110" s="1072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5">
      <c r="A111" s="1072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5">
      <c r="A112" s="1072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5">
      <c r="A113" s="1072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5">
      <c r="A114" s="1072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8" thickBot="1" x14ac:dyDescent="0.3">
      <c r="A115" s="1073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3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3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3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3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8" thickBot="1" x14ac:dyDescent="0.3">
      <c r="E120" s="311"/>
      <c r="F120" s="311"/>
    </row>
    <row r="121" spans="1:16" x14ac:dyDescent="0.25">
      <c r="A121" s="1071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5">
      <c r="A122" s="1072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5">
      <c r="A123" s="1072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5">
      <c r="A124" s="1072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5">
      <c r="A125" s="1072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5">
      <c r="A126" s="1072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5">
      <c r="A127" s="1072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5">
      <c r="A128" s="1072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5">
      <c r="A129" s="1072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5">
      <c r="A130" s="1072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5">
      <c r="A131" s="1072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5">
      <c r="A132" s="1072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5">
      <c r="A133" s="1072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5">
      <c r="A134" s="1072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5">
      <c r="A135" s="1072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5">
      <c r="A136" s="1072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5">
      <c r="A137" s="1072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8" thickBot="1" x14ac:dyDescent="0.3">
      <c r="A138" s="1073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6" x14ac:dyDescent="0.25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5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5">
      <c r="E141" s="311"/>
      <c r="F141" s="311"/>
    </row>
    <row r="142" spans="1:18" x14ac:dyDescent="0.25">
      <c r="E142" s="311"/>
      <c r="F142" s="311"/>
    </row>
    <row r="143" spans="1:18" x14ac:dyDescent="0.25">
      <c r="E143" s="311"/>
      <c r="F143" s="311"/>
    </row>
    <row r="144" spans="1:18" x14ac:dyDescent="0.25">
      <c r="E144" s="311"/>
      <c r="F144" s="311"/>
    </row>
    <row r="145" spans="5:6" x14ac:dyDescent="0.25">
      <c r="E145" s="311"/>
      <c r="F145" s="311"/>
    </row>
    <row r="146" spans="5:6" x14ac:dyDescent="0.25">
      <c r="E146" s="311"/>
      <c r="F146" s="311"/>
    </row>
    <row r="147" spans="5:6" x14ac:dyDescent="0.25">
      <c r="E147" s="311"/>
      <c r="F147" s="311"/>
    </row>
    <row r="148" spans="5:6" x14ac:dyDescent="0.25">
      <c r="E148" s="311"/>
      <c r="F148" s="311"/>
    </row>
    <row r="149" spans="5:6" x14ac:dyDescent="0.25">
      <c r="E149" s="311"/>
      <c r="F149" s="311"/>
    </row>
    <row r="150" spans="5:6" x14ac:dyDescent="0.25">
      <c r="E150" s="311"/>
      <c r="F150" s="311"/>
    </row>
    <row r="151" spans="5:6" x14ac:dyDescent="0.25">
      <c r="E151" s="311"/>
      <c r="F151" s="311"/>
    </row>
    <row r="152" spans="5:6" x14ac:dyDescent="0.25">
      <c r="E152" s="311"/>
      <c r="F152" s="311"/>
    </row>
    <row r="153" spans="5:6" x14ac:dyDescent="0.25">
      <c r="E153" s="311"/>
      <c r="F153" s="311"/>
    </row>
    <row r="154" spans="5:6" x14ac:dyDescent="0.25">
      <c r="E154" s="311"/>
      <c r="F154" s="311"/>
    </row>
    <row r="155" spans="5:6" x14ac:dyDescent="0.25">
      <c r="E155" s="311"/>
      <c r="F155" s="311"/>
    </row>
    <row r="156" spans="5:6" x14ac:dyDescent="0.25">
      <c r="E156" s="311"/>
      <c r="F156" s="311"/>
    </row>
    <row r="157" spans="5:6" x14ac:dyDescent="0.25">
      <c r="E157" s="311"/>
      <c r="F157" s="311"/>
    </row>
    <row r="158" spans="5:6" x14ac:dyDescent="0.25">
      <c r="E158" s="311"/>
      <c r="F158" s="311"/>
    </row>
    <row r="159" spans="5:6" x14ac:dyDescent="0.25">
      <c r="E159" s="311"/>
      <c r="F159" s="311"/>
    </row>
    <row r="160" spans="5:6" x14ac:dyDescent="0.25">
      <c r="E160" s="311"/>
      <c r="F160" s="311"/>
    </row>
  </sheetData>
  <mergeCells count="26"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09375" defaultRowHeight="13.2" x14ac:dyDescent="0.25"/>
  <cols>
    <col min="1" max="1" width="6.5546875" style="45" customWidth="1"/>
    <col min="2" max="2" width="9.109375" style="45"/>
    <col min="3" max="3" width="10.6640625" style="45" customWidth="1"/>
    <col min="4" max="4" width="15.6640625" style="45" customWidth="1"/>
    <col min="5" max="5" width="19.33203125" style="45" customWidth="1"/>
    <col min="6" max="6" width="19" style="45" customWidth="1"/>
    <col min="7" max="16384" width="9.109375" style="45"/>
  </cols>
  <sheetData>
    <row r="2" spans="2:6" ht="15.6" x14ac:dyDescent="0.25">
      <c r="B2" s="387" t="s">
        <v>318</v>
      </c>
    </row>
    <row r="3" spans="2:6" x14ac:dyDescent="0.25">
      <c r="F3" s="505">
        <v>40610</v>
      </c>
    </row>
    <row r="4" spans="2:6" ht="9.75" customHeight="1" thickBot="1" x14ac:dyDescent="0.3">
      <c r="B4" s="46"/>
      <c r="C4" s="46"/>
      <c r="D4" s="46"/>
    </row>
    <row r="5" spans="2:6" ht="16.5" customHeight="1" x14ac:dyDescent="0.25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3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5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5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5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3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3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5">
      <c r="B13" s="45" t="s">
        <v>319</v>
      </c>
    </row>
    <row r="14" spans="2:6" x14ac:dyDescent="0.25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6" topLeftCell="A88" activePane="bottomLeft"/>
      <selection activeCell="I68" sqref="I68"/>
      <selection pane="bottomLeft" activeCell="Y116" sqref="Y116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8.6640625" style="112" customWidth="1"/>
    <col min="4" max="4" width="9.109375" style="98"/>
    <col min="5" max="5" width="9.109375" style="99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9.109375" style="46"/>
    <col min="19" max="19" width="9.44140625" style="46" bestFit="1" customWidth="1"/>
    <col min="20" max="22" width="9.109375" style="45"/>
    <col min="23" max="23" width="9.44140625" style="45" bestFit="1" customWidth="1"/>
    <col min="24" max="16384" width="9.109375" style="45"/>
  </cols>
  <sheetData>
    <row r="1" spans="1:24" x14ac:dyDescent="0.25">
      <c r="A1" s="277" t="s">
        <v>343</v>
      </c>
    </row>
    <row r="2" spans="1:24" ht="40.5" customHeight="1" x14ac:dyDescent="0.25">
      <c r="A2" s="174" t="s">
        <v>533</v>
      </c>
      <c r="B2" s="174" t="s">
        <v>121</v>
      </c>
      <c r="C2" s="278" t="s">
        <v>534</v>
      </c>
      <c r="D2" s="175" t="str">
        <f>VLOOKUP(B2,O113:P138,2,FALSE)</f>
        <v>C</v>
      </c>
      <c r="E2" s="176" t="s">
        <v>122</v>
      </c>
      <c r="F2" s="177" t="s">
        <v>535</v>
      </c>
      <c r="G2" s="178" t="s">
        <v>124</v>
      </c>
      <c r="H2" s="178" t="s">
        <v>536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60" t="s">
        <v>537</v>
      </c>
      <c r="P2" s="960"/>
      <c r="Q2" s="157"/>
      <c r="V2" s="572"/>
    </row>
    <row r="3" spans="1:24" x14ac:dyDescent="0.25">
      <c r="A3" s="961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64">
        <f>SUM(C3:C11)</f>
        <v>2521.8076449999999</v>
      </c>
      <c r="M3" s="950">
        <f>SUM(E3:E11)/L3</f>
        <v>0.34745854674415505</v>
      </c>
      <c r="N3" s="950">
        <f>L3*M3</f>
        <v>876.22361950000004</v>
      </c>
      <c r="O3" s="933">
        <f>SUM(P4:P10)</f>
        <v>991849.8031010672</v>
      </c>
      <c r="P3" s="933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5">
      <c r="A4" s="962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65"/>
      <c r="M4" s="951"/>
      <c r="N4" s="951"/>
      <c r="O4" s="147" t="s">
        <v>202</v>
      </c>
      <c r="P4" s="147">
        <f>SUM(North!J49:M49)</f>
        <v>0</v>
      </c>
      <c r="Q4" s="934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5">
      <c r="A5" s="962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65"/>
      <c r="M5" s="951"/>
      <c r="N5" s="951"/>
      <c r="O5" s="147" t="s">
        <v>206</v>
      </c>
      <c r="P5" s="245">
        <f>N3/($N$3+$N$15+$N$34+$N$50+$N$61+$N$75+$N$87)*'Future Improve'!$D$8</f>
        <v>174883.54851369286</v>
      </c>
      <c r="Q5" s="934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5">
      <c r="A6" s="962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65"/>
      <c r="M6" s="951"/>
      <c r="N6" s="951"/>
      <c r="O6" s="147" t="s">
        <v>219</v>
      </c>
      <c r="P6" s="147">
        <f>'Levee &amp; Monitor'!E17</f>
        <v>80000</v>
      </c>
      <c r="Q6" s="934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5">
      <c r="A7" s="962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65"/>
      <c r="M7" s="951"/>
      <c r="N7" s="951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5">
      <c r="A8" s="962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65"/>
      <c r="M8" s="951"/>
      <c r="N8" s="951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5">
      <c r="A9" s="962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65"/>
      <c r="M9" s="951"/>
      <c r="N9" s="951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5">
      <c r="A10" s="962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65"/>
      <c r="M10" s="951"/>
      <c r="N10" s="951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5">
      <c r="A11" s="963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66"/>
      <c r="M11" s="952"/>
      <c r="N11" s="952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5">
      <c r="A13" s="275" t="s">
        <v>323</v>
      </c>
      <c r="B13" s="276"/>
      <c r="C13" s="922" t="s">
        <v>325</v>
      </c>
      <c r="D13" s="922"/>
      <c r="E13" s="922"/>
      <c r="F13" s="922"/>
      <c r="G13" s="923"/>
    </row>
    <row r="14" spans="1:24" x14ac:dyDescent="0.25">
      <c r="A14" s="96"/>
      <c r="B14" s="97"/>
      <c r="C14" s="97"/>
    </row>
    <row r="15" spans="1:24" x14ac:dyDescent="0.25">
      <c r="A15" s="95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1">
        <f>SUM(C15:C31)</f>
        <v>1043.0869425000001</v>
      </c>
      <c r="M15" s="932">
        <f>SUM(E15:E31)/L15</f>
        <v>0.31385408148755545</v>
      </c>
      <c r="N15" s="932">
        <f>L15*M15</f>
        <v>327.37709425000008</v>
      </c>
      <c r="O15" s="933">
        <f>SUM(P16:P23)</f>
        <v>2843522.8007193781</v>
      </c>
      <c r="P15" s="933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5">
      <c r="A16" s="95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1"/>
      <c r="M16" s="932"/>
      <c r="N16" s="932"/>
      <c r="O16" s="147" t="s">
        <v>202</v>
      </c>
      <c r="P16" s="147">
        <f>SUM(North!G60:I60)-North!F9-North!F12</f>
        <v>1012300</v>
      </c>
      <c r="Q16" s="934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5">
      <c r="A17" s="95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1"/>
      <c r="M17" s="932"/>
      <c r="N17" s="932"/>
      <c r="O17" s="147" t="s">
        <v>206</v>
      </c>
      <c r="P17" s="147">
        <f>N15/($N$3+$N$15+$N$34+$N$50+$N$61+$N$75+$N$87)*'Future Improve'!$D$8</f>
        <v>65340.475502374531</v>
      </c>
      <c r="Q17" s="934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5">
      <c r="A18" s="95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1"/>
      <c r="M18" s="932"/>
      <c r="N18" s="932"/>
      <c r="O18" s="147" t="s">
        <v>207</v>
      </c>
      <c r="P18" s="147">
        <f>N15/($N$15+$N$34+$N$50+$N$61+$N$75+$N$87)*'Future Improve'!$D$9</f>
        <v>56806.300127140596</v>
      </c>
      <c r="Q18" s="934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5">
      <c r="A19" s="95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1"/>
      <c r="M19" s="932"/>
      <c r="N19" s="932"/>
      <c r="O19" s="147" t="s">
        <v>219</v>
      </c>
      <c r="P19" s="147">
        <f>'Levee &amp; Monitor'!E18</f>
        <v>80000</v>
      </c>
      <c r="Q19" s="934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5">
      <c r="A20" s="95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1"/>
      <c r="M20" s="932"/>
      <c r="N20" s="932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5">
      <c r="A21" s="95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1"/>
      <c r="M21" s="932"/>
      <c r="N21" s="932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5">
      <c r="A22" s="95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1"/>
      <c r="M22" s="932"/>
      <c r="N22" s="932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5">
      <c r="A23" s="95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1"/>
      <c r="M23" s="932"/>
      <c r="N23" s="932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5">
      <c r="A24" s="95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1"/>
      <c r="M24" s="932"/>
      <c r="N24" s="932"/>
      <c r="O24" s="935"/>
      <c r="P24" s="935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5">
      <c r="A25" s="95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1"/>
      <c r="M25" s="932"/>
      <c r="N25" s="932"/>
      <c r="O25" s="935"/>
      <c r="P25" s="935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5">
      <c r="A26" s="95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1"/>
      <c r="M26" s="932"/>
      <c r="N26" s="932"/>
      <c r="O26" s="935"/>
      <c r="P26" s="935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5">
      <c r="A27" s="95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1"/>
      <c r="M27" s="932"/>
      <c r="N27" s="932"/>
      <c r="O27" s="935"/>
      <c r="P27" s="935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5">
      <c r="A28" s="95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1"/>
      <c r="M28" s="932"/>
      <c r="N28" s="932"/>
      <c r="O28" s="935"/>
      <c r="P28" s="935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5">
      <c r="A29" s="95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1"/>
      <c r="M29" s="932"/>
      <c r="N29" s="932"/>
      <c r="O29" s="935"/>
      <c r="P29" s="935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5">
      <c r="A30" s="95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1"/>
      <c r="M30" s="932"/>
      <c r="N30" s="932"/>
      <c r="O30" s="935"/>
      <c r="P30" s="935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5">
      <c r="A31" s="95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1"/>
      <c r="M31" s="932"/>
      <c r="N31" s="932"/>
      <c r="O31" s="935"/>
      <c r="P31" s="935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5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5">
      <c r="A33" s="105"/>
      <c r="B33" s="97"/>
      <c r="C33" s="97"/>
      <c r="F33" s="158"/>
      <c r="G33" s="160"/>
      <c r="H33" s="106"/>
      <c r="I33" s="106"/>
      <c r="K33" s="259"/>
    </row>
    <row r="34" spans="1:24" x14ac:dyDescent="0.25">
      <c r="A34" s="94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47">
        <f>SUM(C34:C47)</f>
        <v>774.67951749999997</v>
      </c>
      <c r="M34" s="950">
        <f>SUM(E34:E47)/L34</f>
        <v>0.42847904262552028</v>
      </c>
      <c r="N34" s="950">
        <f>L34*M34</f>
        <v>331.93393799999996</v>
      </c>
      <c r="O34" s="933">
        <f>SUM(P35:P43)</f>
        <v>1742434.0679648044</v>
      </c>
      <c r="P34" s="933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5">
      <c r="A35" s="94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48"/>
      <c r="M35" s="951"/>
      <c r="N35" s="951"/>
      <c r="O35" s="147" t="s">
        <v>202</v>
      </c>
      <c r="P35" s="147">
        <v>0</v>
      </c>
      <c r="Q35" s="919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5">
      <c r="A36" s="94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48"/>
      <c r="M36" s="951"/>
      <c r="N36" s="951"/>
      <c r="O36" s="147" t="s">
        <v>206</v>
      </c>
      <c r="P36" s="245">
        <f>N34/($N$3+$N$15+$N$34+$N$50+$N$61+$N$75+$N$87)*'Future Improve'!$D$8</f>
        <v>66249.965942129129</v>
      </c>
      <c r="Q36" s="920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5">
      <c r="A37" s="94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48"/>
      <c r="M37" s="951"/>
      <c r="N37" s="951"/>
      <c r="O37" s="147" t="s">
        <v>207</v>
      </c>
      <c r="P37" s="147">
        <f>N34/($N$15+$N$34+$N$50+$N$61+$N$75+$N$87)*'Future Improve'!$D$9</f>
        <v>57597.001242892155</v>
      </c>
      <c r="Q37" s="920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5">
      <c r="A38" s="94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48"/>
      <c r="M38" s="951"/>
      <c r="N38" s="951"/>
      <c r="O38" s="248" t="s">
        <v>211</v>
      </c>
      <c r="P38" s="248">
        <f>'Future Improve'!D13</f>
        <v>400000</v>
      </c>
      <c r="Q38" s="920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5">
      <c r="A39" s="94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48"/>
      <c r="M39" s="951"/>
      <c r="N39" s="951"/>
      <c r="O39" s="147" t="s">
        <v>219</v>
      </c>
      <c r="P39" s="147">
        <f>'Levee &amp; Monitor'!E19+'Levee &amp; Monitor'!E20</f>
        <v>120000</v>
      </c>
      <c r="Q39" s="921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5">
      <c r="A40" s="94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48"/>
      <c r="M40" s="951"/>
      <c r="N40" s="951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5">
      <c r="A41" s="94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48"/>
      <c r="M41" s="951"/>
      <c r="N41" s="951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5">
      <c r="A42" s="94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48"/>
      <c r="M42" s="951"/>
      <c r="N42" s="951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5">
      <c r="A43" s="94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48"/>
      <c r="M43" s="951"/>
      <c r="N43" s="951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5">
      <c r="A44" s="94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48"/>
      <c r="M44" s="951"/>
      <c r="N44" s="951"/>
      <c r="O44" s="953"/>
      <c r="P44" s="95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5">
      <c r="A45" s="94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48"/>
      <c r="M45" s="951"/>
      <c r="N45" s="951"/>
      <c r="O45" s="955"/>
      <c r="P45" s="95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5">
      <c r="A46" s="94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48"/>
      <c r="M46" s="951"/>
      <c r="N46" s="951"/>
      <c r="O46" s="955"/>
      <c r="P46" s="95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5">
      <c r="A47" s="94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49"/>
      <c r="M47" s="952"/>
      <c r="N47" s="952"/>
      <c r="O47" s="957"/>
      <c r="P47" s="95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5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5">
      <c r="A49" s="105"/>
      <c r="B49" s="109"/>
      <c r="C49" s="110"/>
    </row>
    <row r="50" spans="1:27" x14ac:dyDescent="0.25">
      <c r="A50" s="93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40">
        <f>SUM(C50:C56)</f>
        <v>215.07363000000001</v>
      </c>
      <c r="M50" s="941">
        <f>SUM(E50:E56)/L50</f>
        <v>0.65539114674355947</v>
      </c>
      <c r="N50" s="941">
        <f>L50*M50</f>
        <v>140.95735300000001</v>
      </c>
      <c r="O50" s="942">
        <f>SUM(P51:P59)</f>
        <v>807885.15363329486</v>
      </c>
      <c r="P50" s="94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5">
      <c r="A51" s="93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40"/>
      <c r="M51" s="941"/>
      <c r="N51" s="941"/>
      <c r="O51" s="558" t="s">
        <v>202</v>
      </c>
      <c r="P51" s="558">
        <v>0</v>
      </c>
      <c r="Q51" s="94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5">
      <c r="A52" s="93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40"/>
      <c r="M52" s="941"/>
      <c r="N52" s="941"/>
      <c r="O52" s="558" t="s">
        <v>206</v>
      </c>
      <c r="P52" s="558">
        <f>N50/($N$3+$N$15+$N$34+$N$50+$N$61+$N$75+$N$87)*'Future Improve'!$D$8</f>
        <v>28133.368620905148</v>
      </c>
      <c r="Q52" s="94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5">
      <c r="A53" s="93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40"/>
      <c r="M53" s="941"/>
      <c r="N53" s="941"/>
      <c r="O53" s="558" t="s">
        <v>207</v>
      </c>
      <c r="P53" s="558">
        <f>N50/($N$15+$N$34+$N$50+$N$61+$N$75+$N$87)*'Future Improve'!$D$9</f>
        <v>24458.845289678662</v>
      </c>
      <c r="Q53" s="94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5">
      <c r="A54" s="93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40"/>
      <c r="M54" s="941"/>
      <c r="N54" s="941"/>
      <c r="O54" s="558" t="s">
        <v>209</v>
      </c>
      <c r="P54" s="558">
        <f>N50/($N$50+$N$61+$N$75+$N$87)*'Future Improve'!$D$10</f>
        <v>26958.242342445115</v>
      </c>
      <c r="Q54" s="94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5">
      <c r="A55" s="93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40"/>
      <c r="M55" s="941"/>
      <c r="N55" s="941"/>
      <c r="O55" s="558" t="s">
        <v>219</v>
      </c>
      <c r="P55" s="558">
        <f>'Levee &amp; Monitor'!E21</f>
        <v>80000</v>
      </c>
      <c r="Q55" s="94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5">
      <c r="A56" s="93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40"/>
      <c r="M56" s="941"/>
      <c r="N56" s="94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5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5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5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5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5">
      <c r="A61" s="916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1">
        <f>SUM(C61:C71)</f>
        <v>880.19896999999992</v>
      </c>
      <c r="M61" s="932">
        <f>SUM(E61:E71)/L61</f>
        <v>0.59850774706087184</v>
      </c>
      <c r="N61" s="932">
        <f>L61*M61</f>
        <v>526.80590249999989</v>
      </c>
      <c r="O61" s="933">
        <f>SUM(P62:P72)</f>
        <v>3125848.3859058586</v>
      </c>
      <c r="P61" s="933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5">
      <c r="A62" s="917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1"/>
      <c r="M62" s="932"/>
      <c r="N62" s="932"/>
      <c r="O62" s="147" t="s">
        <v>202</v>
      </c>
      <c r="P62" s="147">
        <v>0</v>
      </c>
      <c r="Q62" s="919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5">
      <c r="A63" s="917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1"/>
      <c r="M63" s="932"/>
      <c r="N63" s="932"/>
      <c r="O63" s="147" t="s">
        <v>206</v>
      </c>
      <c r="P63" s="147">
        <f>N61/($N$3+$N$15+$N$34+$N$50-$N$50+$N$61+$N$75-$N$75+$N$87)*('Future Improve'!D8)</f>
        <v>117141.19001086902</v>
      </c>
      <c r="Q63" s="920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5">
      <c r="A64" s="917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1"/>
      <c r="M64" s="932"/>
      <c r="N64" s="932"/>
      <c r="O64" s="147" t="s">
        <v>207</v>
      </c>
      <c r="P64" s="147">
        <f>N61/($N$15+$N$34+$N$50-$N$50+$N$61+$N$75-$N$75+$N$87)*('Future Improve'!D9)</f>
        <v>105501.83340788724</v>
      </c>
      <c r="Q64" s="920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5">
      <c r="A65" s="917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1"/>
      <c r="M65" s="932"/>
      <c r="N65" s="932"/>
      <c r="O65" s="147" t="s">
        <v>209</v>
      </c>
      <c r="P65" s="147">
        <f>N61/($N$50-$N$50+$N$61+$N$75-$N$75+$N$87)*('Future Improve'!D10)</f>
        <v>121855.81146136046</v>
      </c>
      <c r="Q65" s="920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5">
      <c r="A66" s="917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1"/>
      <c r="M66" s="932"/>
      <c r="N66" s="932"/>
      <c r="O66" s="147" t="s">
        <v>210</v>
      </c>
      <c r="P66" s="147">
        <f>N61/($N$75+$N$87)*('Future Improve'!D11)</f>
        <v>76253.065880755734</v>
      </c>
      <c r="Q66" s="920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5">
      <c r="A67" s="917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1"/>
      <c r="M67" s="932"/>
      <c r="N67" s="932"/>
      <c r="O67" s="147" t="s">
        <v>212</v>
      </c>
      <c r="P67" s="147">
        <f>'Future Improve'!D14</f>
        <v>700000</v>
      </c>
      <c r="Q67" s="920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5">
      <c r="A68" s="917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1"/>
      <c r="M68" s="932"/>
      <c r="N68" s="932"/>
      <c r="O68" s="147" t="s">
        <v>219</v>
      </c>
      <c r="P68" s="147">
        <f>SUM('Levee &amp; Monitor'!E21:E23)</f>
        <v>240000</v>
      </c>
      <c r="Q68" s="921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5">
      <c r="A69" s="917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1"/>
      <c r="M69" s="932"/>
      <c r="N69" s="932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5">
      <c r="A70" s="917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1"/>
      <c r="M70" s="932"/>
      <c r="N70" s="932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5">
      <c r="A71" s="918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1"/>
      <c r="M71" s="932"/>
      <c r="N71" s="932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5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5">
      <c r="A73" s="275" t="s">
        <v>323</v>
      </c>
      <c r="B73" s="276"/>
      <c r="C73" s="922" t="s">
        <v>325</v>
      </c>
      <c r="D73" s="922"/>
      <c r="E73" s="922"/>
      <c r="F73" s="922"/>
      <c r="G73" s="923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5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5">
      <c r="A75" s="93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40">
        <f>SUM(C75:C81)</f>
        <v>366.58715000000001</v>
      </c>
      <c r="M75" s="941">
        <f>SUM(E75:E81)/L75</f>
        <v>0.6653168366648966</v>
      </c>
      <c r="N75" s="941">
        <f>L75*M75</f>
        <v>243.89660299999997</v>
      </c>
      <c r="O75" s="942">
        <f>SUM(P76:P85)</f>
        <v>1142491.3686931883</v>
      </c>
      <c r="P75" s="94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5">
      <c r="A76" s="93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40"/>
      <c r="M76" s="941"/>
      <c r="N76" s="941"/>
      <c r="O76" s="558" t="s">
        <v>202</v>
      </c>
      <c r="P76" s="558">
        <v>0</v>
      </c>
      <c r="Q76" s="94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5">
      <c r="A77" s="93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40"/>
      <c r="M77" s="941"/>
      <c r="N77" s="941"/>
      <c r="O77" s="558" t="s">
        <v>206</v>
      </c>
      <c r="P77" s="558">
        <f>N75/($N$3+$N$15+$N$34+$N$50+$N$61+$N$75+$N$87)*'Future Improve'!$D$8</f>
        <v>48678.787530761583</v>
      </c>
      <c r="Q77" s="94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5">
      <c r="A78" s="93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40"/>
      <c r="M78" s="941"/>
      <c r="N78" s="941"/>
      <c r="O78" s="558" t="s">
        <v>207</v>
      </c>
      <c r="P78" s="558">
        <f>N75/($N$15+$N$34+$N$50+$N$61+$N$75+$N$87)*'Future Improve'!$D$9</f>
        <v>42320.809468202599</v>
      </c>
      <c r="Q78" s="94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5">
      <c r="A79" s="93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40"/>
      <c r="M79" s="941"/>
      <c r="N79" s="941"/>
      <c r="O79" s="558" t="s">
        <v>209</v>
      </c>
      <c r="P79" s="558">
        <f>N75/($N$50+$N$61+$N$75+$N$87)*'Future Improve'!$D$10</f>
        <v>46645.482411783974</v>
      </c>
      <c r="Q79" s="94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5">
      <c r="A80" s="93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40"/>
      <c r="M80" s="941"/>
      <c r="N80" s="941"/>
      <c r="O80" s="558" t="s">
        <v>210</v>
      </c>
      <c r="P80" s="558">
        <f>N75/($N$75+$N$87)*'Future Improve'!$D$11</f>
        <v>35303.066363519967</v>
      </c>
      <c r="Q80" s="94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5">
      <c r="A81" s="93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40"/>
      <c r="M81" s="941"/>
      <c r="N81" s="941"/>
      <c r="O81" s="558" t="s">
        <v>219</v>
      </c>
      <c r="P81" s="558">
        <f>'Levee &amp; Monitor'!E23+'Levee &amp; Monitor'!E25+'Levee &amp; Monitor'!E26</f>
        <v>160000</v>
      </c>
      <c r="Q81" s="94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5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5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5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5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9.6" x14ac:dyDescent="0.25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5">
      <c r="A87" s="936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218734.61581803183</v>
      </c>
      <c r="H87" s="92">
        <f t="shared" si="14"/>
        <v>4418.8313599908815</v>
      </c>
      <c r="I87" s="95">
        <f>H87/(VLOOKUP(B87,$O$124:$Q$149,3,FALSE))</f>
        <v>883.76627199817631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37">
        <f>SUM(C87:C105)</f>
        <v>3306.3592137499995</v>
      </c>
      <c r="M87" s="932">
        <f>SUM(E87:E105)/L87</f>
        <v>0.39637257513487262</v>
      </c>
      <c r="N87" s="932">
        <f>L87*M87</f>
        <v>1310.5501158750001</v>
      </c>
      <c r="O87" s="933">
        <f>SUM(P88:P98)</f>
        <v>19303666.502893783</v>
      </c>
      <c r="P87" s="933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5">
      <c r="A88" s="936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527881.94585578132</v>
      </c>
      <c r="H88" s="93">
        <f t="shared" si="14"/>
        <v>13256.49407997265</v>
      </c>
      <c r="I88" s="92"/>
      <c r="J88" s="230"/>
      <c r="K88" s="228">
        <f>C88*VLOOKUP(B88,$O$124:$R$149,4,FALSE)</f>
        <v>702.83411949999993</v>
      </c>
      <c r="L88" s="937"/>
      <c r="M88" s="932"/>
      <c r="N88" s="932"/>
      <c r="O88" s="147" t="s">
        <v>202</v>
      </c>
      <c r="P88" s="147">
        <f>'South &amp; Levee'!G53-'South &amp; Levee'!F9</f>
        <v>6905010.0440263152</v>
      </c>
      <c r="Q88" s="934">
        <f>SUM(P88:P94)</f>
        <v>9744326.8516279105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5">
      <c r="A89" s="936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1022159.2757610654</v>
      </c>
      <c r="H89" s="93">
        <f t="shared" ref="H89:H105" si="52">G89/C89</f>
        <v>13256.494079972648</v>
      </c>
      <c r="I89" s="92"/>
      <c r="J89" s="230"/>
      <c r="K89" s="228">
        <f>C89*VLOOKUP(B89,$O$124:$R$149,4,FALSE)</f>
        <v>1360.9262832500001</v>
      </c>
      <c r="L89" s="937"/>
      <c r="M89" s="932"/>
      <c r="N89" s="932"/>
      <c r="O89" s="147" t="s">
        <v>206</v>
      </c>
      <c r="P89" s="147">
        <f>N87/($N$3+$N$15+$N$34+$N$50+$N$61+$N$75+$N$87)*'Future Improve'!$D$8</f>
        <v>261569.82038447706</v>
      </c>
      <c r="Q89" s="934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5">
      <c r="A90" s="936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373057.97429334017</v>
      </c>
      <c r="H90" s="92">
        <f t="shared" si="52"/>
        <v>9574.1346133135776</v>
      </c>
      <c r="I90" s="95">
        <f>H90/(VLOOKUP(B90,$O$124:$Q$149,3,FALSE))</f>
        <v>563.1843890184457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37"/>
      <c r="M90" s="932"/>
      <c r="N90" s="932"/>
      <c r="O90" s="147" t="s">
        <v>207</v>
      </c>
      <c r="P90" s="147">
        <f>N87/($N$15+$N$34+$N$50+$N$61+$N$75+$N$87)*'Future Improve'!$D$9</f>
        <v>227405.96248680315</v>
      </c>
      <c r="Q90" s="934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5">
      <c r="A91" s="936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2547914.0331400437</v>
      </c>
      <c r="H91" s="93">
        <f t="shared" si="52"/>
        <v>10310.60650664539</v>
      </c>
      <c r="I91" s="92"/>
      <c r="J91" s="230"/>
      <c r="K91" s="228">
        <f>C91*VLOOKUP(B91,$O$124:$R$149,4,FALSE)</f>
        <v>3392.9002772500007</v>
      </c>
      <c r="L91" s="937"/>
      <c r="M91" s="932"/>
      <c r="N91" s="932"/>
      <c r="O91" s="147" t="s">
        <v>209</v>
      </c>
      <c r="P91" s="147">
        <f>N87/($N$50+$N$61+$N$75+$N$87)*'Future Improve'!$D$10</f>
        <v>250644.09109383446</v>
      </c>
      <c r="Q91" s="934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5">
      <c r="A92" s="936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6233397.2821582751</v>
      </c>
      <c r="H92" s="92">
        <f t="shared" si="52"/>
        <v>4418.8313599908824</v>
      </c>
      <c r="I92" s="95">
        <f>H92/(VLOOKUP(B92,$O$124:$Q$149,3,FALSE))</f>
        <v>883.76627199817653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37"/>
      <c r="M92" s="932"/>
      <c r="N92" s="932"/>
      <c r="O92" s="147" t="s">
        <v>210</v>
      </c>
      <c r="P92" s="147">
        <f>N87/($N$75+$N$87)*'Future Improve'!$D$11</f>
        <v>189696.93363648004</v>
      </c>
      <c r="Q92" s="934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5">
      <c r="A93" s="936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34488.153916208306</v>
      </c>
      <c r="H93" s="93">
        <f t="shared" si="52"/>
        <v>10310.606506645392</v>
      </c>
      <c r="I93" s="92"/>
      <c r="J93" s="230"/>
      <c r="K93" s="228">
        <f>C93*VLOOKUP(B93,$O$124:$R$149,4,FALSE)</f>
        <v>45.925751600000005</v>
      </c>
      <c r="L93" s="937"/>
      <c r="M93" s="932"/>
      <c r="N93" s="932"/>
      <c r="O93" s="147" t="s">
        <v>291</v>
      </c>
      <c r="P93" s="147">
        <f>'South &amp; Levee'!F9+'South &amp; Levee'!F44</f>
        <v>1750000</v>
      </c>
      <c r="Q93" s="934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5">
      <c r="A94" s="936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477544.3202528386</v>
      </c>
      <c r="H94" s="92">
        <f t="shared" si="52"/>
        <v>7364.7189333181368</v>
      </c>
      <c r="I94" s="95">
        <f>H94/(VLOOKUP(B94,$O$124:$Q$149,3,FALSE))</f>
        <v>736.4718933318137</v>
      </c>
      <c r="J94" s="228">
        <f>C94*VLOOKUP(B94,$O$124:$R$149,3,FALSE)</f>
        <v>648.42165</v>
      </c>
      <c r="K94" s="228">
        <f>J94*VLOOKUP(B94,$O$124:$R$149,4,FALSE)</f>
        <v>603.03213449999998</v>
      </c>
      <c r="L94" s="937"/>
      <c r="M94" s="932"/>
      <c r="N94" s="932"/>
      <c r="O94" s="147" t="s">
        <v>219</v>
      </c>
      <c r="P94" s="147">
        <f>'Levee &amp; Monitor'!E24</f>
        <v>160000</v>
      </c>
      <c r="Q94" s="934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5">
      <c r="A95" s="936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110881.82369287843</v>
      </c>
      <c r="H95" s="93">
        <f t="shared" si="52"/>
        <v>13256.494079972648</v>
      </c>
      <c r="I95" s="92"/>
      <c r="J95" s="230"/>
      <c r="K95" s="228">
        <f>C95*VLOOKUP(B95,$O$124:$R$149,4,FALSE)</f>
        <v>147.63060099999998</v>
      </c>
      <c r="L95" s="937"/>
      <c r="M95" s="932"/>
      <c r="N95" s="932"/>
      <c r="O95" s="165" t="s">
        <v>220</v>
      </c>
      <c r="P95" s="165">
        <f>0.19*Q88</f>
        <v>1851422.101809303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5">
      <c r="A96" s="936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50142.563657274688</v>
      </c>
      <c r="H96" s="93">
        <f t="shared" si="52"/>
        <v>1472.9437866636276</v>
      </c>
      <c r="I96" s="92"/>
      <c r="J96" s="230"/>
      <c r="K96" s="228">
        <f>C96*VLOOKUP(B96,$O$124:$R$149,4,FALSE)</f>
        <v>0</v>
      </c>
      <c r="L96" s="937"/>
      <c r="M96" s="932"/>
      <c r="N96" s="932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5">
      <c r="A97" s="936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9069.2536715588922</v>
      </c>
      <c r="H97" s="93">
        <f t="shared" si="52"/>
        <v>1472.9437866636276</v>
      </c>
      <c r="I97" s="92"/>
      <c r="J97" s="230"/>
      <c r="K97" s="228">
        <f>C97*VLOOKUP(B97,$O$124:$R$149,4,FALSE)</f>
        <v>6.1572300000000029</v>
      </c>
      <c r="L97" s="937"/>
      <c r="M97" s="932"/>
      <c r="N97" s="932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5">
      <c r="A98" s="936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2123240.8901798367</v>
      </c>
      <c r="H98" s="92">
        <f t="shared" si="52"/>
        <v>4418.8313599908824</v>
      </c>
      <c r="I98" s="95">
        <f>H98/(VLOOKUP(B98,$O$124:$Q$149,3,FALSE))</f>
        <v>883.76627199817653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37"/>
      <c r="M98" s="932"/>
      <c r="N98" s="932"/>
      <c r="O98" s="526" t="s">
        <v>232</v>
      </c>
      <c r="P98" s="526">
        <f>0.518*1.2*(Q88+P95)</f>
        <v>7207917.5494565722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5">
      <c r="A99" s="936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862368.42359685095</v>
      </c>
      <c r="H99" s="92">
        <f t="shared" si="52"/>
        <v>4418.8313599908815</v>
      </c>
      <c r="I99" s="95">
        <f>H99/(VLOOKUP(B99,$O$124:$Q$149,3,FALSE))</f>
        <v>883.76627199817631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37"/>
      <c r="M99" s="932"/>
      <c r="N99" s="932"/>
      <c r="O99" s="938" t="s">
        <v>163</v>
      </c>
      <c r="P99" s="938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5">
      <c r="A100" s="936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1484171.1312889354</v>
      </c>
      <c r="H100" s="93">
        <f t="shared" si="52"/>
        <v>10310.606506645392</v>
      </c>
      <c r="I100" s="92"/>
      <c r="J100" s="230"/>
      <c r="K100" s="228">
        <f>C100*VLOOKUP(B100,$O$124:$R$149,4,FALSE)</f>
        <v>1976.3793351500001</v>
      </c>
      <c r="L100" s="937"/>
      <c r="M100" s="932"/>
      <c r="N100" s="932"/>
      <c r="O100" s="938"/>
      <c r="P100" s="938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5">
      <c r="A101" s="936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1539635.4868769194</v>
      </c>
      <c r="H101" s="93">
        <f t="shared" si="52"/>
        <v>13256.494079972646</v>
      </c>
      <c r="I101" s="92"/>
      <c r="J101" s="230"/>
      <c r="K101" s="228">
        <f>C101*VLOOKUP(B101,$O$124:$R$149,4,FALSE)</f>
        <v>2049.9059690624999</v>
      </c>
      <c r="L101" s="937"/>
      <c r="M101" s="932"/>
      <c r="N101" s="932"/>
      <c r="O101" s="938"/>
      <c r="P101" s="938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5">
      <c r="A102" s="936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904180.10189102392</v>
      </c>
      <c r="H102" s="92">
        <f t="shared" si="52"/>
        <v>4418.8313599908824</v>
      </c>
      <c r="I102" s="95">
        <f>H102/(VLOOKUP(B102,$O$124:$Q$149,3,FALSE))</f>
        <v>883.76627199817653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37"/>
      <c r="M102" s="932"/>
      <c r="N102" s="932"/>
      <c r="O102" s="938"/>
      <c r="P102" s="938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5">
      <c r="A103" s="936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18755.306236142631</v>
      </c>
      <c r="H103" s="93">
        <f t="shared" si="52"/>
        <v>1472.9437866636274</v>
      </c>
      <c r="I103" s="92"/>
      <c r="J103" s="230"/>
      <c r="K103" s="228">
        <f>C103*VLOOKUP(B103,$O$124:$R$149,4,FALSE)</f>
        <v>0</v>
      </c>
      <c r="L103" s="937"/>
      <c r="M103" s="932"/>
      <c r="N103" s="932"/>
      <c r="O103" s="938"/>
      <c r="P103" s="938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5">
      <c r="A104" s="936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186340.74861309392</v>
      </c>
      <c r="H104" s="92">
        <f t="shared" si="52"/>
        <v>4418.8313599908824</v>
      </c>
      <c r="I104" s="95">
        <f>H104/(VLOOKUP(B104,$O$124:$Q$149,3,FALSE))</f>
        <v>2209.4156799954412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37"/>
      <c r="M104" s="932"/>
      <c r="N104" s="932"/>
      <c r="O104" s="938"/>
      <c r="P104" s="938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5">
      <c r="A105" s="936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579703.17199368367</v>
      </c>
      <c r="H105" s="92">
        <f t="shared" si="52"/>
        <v>4418.8313599908815</v>
      </c>
      <c r="I105" s="95">
        <f>H105/(VLOOKUP(B105,$O$124:$Q$149,3,FALSE))</f>
        <v>2209.4156799954408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37"/>
      <c r="M105" s="932"/>
      <c r="N105" s="932"/>
      <c r="O105" s="938"/>
      <c r="P105" s="938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5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19303666.502893783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5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5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5">
      <c r="A109" s="930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1">
        <f>SUM(C109:C120)</f>
        <v>1416.3240375499997</v>
      </c>
      <c r="M109" s="932">
        <f>SUM(E109:E120)/L109</f>
        <v>0.37602790087236559</v>
      </c>
      <c r="N109" s="932">
        <f>L109*M109</f>
        <v>532.57735479499991</v>
      </c>
      <c r="O109" s="933">
        <f>SUM(P110:P116)</f>
        <v>3394556</v>
      </c>
      <c r="P109" s="933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5">
      <c r="A110" s="930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1"/>
      <c r="M110" s="932"/>
      <c r="N110" s="932"/>
      <c r="O110" s="147" t="s">
        <v>202</v>
      </c>
      <c r="P110" s="147">
        <f>Trails!G14-Trails!F10</f>
        <v>0</v>
      </c>
      <c r="Q110" s="934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5">
      <c r="A111" s="930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1"/>
      <c r="M111" s="932"/>
      <c r="N111" s="932"/>
      <c r="O111" s="147" t="s">
        <v>223</v>
      </c>
      <c r="P111" s="147">
        <f>Trails!F10</f>
        <v>1500000</v>
      </c>
      <c r="Q111" s="934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5">
      <c r="A112" s="930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1"/>
      <c r="M112" s="932"/>
      <c r="N112" s="932"/>
      <c r="O112" s="147" t="s">
        <v>219</v>
      </c>
      <c r="P112" s="147">
        <f>'Levee &amp; Monitor'!E27*0</f>
        <v>0</v>
      </c>
      <c r="Q112" s="934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5">
      <c r="A113" s="930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1"/>
      <c r="M113" s="932"/>
      <c r="N113" s="932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5">
      <c r="A114" s="930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1"/>
      <c r="M114" s="932"/>
      <c r="N114" s="932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5">
      <c r="A115" s="930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1"/>
      <c r="M115" s="932"/>
      <c r="N115" s="932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5">
      <c r="A116" s="930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1"/>
      <c r="M116" s="932"/>
      <c r="N116" s="932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5">
      <c r="A117" s="930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1"/>
      <c r="M117" s="932"/>
      <c r="N117" s="932"/>
      <c r="O117" s="935"/>
      <c r="P117" s="935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5">
      <c r="A118" s="930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1"/>
      <c r="M118" s="932"/>
      <c r="N118" s="932"/>
      <c r="O118" s="935"/>
      <c r="P118" s="935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5">
      <c r="A119" s="930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1"/>
      <c r="M119" s="932"/>
      <c r="N119" s="932"/>
      <c r="O119" s="935"/>
      <c r="P119" s="935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5">
      <c r="A120" s="930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1"/>
      <c r="M120" s="932"/>
      <c r="N120" s="932"/>
      <c r="O120" s="935"/>
      <c r="P120" s="935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8" thickBot="1" x14ac:dyDescent="0.3">
      <c r="A121" s="924" t="s">
        <v>224</v>
      </c>
      <c r="B121" s="925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13710754.645744309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8" thickBot="1" x14ac:dyDescent="0.3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26" t="s">
        <v>225</v>
      </c>
      <c r="P122" s="927"/>
      <c r="Q122" s="927"/>
      <c r="R122" s="928"/>
    </row>
    <row r="123" spans="1:24" s="46" customFormat="1" x14ac:dyDescent="0.25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5">
      <c r="A124" s="111"/>
      <c r="B124" s="112"/>
      <c r="C124" s="112"/>
      <c r="D124" s="98"/>
      <c r="E124" s="929" t="s">
        <v>231</v>
      </c>
      <c r="F124" s="929"/>
      <c r="G124" s="929"/>
      <c r="H124" s="929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5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15" t="str">
        <f>IF(F125='Future Improve'!D8,"Good! Matched!", "No Good!")</f>
        <v>No Good!</v>
      </c>
      <c r="H125" s="915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5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15" t="str">
        <f>IF(F126='Future Improve'!D9,"Good! Matched!", "No Good!")</f>
        <v>No Good!</v>
      </c>
      <c r="H126" s="915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5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15" t="str">
        <f>IF(F127='Future Improve'!D10,"Good! Matched!", "No Good!")</f>
        <v>No Good!</v>
      </c>
      <c r="H127" s="915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5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15" t="str">
        <f>IF(F128='Future Improve'!D11,"Good! Matched!", "No Good!")</f>
        <v>Good! Matched!</v>
      </c>
      <c r="H128" s="915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5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5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5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5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5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5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5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5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5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5">
      <c r="A138" s="111" t="s">
        <v>418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5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5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5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5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5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5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5">
      <c r="A145" s="111" t="s">
        <v>262</v>
      </c>
      <c r="B145" s="658">
        <f>Q88</f>
        <v>9744326.8516279105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5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5">
      <c r="A147" s="111"/>
      <c r="B147" s="657">
        <f>SUM(B139:B146)</f>
        <v>14718256.043717012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5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8" thickBot="1" x14ac:dyDescent="0.3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O2:P2"/>
    <mergeCell ref="A3:A11"/>
    <mergeCell ref="L3:L11"/>
    <mergeCell ref="M3:M11"/>
    <mergeCell ref="N3:N11"/>
    <mergeCell ref="O3:P3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Q51:Q55"/>
    <mergeCell ref="A34:A47"/>
    <mergeCell ref="L34:L47"/>
    <mergeCell ref="M34:M47"/>
    <mergeCell ref="N34:N47"/>
    <mergeCell ref="O34:P34"/>
    <mergeCell ref="Q35:Q39"/>
    <mergeCell ref="O44:P47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88:Q94"/>
    <mergeCell ref="O99:P105"/>
    <mergeCell ref="A75:A81"/>
    <mergeCell ref="L75:L81"/>
    <mergeCell ref="M75:M81"/>
    <mergeCell ref="N75:N81"/>
    <mergeCell ref="O75:P75"/>
    <mergeCell ref="Q76:Q81"/>
    <mergeCell ref="O117:P120"/>
    <mergeCell ref="A87:A105"/>
    <mergeCell ref="L87:L105"/>
    <mergeCell ref="M87:M105"/>
    <mergeCell ref="N87:N105"/>
    <mergeCell ref="O87:P87"/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7" width="21.44140625" style="2" customWidth="1"/>
    <col min="8" max="16384" width="9.109375" style="2"/>
  </cols>
  <sheetData>
    <row r="4" spans="1:7" x14ac:dyDescent="0.25">
      <c r="G4" s="29">
        <v>40406</v>
      </c>
    </row>
    <row r="5" spans="1:7" x14ac:dyDescent="0.25">
      <c r="G5" s="29"/>
    </row>
    <row r="6" spans="1:7" ht="13.8" thickBot="1" x14ac:dyDescent="0.3"/>
    <row r="7" spans="1:7" x14ac:dyDescent="0.25">
      <c r="A7" s="1016" t="s">
        <v>6</v>
      </c>
      <c r="B7" s="1029" t="s">
        <v>19</v>
      </c>
      <c r="C7" s="17" t="s">
        <v>1</v>
      </c>
      <c r="D7" s="7" t="s">
        <v>3</v>
      </c>
      <c r="E7" s="17" t="s">
        <v>4</v>
      </c>
      <c r="F7" s="1018" t="s">
        <v>0</v>
      </c>
      <c r="G7" s="84" t="s">
        <v>16</v>
      </c>
    </row>
    <row r="8" spans="1:7" s="1" customFormat="1" ht="13.8" thickBot="1" x14ac:dyDescent="0.3">
      <c r="A8" s="1017"/>
      <c r="B8" s="1030"/>
      <c r="C8" s="18" t="s">
        <v>2</v>
      </c>
      <c r="D8" s="13" t="s">
        <v>2</v>
      </c>
      <c r="E8" s="18" t="s">
        <v>5</v>
      </c>
      <c r="F8" s="1019"/>
      <c r="G8" s="15" t="s">
        <v>7</v>
      </c>
    </row>
    <row r="9" spans="1:7" x14ac:dyDescent="0.25">
      <c r="A9" s="195" t="s">
        <v>113</v>
      </c>
      <c r="B9" s="8"/>
      <c r="C9" s="19"/>
      <c r="D9" s="9"/>
      <c r="E9" s="20"/>
      <c r="F9" s="10"/>
      <c r="G9" s="83"/>
    </row>
    <row r="10" spans="1:7" x14ac:dyDescent="0.25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5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5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8" thickBot="1" x14ac:dyDescent="0.3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3">
      <c r="A14" s="24" t="s">
        <v>0</v>
      </c>
      <c r="B14" s="1026" t="s">
        <v>114</v>
      </c>
      <c r="C14" s="1027"/>
      <c r="D14" s="1027"/>
      <c r="E14" s="1027"/>
      <c r="F14" s="1027"/>
      <c r="G14" s="85">
        <f>SUM(G10:G12)</f>
        <v>1500000</v>
      </c>
    </row>
    <row r="15" spans="1:7" ht="42.75" customHeight="1" x14ac:dyDescent="0.25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5">
      <c r="G16" s="3"/>
    </row>
    <row r="17" spans="7:7" x14ac:dyDescent="0.25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09375" defaultRowHeight="13.2" x14ac:dyDescent="0.25"/>
  <cols>
    <col min="1" max="1" width="9.109375" style="45"/>
    <col min="2" max="2" width="13.5546875" style="46" customWidth="1"/>
    <col min="3" max="3" width="12.6640625" style="46" customWidth="1"/>
    <col min="4" max="4" width="17" style="46" customWidth="1"/>
    <col min="5" max="5" width="16.109375" style="46" customWidth="1"/>
    <col min="6" max="7" width="13.44140625" style="46" customWidth="1"/>
    <col min="8" max="8" width="17.33203125" style="46" customWidth="1"/>
    <col min="9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F3" s="4"/>
      <c r="G3" s="1"/>
      <c r="H3" s="1"/>
    </row>
    <row r="4" spans="1:8" s="2" customFormat="1" x14ac:dyDescent="0.25">
      <c r="A4" s="1"/>
      <c r="B4" s="1"/>
      <c r="C4" s="4"/>
      <c r="D4" s="4"/>
      <c r="E4" s="4"/>
      <c r="G4" s="29">
        <v>40862</v>
      </c>
      <c r="H4" s="1"/>
    </row>
    <row r="5" spans="1:8" s="2" customFormat="1" ht="13.8" thickBot="1" x14ac:dyDescent="0.3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3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5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5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5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3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3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8" thickBot="1" x14ac:dyDescent="0.3"/>
    <row r="13" spans="1:8" ht="13.8" thickBot="1" x14ac:dyDescent="0.3">
      <c r="B13" s="49" t="s">
        <v>84</v>
      </c>
      <c r="C13" s="51">
        <v>3</v>
      </c>
    </row>
    <row r="14" spans="1:8" ht="9" customHeight="1" thickBot="1" x14ac:dyDescent="0.3"/>
    <row r="15" spans="1:8" ht="23.25" customHeight="1" thickBot="1" x14ac:dyDescent="0.3">
      <c r="B15" s="1102" t="s">
        <v>226</v>
      </c>
      <c r="C15" s="1103"/>
      <c r="D15" s="1103"/>
      <c r="E15" s="1104"/>
    </row>
    <row r="16" spans="1:8" ht="18" customHeight="1" thickBot="1" x14ac:dyDescent="0.3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5">
      <c r="B17" s="56">
        <v>30</v>
      </c>
      <c r="C17" s="183">
        <v>2</v>
      </c>
      <c r="D17" s="921">
        <v>40000</v>
      </c>
      <c r="E17" s="182">
        <f>C17*$D$17</f>
        <v>80000</v>
      </c>
    </row>
    <row r="18" spans="2:5" ht="16.5" customHeight="1" x14ac:dyDescent="0.25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5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5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5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5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5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5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5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5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3">
      <c r="B27" s="58">
        <v>39</v>
      </c>
      <c r="C27" s="186">
        <v>1</v>
      </c>
      <c r="D27" s="919"/>
      <c r="E27" s="187">
        <f t="shared" si="0"/>
        <v>40000</v>
      </c>
    </row>
    <row r="28" spans="2:5" ht="16.5" customHeight="1" thickBot="1" x14ac:dyDescent="0.3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09375" defaultRowHeight="13.2" x14ac:dyDescent="0.25"/>
  <cols>
    <col min="1" max="1" width="5.109375" style="45" customWidth="1"/>
    <col min="2" max="2" width="11.5546875" style="46" customWidth="1"/>
    <col min="3" max="3" width="30.6640625" style="45" customWidth="1"/>
    <col min="4" max="4" width="9.109375" style="98"/>
    <col min="5" max="5" width="11.5546875" style="98" customWidth="1"/>
    <col min="6" max="6" width="17.109375" style="46" customWidth="1"/>
    <col min="7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H3" s="1"/>
    </row>
    <row r="4" spans="1:8" s="2" customFormat="1" x14ac:dyDescent="0.25">
      <c r="A4" s="1"/>
      <c r="B4" s="1"/>
      <c r="C4" s="4"/>
      <c r="D4" s="4"/>
      <c r="E4" s="4"/>
      <c r="F4" s="29">
        <v>40407</v>
      </c>
      <c r="G4" s="1"/>
      <c r="H4" s="1"/>
    </row>
    <row r="5" spans="1:8" ht="15.6" x14ac:dyDescent="0.25">
      <c r="B5" s="387"/>
      <c r="F5" s="388"/>
    </row>
    <row r="6" spans="1:8" ht="13.8" thickBot="1" x14ac:dyDescent="0.3"/>
    <row r="7" spans="1:8" ht="20.25" customHeight="1" thickBot="1" x14ac:dyDescent="0.3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5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5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5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5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5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5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5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5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5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5">
      <c r="B17" s="128" t="s">
        <v>142</v>
      </c>
      <c r="C17" s="129" t="s">
        <v>181</v>
      </c>
      <c r="D17" s="1124"/>
      <c r="E17" s="131"/>
      <c r="F17" s="1127"/>
    </row>
    <row r="18" spans="2:6" x14ac:dyDescent="0.25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5">
      <c r="B19" s="128" t="s">
        <v>145</v>
      </c>
      <c r="C19" s="129" t="s">
        <v>183</v>
      </c>
      <c r="D19" s="1125"/>
      <c r="E19" s="132"/>
      <c r="F19" s="1128"/>
    </row>
    <row r="20" spans="2:6" x14ac:dyDescent="0.25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5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5">
      <c r="B22" s="136" t="s">
        <v>149</v>
      </c>
      <c r="C22" s="138" t="s">
        <v>187</v>
      </c>
      <c r="D22" s="1109"/>
      <c r="E22" s="135"/>
      <c r="F22" s="1112"/>
    </row>
    <row r="23" spans="2:6" x14ac:dyDescent="0.25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5">
      <c r="B24" s="139" t="s">
        <v>152</v>
      </c>
      <c r="C24" s="140" t="s">
        <v>190</v>
      </c>
      <c r="D24" s="141"/>
      <c r="E24" s="141"/>
      <c r="F24" s="1114"/>
    </row>
    <row r="25" spans="2:6" x14ac:dyDescent="0.25">
      <c r="B25" s="139" t="s">
        <v>153</v>
      </c>
      <c r="C25" s="140" t="s">
        <v>191</v>
      </c>
      <c r="D25" s="141"/>
      <c r="E25" s="141"/>
      <c r="F25" s="1114"/>
    </row>
    <row r="26" spans="2:6" x14ac:dyDescent="0.25">
      <c r="B26" s="139" t="s">
        <v>154</v>
      </c>
      <c r="C26" s="140" t="s">
        <v>192</v>
      </c>
      <c r="D26" s="141"/>
      <c r="E26" s="141"/>
      <c r="F26" s="1114"/>
    </row>
    <row r="27" spans="2:6" x14ac:dyDescent="0.25">
      <c r="B27" s="139" t="s">
        <v>155</v>
      </c>
      <c r="C27" s="140" t="s">
        <v>193</v>
      </c>
      <c r="D27" s="141"/>
      <c r="E27" s="141"/>
      <c r="F27" s="1114"/>
    </row>
    <row r="28" spans="2:6" x14ac:dyDescent="0.25">
      <c r="B28" s="139" t="s">
        <v>156</v>
      </c>
      <c r="C28" s="140" t="s">
        <v>194</v>
      </c>
      <c r="D28" s="141"/>
      <c r="E28" s="141"/>
      <c r="F28" s="1114"/>
    </row>
    <row r="29" spans="2:6" x14ac:dyDescent="0.25">
      <c r="B29" s="139" t="s">
        <v>138</v>
      </c>
      <c r="C29" s="140" t="s">
        <v>195</v>
      </c>
      <c r="D29" s="141"/>
      <c r="E29" s="141"/>
      <c r="F29" s="1114"/>
    </row>
    <row r="30" spans="2:6" x14ac:dyDescent="0.25">
      <c r="B30" s="139" t="s">
        <v>157</v>
      </c>
      <c r="C30" s="140" t="s">
        <v>196</v>
      </c>
      <c r="D30" s="141"/>
      <c r="E30" s="141"/>
      <c r="F30" s="1114"/>
    </row>
    <row r="31" spans="2:6" x14ac:dyDescent="0.25">
      <c r="B31" s="139" t="s">
        <v>150</v>
      </c>
      <c r="C31" s="140" t="s">
        <v>197</v>
      </c>
      <c r="D31" s="141"/>
      <c r="E31" s="141"/>
      <c r="F31" s="1114"/>
    </row>
    <row r="32" spans="2:6" x14ac:dyDescent="0.25">
      <c r="B32" s="139" t="s">
        <v>151</v>
      </c>
      <c r="C32" s="140" t="s">
        <v>198</v>
      </c>
      <c r="D32" s="141"/>
      <c r="E32" s="141"/>
      <c r="F32" s="1114"/>
    </row>
    <row r="33" spans="2:6" ht="13.8" thickBot="1" x14ac:dyDescent="0.3">
      <c r="B33" s="142" t="s">
        <v>159</v>
      </c>
      <c r="C33" s="143" t="s">
        <v>199</v>
      </c>
      <c r="D33" s="144"/>
      <c r="E33" s="144"/>
      <c r="F33" s="1115"/>
    </row>
    <row r="35" spans="2:6" x14ac:dyDescent="0.25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09375" defaultRowHeight="13.2" x14ac:dyDescent="0.25"/>
  <cols>
    <col min="1" max="1" width="12.5546875" style="111" customWidth="1"/>
    <col min="2" max="2" width="12.33203125" style="112" customWidth="1"/>
    <col min="3" max="3" width="8.6640625" style="112" customWidth="1"/>
    <col min="4" max="4" width="13.88671875" style="100" bestFit="1" customWidth="1"/>
    <col min="5" max="5" width="12.109375" style="101" customWidth="1"/>
    <col min="6" max="7" width="7.88671875" style="101" customWidth="1"/>
    <col min="8" max="8" width="8.88671875" style="99" customWidth="1"/>
    <col min="9" max="9" width="13.6640625" style="193" customWidth="1"/>
    <col min="10" max="10" width="13" style="193" customWidth="1"/>
    <col min="11" max="11" width="11.6640625" style="46" customWidth="1"/>
    <col min="12" max="13" width="9.109375" style="46"/>
    <col min="14" max="16384" width="9.109375" style="45"/>
  </cols>
  <sheetData>
    <row r="1" spans="1:11" ht="25.5" customHeight="1" x14ac:dyDescent="0.25">
      <c r="A1" s="210" t="s">
        <v>236</v>
      </c>
      <c r="J1" s="211">
        <v>40611</v>
      </c>
    </row>
    <row r="2" spans="1:11" ht="40.5" customHeight="1" x14ac:dyDescent="0.25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60" t="s">
        <v>233</v>
      </c>
      <c r="J2" s="960"/>
      <c r="K2" s="157"/>
    </row>
    <row r="3" spans="1:11" x14ac:dyDescent="0.25">
      <c r="A3" s="936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1">
        <f>SUM(C3:C21)</f>
        <v>2888.0381889499995</v>
      </c>
      <c r="I3" s="933">
        <f>SUM(J4:J8)</f>
        <v>24196626.8567084</v>
      </c>
      <c r="J3" s="933"/>
    </row>
    <row r="4" spans="1:11" x14ac:dyDescent="0.25">
      <c r="A4" s="936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1"/>
      <c r="I4" s="147" t="s">
        <v>235</v>
      </c>
      <c r="J4" s="147">
        <f>'South &amp; Levee'!$D$61</f>
        <v>12279928.35</v>
      </c>
      <c r="K4" s="216"/>
    </row>
    <row r="5" spans="1:11" x14ac:dyDescent="0.25">
      <c r="A5" s="936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1"/>
      <c r="I5" s="165" t="s">
        <v>220</v>
      </c>
      <c r="J5" s="165">
        <f>0.19*J4</f>
        <v>2333186.3865</v>
      </c>
      <c r="K5" s="216"/>
    </row>
    <row r="6" spans="1:11" x14ac:dyDescent="0.25">
      <c r="A6" s="936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1"/>
      <c r="I6" s="165" t="s">
        <v>221</v>
      </c>
      <c r="J6" s="165">
        <f>0.02*K4*0</f>
        <v>0</v>
      </c>
      <c r="K6" s="216"/>
    </row>
    <row r="7" spans="1:11" x14ac:dyDescent="0.25">
      <c r="A7" s="936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1"/>
      <c r="I7" s="165" t="s">
        <v>222</v>
      </c>
      <c r="J7" s="165">
        <v>500000</v>
      </c>
      <c r="K7" s="216"/>
    </row>
    <row r="8" spans="1:11" x14ac:dyDescent="0.25">
      <c r="A8" s="936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1"/>
      <c r="I8" s="526" t="s">
        <v>254</v>
      </c>
      <c r="J8" s="526">
        <f>0.518*1.2*(J4+J5)</f>
        <v>9083512.1202083994</v>
      </c>
      <c r="K8" s="189"/>
    </row>
    <row r="9" spans="1:11" x14ac:dyDescent="0.25">
      <c r="A9" s="936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1"/>
      <c r="I9" s="215"/>
      <c r="J9" s="215"/>
    </row>
    <row r="10" spans="1:11" x14ac:dyDescent="0.25">
      <c r="A10" s="936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1"/>
      <c r="I10" s="199"/>
      <c r="J10" s="200"/>
    </row>
    <row r="11" spans="1:11" x14ac:dyDescent="0.25">
      <c r="A11" s="936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1"/>
      <c r="I11" s="199"/>
      <c r="J11" s="200"/>
    </row>
    <row r="12" spans="1:11" x14ac:dyDescent="0.25">
      <c r="A12" s="936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1"/>
      <c r="I12" s="199"/>
      <c r="J12" s="200"/>
    </row>
    <row r="13" spans="1:11" x14ac:dyDescent="0.25">
      <c r="A13" s="936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1"/>
      <c r="I13" s="199"/>
      <c r="J13" s="200"/>
    </row>
    <row r="14" spans="1:11" x14ac:dyDescent="0.25">
      <c r="A14" s="936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1"/>
      <c r="I14" s="199"/>
      <c r="J14" s="200"/>
    </row>
    <row r="15" spans="1:11" x14ac:dyDescent="0.25">
      <c r="A15" s="936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1"/>
      <c r="I15" s="199"/>
      <c r="J15" s="200"/>
    </row>
    <row r="16" spans="1:11" x14ac:dyDescent="0.25">
      <c r="A16" s="936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1"/>
      <c r="I16" s="199"/>
      <c r="J16" s="200"/>
    </row>
    <row r="17" spans="1:11" x14ac:dyDescent="0.25">
      <c r="A17" s="936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1"/>
      <c r="I17" s="199"/>
      <c r="J17" s="200"/>
    </row>
    <row r="18" spans="1:11" x14ac:dyDescent="0.25">
      <c r="A18" s="936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1"/>
      <c r="I18" s="199"/>
      <c r="J18" s="200"/>
    </row>
    <row r="19" spans="1:11" x14ac:dyDescent="0.25">
      <c r="A19" s="936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1"/>
      <c r="I19" s="199"/>
      <c r="J19" s="200"/>
    </row>
    <row r="20" spans="1:11" x14ac:dyDescent="0.25">
      <c r="A20" s="936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1"/>
      <c r="I20" s="199"/>
      <c r="J20" s="200"/>
    </row>
    <row r="21" spans="1:11" x14ac:dyDescent="0.25">
      <c r="A21" s="936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1"/>
      <c r="I21" s="201"/>
      <c r="J21" s="202"/>
    </row>
    <row r="22" spans="1:11" x14ac:dyDescent="0.25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5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8" thickBot="1" x14ac:dyDescent="0.3">
      <c r="A24" s="275" t="s">
        <v>255</v>
      </c>
      <c r="B24" s="276"/>
      <c r="C24" s="1130" t="s">
        <v>325</v>
      </c>
      <c r="D24" s="922"/>
      <c r="E24" s="922"/>
      <c r="F24" s="922"/>
      <c r="G24" s="923"/>
    </row>
    <row r="25" spans="1:11" ht="13.8" thickBot="1" x14ac:dyDescent="0.3">
      <c r="I25" s="926" t="s">
        <v>225</v>
      </c>
      <c r="J25" s="927"/>
      <c r="K25" s="928"/>
    </row>
    <row r="26" spans="1:11" x14ac:dyDescent="0.25">
      <c r="I26" s="166" t="s">
        <v>129</v>
      </c>
      <c r="J26" s="167" t="s">
        <v>130</v>
      </c>
      <c r="K26" s="168" t="s">
        <v>131</v>
      </c>
    </row>
    <row r="27" spans="1:11" x14ac:dyDescent="0.25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5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5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5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5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5">
      <c r="I32" s="169" t="s">
        <v>134</v>
      </c>
      <c r="J32" s="170">
        <v>0.1</v>
      </c>
      <c r="K32" s="1114"/>
    </row>
    <row r="33" spans="9:11" x14ac:dyDescent="0.25">
      <c r="I33" s="169" t="s">
        <v>136</v>
      </c>
      <c r="J33" s="170">
        <v>0.1</v>
      </c>
      <c r="K33" s="1129"/>
    </row>
    <row r="34" spans="9:11" x14ac:dyDescent="0.25">
      <c r="I34" s="169" t="s">
        <v>229</v>
      </c>
      <c r="J34" s="170">
        <v>0.3</v>
      </c>
      <c r="K34" s="171">
        <v>5</v>
      </c>
    </row>
    <row r="35" spans="9:11" x14ac:dyDescent="0.25">
      <c r="I35" s="169" t="s">
        <v>144</v>
      </c>
      <c r="J35" s="170">
        <v>0.9</v>
      </c>
      <c r="K35" s="1113"/>
    </row>
    <row r="36" spans="9:11" x14ac:dyDescent="0.25">
      <c r="I36" s="169" t="s">
        <v>142</v>
      </c>
      <c r="J36" s="170">
        <v>0.9</v>
      </c>
      <c r="K36" s="1114"/>
    </row>
    <row r="37" spans="9:11" x14ac:dyDescent="0.25">
      <c r="I37" s="169" t="s">
        <v>143</v>
      </c>
      <c r="J37" s="170">
        <v>0.9</v>
      </c>
      <c r="K37" s="1114"/>
    </row>
    <row r="38" spans="9:11" x14ac:dyDescent="0.25">
      <c r="I38" s="169" t="s">
        <v>145</v>
      </c>
      <c r="J38" s="170">
        <v>0.9</v>
      </c>
      <c r="K38" s="1114"/>
    </row>
    <row r="39" spans="9:11" x14ac:dyDescent="0.25">
      <c r="I39" s="169" t="s">
        <v>146</v>
      </c>
      <c r="J39" s="170">
        <v>0.7</v>
      </c>
      <c r="K39" s="1114"/>
    </row>
    <row r="40" spans="9:11" x14ac:dyDescent="0.25">
      <c r="I40" s="169" t="s">
        <v>148</v>
      </c>
      <c r="J40" s="170">
        <v>0.7</v>
      </c>
      <c r="K40" s="1114"/>
    </row>
    <row r="41" spans="9:11" x14ac:dyDescent="0.25">
      <c r="I41" s="169" t="s">
        <v>149</v>
      </c>
      <c r="J41" s="170">
        <v>0.7</v>
      </c>
      <c r="K41" s="1129"/>
    </row>
    <row r="42" spans="9:11" x14ac:dyDescent="0.25">
      <c r="I42" s="169" t="s">
        <v>147</v>
      </c>
      <c r="J42" s="170">
        <v>0.3</v>
      </c>
      <c r="K42" s="171">
        <v>5</v>
      </c>
    </row>
    <row r="43" spans="9:11" x14ac:dyDescent="0.25">
      <c r="I43" s="169" t="s">
        <v>152</v>
      </c>
      <c r="J43" s="170">
        <v>0.3</v>
      </c>
      <c r="K43" s="171">
        <v>2</v>
      </c>
    </row>
    <row r="44" spans="9:11" x14ac:dyDescent="0.25">
      <c r="I44" s="169" t="s">
        <v>153</v>
      </c>
      <c r="J44" s="170">
        <v>0.3</v>
      </c>
      <c r="K44" s="171">
        <v>5</v>
      </c>
    </row>
    <row r="45" spans="9:11" x14ac:dyDescent="0.25">
      <c r="I45" s="169" t="s">
        <v>154</v>
      </c>
      <c r="J45" s="170">
        <v>0.5</v>
      </c>
      <c r="K45" s="171">
        <v>10</v>
      </c>
    </row>
    <row r="46" spans="9:11" x14ac:dyDescent="0.25">
      <c r="I46" s="169" t="s">
        <v>155</v>
      </c>
      <c r="J46" s="170">
        <v>0.1</v>
      </c>
      <c r="K46" s="1113"/>
    </row>
    <row r="47" spans="9:11" x14ac:dyDescent="0.25">
      <c r="I47" s="169" t="s">
        <v>156</v>
      </c>
      <c r="J47" s="170">
        <v>0.1</v>
      </c>
      <c r="K47" s="1129"/>
    </row>
    <row r="48" spans="9:11" x14ac:dyDescent="0.25">
      <c r="I48" s="169" t="s">
        <v>230</v>
      </c>
      <c r="J48" s="170">
        <v>0.3</v>
      </c>
      <c r="K48" s="171">
        <v>5</v>
      </c>
    </row>
    <row r="49" spans="9:11" x14ac:dyDescent="0.25">
      <c r="I49" s="169" t="s">
        <v>157</v>
      </c>
      <c r="J49" s="170">
        <v>0.7</v>
      </c>
      <c r="K49" s="1113"/>
    </row>
    <row r="50" spans="9:11" x14ac:dyDescent="0.25">
      <c r="I50" s="169" t="s">
        <v>150</v>
      </c>
      <c r="J50" s="170">
        <v>0.9</v>
      </c>
      <c r="K50" s="1114"/>
    </row>
    <row r="51" spans="9:11" x14ac:dyDescent="0.25">
      <c r="I51" s="169" t="s">
        <v>151</v>
      </c>
      <c r="J51" s="170">
        <v>0.9</v>
      </c>
      <c r="K51" s="1114"/>
    </row>
    <row r="52" spans="9:11" ht="13.8" thickBot="1" x14ac:dyDescent="0.3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2" activePane="bottomLeft"/>
      <selection activeCell="I68" sqref="I68"/>
      <selection pane="bottomLeft" activeCell="O24" sqref="O24:P31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11.5546875" style="112" customWidth="1"/>
    <col min="4" max="4" width="9.109375" style="98"/>
    <col min="5" max="5" width="13.109375" style="99" bestFit="1" customWidth="1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11.44140625" style="46" bestFit="1" customWidth="1"/>
    <col min="19" max="19" width="9.109375" style="46"/>
    <col min="20" max="16384" width="9.109375" style="45"/>
  </cols>
  <sheetData>
    <row r="1" spans="1:19" x14ac:dyDescent="0.25">
      <c r="A1" s="277" t="s">
        <v>332</v>
      </c>
    </row>
    <row r="2" spans="1:19" ht="40.5" customHeight="1" x14ac:dyDescent="0.25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60" t="s">
        <v>233</v>
      </c>
      <c r="P2" s="960"/>
      <c r="Q2" s="157"/>
    </row>
    <row r="3" spans="1:19" x14ac:dyDescent="0.25">
      <c r="A3" s="961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64">
        <f>SUM(C3:C11)</f>
        <v>2521.8076449999999</v>
      </c>
      <c r="M3" s="950">
        <f>SUM(E3:E11)/L3</f>
        <v>0.34745854674415505</v>
      </c>
      <c r="N3" s="950">
        <f>L3*M3</f>
        <v>876.22361950000004</v>
      </c>
      <c r="O3" s="933">
        <f>SUM(P4:P10)</f>
        <v>1030356.2409666418</v>
      </c>
      <c r="P3" s="933"/>
      <c r="R3" s="98">
        <f>N3</f>
        <v>876.22361950000004</v>
      </c>
    </row>
    <row r="4" spans="1:19" x14ac:dyDescent="0.25">
      <c r="A4" s="962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65"/>
      <c r="M4" s="951"/>
      <c r="N4" s="951"/>
      <c r="O4" s="147" t="s">
        <v>202</v>
      </c>
      <c r="P4" s="147">
        <f>SUM(North!J49:M49)</f>
        <v>0</v>
      </c>
      <c r="Q4" s="934">
        <f>SUM(P4:P6)</f>
        <v>274838.13111577829</v>
      </c>
    </row>
    <row r="5" spans="1:19" x14ac:dyDescent="0.25">
      <c r="A5" s="962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65"/>
      <c r="M5" s="951"/>
      <c r="N5" s="951"/>
      <c r="O5" s="147" t="s">
        <v>206</v>
      </c>
      <c r="P5" s="245">
        <f>N3/($N$3+$N$15+$N$34+$N$50+$N$61+$N$73+$N$85)*'Future Improve'!$D$8</f>
        <v>194838.13111577829</v>
      </c>
      <c r="Q5" s="934"/>
      <c r="S5" s="245"/>
    </row>
    <row r="6" spans="1:19" x14ac:dyDescent="0.25">
      <c r="A6" s="962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65"/>
      <c r="M6" s="951"/>
      <c r="N6" s="951"/>
      <c r="O6" s="147" t="s">
        <v>219</v>
      </c>
      <c r="P6" s="147">
        <f>'Levee &amp; Monitor'!E17</f>
        <v>80000</v>
      </c>
      <c r="Q6" s="934"/>
    </row>
    <row r="7" spans="1:19" x14ac:dyDescent="0.25">
      <c r="A7" s="962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65"/>
      <c r="M7" s="951"/>
      <c r="N7" s="951"/>
      <c r="O7" s="165" t="s">
        <v>220</v>
      </c>
      <c r="P7" s="165">
        <f>0.19*Q4</f>
        <v>52219.244911997877</v>
      </c>
    </row>
    <row r="8" spans="1:19" x14ac:dyDescent="0.25">
      <c r="A8" s="962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65"/>
      <c r="M8" s="951"/>
      <c r="N8" s="951"/>
      <c r="O8" s="165" t="s">
        <v>221</v>
      </c>
      <c r="P8" s="165">
        <f>0.02*Q4*0</f>
        <v>0</v>
      </c>
    </row>
    <row r="9" spans="1:19" x14ac:dyDescent="0.25">
      <c r="A9" s="962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65"/>
      <c r="M9" s="951"/>
      <c r="N9" s="951"/>
      <c r="O9" s="165" t="s">
        <v>222</v>
      </c>
      <c r="P9" s="165">
        <v>500000</v>
      </c>
    </row>
    <row r="10" spans="1:19" x14ac:dyDescent="0.25">
      <c r="A10" s="962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65"/>
      <c r="M10" s="951"/>
      <c r="N10" s="951"/>
      <c r="O10" s="526" t="s">
        <v>254</v>
      </c>
      <c r="P10" s="526">
        <f>0.518*1.2*(Q4+P7)</f>
        <v>203298.86493886568</v>
      </c>
    </row>
    <row r="11" spans="1:19" x14ac:dyDescent="0.25">
      <c r="A11" s="963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66"/>
      <c r="M11" s="952"/>
      <c r="N11" s="952"/>
      <c r="O11" s="201"/>
      <c r="P11" s="202"/>
    </row>
    <row r="12" spans="1:19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5">
      <c r="A13" s="275" t="s">
        <v>323</v>
      </c>
      <c r="B13" s="276"/>
      <c r="C13" s="922" t="s">
        <v>325</v>
      </c>
      <c r="D13" s="922"/>
      <c r="E13" s="922"/>
      <c r="F13" s="922"/>
      <c r="G13" s="923"/>
    </row>
    <row r="14" spans="1:19" x14ac:dyDescent="0.25">
      <c r="A14" s="96"/>
      <c r="B14" s="97"/>
      <c r="C14" s="97"/>
    </row>
    <row r="15" spans="1:19" x14ac:dyDescent="0.25">
      <c r="A15" s="95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1">
        <f>SUM(C15:C31)</f>
        <v>1043.0869425000001</v>
      </c>
      <c r="M15" s="932">
        <f>SUM(E15:E31)/L15</f>
        <v>0.31385408148755545</v>
      </c>
      <c r="N15" s="932">
        <f>L15*M15</f>
        <v>327.37709425000008</v>
      </c>
      <c r="O15" s="933">
        <f>SUM(P16:P23)</f>
        <v>2874807.1854018299</v>
      </c>
      <c r="P15" s="933"/>
    </row>
    <row r="16" spans="1:19" x14ac:dyDescent="0.25">
      <c r="A16" s="95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1"/>
      <c r="M16" s="932"/>
      <c r="N16" s="932"/>
      <c r="O16" s="147" t="s">
        <v>202</v>
      </c>
      <c r="P16" s="147">
        <f>SUM(North!G60:I60)-North!F9-North!F12</f>
        <v>1012300</v>
      </c>
      <c r="Q16" s="934">
        <f>SUM(P16:P19)</f>
        <v>1230658.7877735808</v>
      </c>
    </row>
    <row r="17" spans="1:18" x14ac:dyDescent="0.25">
      <c r="A17" s="95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1"/>
      <c r="M17" s="932"/>
      <c r="N17" s="932"/>
      <c r="O17" s="147" t="s">
        <v>206</v>
      </c>
      <c r="P17" s="147">
        <f>N15/($N$3+$N$15+$N$34+$N$50+$N$61+$N$73+$N$85)*'Future Improve'!$D$8</f>
        <v>72795.961891762287</v>
      </c>
      <c r="Q17" s="934"/>
      <c r="R17" s="145" t="s">
        <v>505</v>
      </c>
    </row>
    <row r="18" spans="1:18" x14ac:dyDescent="0.25">
      <c r="A18" s="95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1"/>
      <c r="M18" s="932"/>
      <c r="N18" s="932"/>
      <c r="O18" s="147" t="s">
        <v>207</v>
      </c>
      <c r="P18" s="147">
        <f>N15/($N$15+$N$34+$N$50+$N$61+$N$73+$N$85)*'Future Improve'!$D$9</f>
        <v>65562.825881818426</v>
      </c>
      <c r="Q18" s="934"/>
      <c r="R18" s="710">
        <v>300000</v>
      </c>
    </row>
    <row r="19" spans="1:18" x14ac:dyDescent="0.25">
      <c r="A19" s="95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1"/>
      <c r="M19" s="932"/>
      <c r="N19" s="932"/>
      <c r="O19" s="147" t="s">
        <v>219</v>
      </c>
      <c r="P19" s="147">
        <f>'Levee &amp; Monitor'!E18</f>
        <v>80000</v>
      </c>
      <c r="Q19" s="934"/>
    </row>
    <row r="20" spans="1:18" x14ac:dyDescent="0.25">
      <c r="A20" s="95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1"/>
      <c r="M20" s="932"/>
      <c r="N20" s="932"/>
      <c r="O20" s="165" t="s">
        <v>220</v>
      </c>
      <c r="P20" s="165">
        <f>0.19*Q16</f>
        <v>233825.16967698035</v>
      </c>
      <c r="Q20" s="189"/>
    </row>
    <row r="21" spans="1:18" x14ac:dyDescent="0.25">
      <c r="A21" s="95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1"/>
      <c r="M21" s="932"/>
      <c r="N21" s="932"/>
      <c r="O21" s="165" t="s">
        <v>221</v>
      </c>
      <c r="P21" s="165">
        <f>0.02*Q16*0</f>
        <v>0</v>
      </c>
    </row>
    <row r="22" spans="1:18" x14ac:dyDescent="0.25">
      <c r="A22" s="95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1"/>
      <c r="M22" s="932"/>
      <c r="N22" s="932"/>
      <c r="O22" s="165" t="s">
        <v>222</v>
      </c>
      <c r="P22" s="165">
        <v>500000</v>
      </c>
    </row>
    <row r="23" spans="1:18" x14ac:dyDescent="0.25">
      <c r="A23" s="95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1"/>
      <c r="M23" s="932"/>
      <c r="N23" s="932"/>
      <c r="O23" s="526" t="s">
        <v>232</v>
      </c>
      <c r="P23" s="526">
        <f>0.518*1.2*(Q16+P20)</f>
        <v>910323.2279512689</v>
      </c>
    </row>
    <row r="24" spans="1:18" x14ac:dyDescent="0.25">
      <c r="A24" s="95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1"/>
      <c r="M24" s="932"/>
      <c r="N24" s="932"/>
      <c r="O24" s="935"/>
      <c r="P24" s="935"/>
    </row>
    <row r="25" spans="1:18" x14ac:dyDescent="0.25">
      <c r="A25" s="95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1"/>
      <c r="M25" s="932"/>
      <c r="N25" s="932"/>
      <c r="O25" s="935"/>
      <c r="P25" s="935"/>
    </row>
    <row r="26" spans="1:18" x14ac:dyDescent="0.25">
      <c r="A26" s="95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1"/>
      <c r="M26" s="932"/>
      <c r="N26" s="932"/>
      <c r="O26" s="935"/>
      <c r="P26" s="935"/>
    </row>
    <row r="27" spans="1:18" x14ac:dyDescent="0.25">
      <c r="A27" s="95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1"/>
      <c r="M27" s="932"/>
      <c r="N27" s="932"/>
      <c r="O27" s="935"/>
      <c r="P27" s="935"/>
    </row>
    <row r="28" spans="1:18" x14ac:dyDescent="0.25">
      <c r="A28" s="95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1"/>
      <c r="M28" s="932"/>
      <c r="N28" s="932"/>
      <c r="O28" s="935"/>
      <c r="P28" s="935"/>
    </row>
    <row r="29" spans="1:18" x14ac:dyDescent="0.25">
      <c r="A29" s="95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1"/>
      <c r="M29" s="932"/>
      <c r="N29" s="932"/>
      <c r="O29" s="935"/>
      <c r="P29" s="935"/>
    </row>
    <row r="30" spans="1:18" x14ac:dyDescent="0.25">
      <c r="A30" s="95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1"/>
      <c r="M30" s="932"/>
      <c r="N30" s="932"/>
      <c r="O30" s="935"/>
      <c r="P30" s="935"/>
    </row>
    <row r="31" spans="1:18" x14ac:dyDescent="0.25">
      <c r="A31" s="95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1"/>
      <c r="M31" s="932"/>
      <c r="N31" s="932"/>
      <c r="O31" s="935"/>
      <c r="P31" s="935"/>
    </row>
    <row r="32" spans="1:18" x14ac:dyDescent="0.25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5">
      <c r="A33" s="105"/>
      <c r="B33" s="97"/>
      <c r="C33" s="97"/>
      <c r="F33" s="158"/>
      <c r="G33" s="160"/>
      <c r="H33" s="106"/>
      <c r="I33" s="106"/>
      <c r="K33" s="259"/>
    </row>
    <row r="34" spans="1:17" x14ac:dyDescent="0.25">
      <c r="A34" s="94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47">
        <f>SUM(C34:C47)</f>
        <v>774.67951749999997</v>
      </c>
      <c r="M34" s="950">
        <f>SUM(E34:E47)/L34</f>
        <v>0.42847904262552028</v>
      </c>
      <c r="N34" s="950">
        <f>L34*M34</f>
        <v>331.93393799999996</v>
      </c>
      <c r="O34" s="933">
        <f>SUM(P35:P43)</f>
        <v>1774153.9078312526</v>
      </c>
      <c r="P34" s="933"/>
    </row>
    <row r="35" spans="1:17" x14ac:dyDescent="0.25">
      <c r="A35" s="94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48"/>
      <c r="M35" s="951"/>
      <c r="N35" s="951"/>
      <c r="O35" s="147" t="s">
        <v>202</v>
      </c>
      <c r="P35" s="147">
        <v>0</v>
      </c>
      <c r="Q35" s="919">
        <f>SUM(P35:P39)</f>
        <v>660284.63838560344</v>
      </c>
    </row>
    <row r="36" spans="1:17" x14ac:dyDescent="0.25">
      <c r="A36" s="94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48"/>
      <c r="M36" s="951"/>
      <c r="N36" s="951"/>
      <c r="O36" s="147" t="s">
        <v>206</v>
      </c>
      <c r="P36" s="245">
        <f>N34/($N$3+$N$15+$N$34+$N$50+$N$61+$N$73+$N$85)*'Future Improve'!$D$8</f>
        <v>73809.227113422516</v>
      </c>
      <c r="Q36" s="920"/>
    </row>
    <row r="37" spans="1:17" x14ac:dyDescent="0.25">
      <c r="A37" s="94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48"/>
      <c r="M37" s="951"/>
      <c r="N37" s="951"/>
      <c r="O37" s="147" t="s">
        <v>207</v>
      </c>
      <c r="P37" s="147">
        <f>N34/($N$15+$N$34+$N$50+$N$61+$N$73+$N$85)*'Future Improve'!$D$9</f>
        <v>66475.41127218098</v>
      </c>
      <c r="Q37" s="920"/>
    </row>
    <row r="38" spans="1:17" x14ac:dyDescent="0.25">
      <c r="A38" s="94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48"/>
      <c r="M38" s="951"/>
      <c r="N38" s="951"/>
      <c r="O38" s="248" t="s">
        <v>211</v>
      </c>
      <c r="P38" s="248">
        <f>'Future Improve'!D13</f>
        <v>400000</v>
      </c>
      <c r="Q38" s="920"/>
    </row>
    <row r="39" spans="1:17" x14ac:dyDescent="0.25">
      <c r="A39" s="94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48"/>
      <c r="M39" s="951"/>
      <c r="N39" s="951"/>
      <c r="O39" s="147" t="s">
        <v>219</v>
      </c>
      <c r="P39" s="147">
        <f>'Levee &amp; Monitor'!E19+'Levee &amp; Monitor'!E20</f>
        <v>120000</v>
      </c>
      <c r="Q39" s="921"/>
    </row>
    <row r="40" spans="1:17" x14ac:dyDescent="0.25">
      <c r="A40" s="94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48"/>
      <c r="M40" s="951"/>
      <c r="N40" s="951"/>
      <c r="O40" s="165" t="s">
        <v>220</v>
      </c>
      <c r="P40" s="165">
        <f>0.19*Q35</f>
        <v>125454.08129326465</v>
      </c>
    </row>
    <row r="41" spans="1:17" x14ac:dyDescent="0.25">
      <c r="A41" s="94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48"/>
      <c r="M41" s="951"/>
      <c r="N41" s="951"/>
      <c r="O41" s="165" t="s">
        <v>221</v>
      </c>
      <c r="P41" s="165">
        <f>0.02*Q35*0</f>
        <v>0</v>
      </c>
    </row>
    <row r="42" spans="1:17" x14ac:dyDescent="0.25">
      <c r="A42" s="94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48"/>
      <c r="M42" s="951"/>
      <c r="N42" s="951"/>
      <c r="O42" s="165" t="s">
        <v>222</v>
      </c>
      <c r="P42" s="165">
        <v>500000</v>
      </c>
    </row>
    <row r="43" spans="1:17" x14ac:dyDescent="0.25">
      <c r="A43" s="94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48"/>
      <c r="M43" s="951"/>
      <c r="N43" s="951"/>
      <c r="O43" s="526" t="s">
        <v>232</v>
      </c>
      <c r="P43" s="526">
        <f>0.518*1.2*(Q35+P40)</f>
        <v>488415.18815238442</v>
      </c>
    </row>
    <row r="44" spans="1:17" x14ac:dyDescent="0.25">
      <c r="A44" s="94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48"/>
      <c r="M44" s="951"/>
      <c r="N44" s="951"/>
      <c r="O44" s="953"/>
      <c r="P44" s="954"/>
    </row>
    <row r="45" spans="1:17" x14ac:dyDescent="0.25">
      <c r="A45" s="94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48"/>
      <c r="M45" s="951"/>
      <c r="N45" s="951"/>
      <c r="O45" s="955"/>
      <c r="P45" s="956"/>
    </row>
    <row r="46" spans="1:17" x14ac:dyDescent="0.25">
      <c r="A46" s="94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48"/>
      <c r="M46" s="951"/>
      <c r="N46" s="951"/>
      <c r="O46" s="955"/>
      <c r="P46" s="956"/>
    </row>
    <row r="47" spans="1:17" x14ac:dyDescent="0.25">
      <c r="A47" s="94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49"/>
      <c r="M47" s="952"/>
      <c r="N47" s="952"/>
      <c r="O47" s="957"/>
      <c r="P47" s="958"/>
    </row>
    <row r="48" spans="1:17" x14ac:dyDescent="0.25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5">
      <c r="A49" s="105"/>
      <c r="B49" s="109"/>
      <c r="C49" s="110"/>
    </row>
    <row r="50" spans="1:17" x14ac:dyDescent="0.25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1">
        <f>SUM(C50:C56)</f>
        <v>215.07363000000001</v>
      </c>
      <c r="M50" s="932">
        <f>SUM(E50:E56)/L50</f>
        <v>0.65539114674355947</v>
      </c>
      <c r="N50" s="932">
        <f>L50*M50</f>
        <v>140.95735300000001</v>
      </c>
      <c r="O50" s="933">
        <f>SUM(P51:P59)</f>
        <v>832251.58408104989</v>
      </c>
      <c r="P50" s="933"/>
    </row>
    <row r="51" spans="1:17" x14ac:dyDescent="0.25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1"/>
      <c r="M51" s="932"/>
      <c r="N51" s="932"/>
      <c r="O51" s="147" t="s">
        <v>202</v>
      </c>
      <c r="P51" s="147">
        <v>0</v>
      </c>
      <c r="Q51" s="967">
        <f>SUM(P51:P55)</f>
        <v>172177.48633005368</v>
      </c>
    </row>
    <row r="52" spans="1:17" x14ac:dyDescent="0.25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1"/>
      <c r="M52" s="932"/>
      <c r="N52" s="932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5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1"/>
      <c r="M53" s="932"/>
      <c r="N53" s="932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5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1"/>
      <c r="M54" s="932"/>
      <c r="N54" s="932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5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1"/>
      <c r="M55" s="932"/>
      <c r="N55" s="932"/>
      <c r="O55" s="147" t="s">
        <v>219</v>
      </c>
      <c r="P55" s="147">
        <f>'Levee &amp; Monitor'!E21</f>
        <v>80000</v>
      </c>
      <c r="Q55" s="967"/>
    </row>
    <row r="56" spans="1:17" x14ac:dyDescent="0.25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1"/>
      <c r="M56" s="932"/>
      <c r="N56" s="932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5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5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5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5">
      <c r="A60" s="96"/>
      <c r="B60" s="97"/>
      <c r="C60" s="97"/>
    </row>
    <row r="61" spans="1:17" x14ac:dyDescent="0.25">
      <c r="A61" s="936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1">
        <f>SUM(C61:C70)</f>
        <v>298.53818999999999</v>
      </c>
      <c r="M61" s="932">
        <f>SUM(E61:E70)/L61</f>
        <v>0.47549007549084421</v>
      </c>
      <c r="N61" s="932">
        <f>L61*M61</f>
        <v>141.95194649999999</v>
      </c>
      <c r="O61" s="933">
        <f>SUM(P62:P71)</f>
        <v>2184299.4699470978</v>
      </c>
      <c r="P61" s="933"/>
    </row>
    <row r="62" spans="1:17" x14ac:dyDescent="0.25">
      <c r="A62" s="936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1"/>
      <c r="M62" s="932"/>
      <c r="N62" s="932"/>
      <c r="O62" s="147" t="s">
        <v>202</v>
      </c>
      <c r="P62" s="147">
        <v>0</v>
      </c>
      <c r="Q62" s="967">
        <f>SUM(P62:P67)</f>
        <v>872827.88963856502</v>
      </c>
    </row>
    <row r="63" spans="1:17" x14ac:dyDescent="0.25">
      <c r="A63" s="936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1"/>
      <c r="M63" s="932"/>
      <c r="N63" s="932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5">
      <c r="A64" s="936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1"/>
      <c r="M64" s="932"/>
      <c r="N64" s="932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5">
      <c r="A65" s="936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1"/>
      <c r="M65" s="932"/>
      <c r="N65" s="932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5">
      <c r="A66" s="936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1"/>
      <c r="M66" s="932"/>
      <c r="N66" s="932"/>
      <c r="O66" s="248" t="s">
        <v>212</v>
      </c>
      <c r="P66" s="248">
        <f>'Future Improve'!D14</f>
        <v>700000</v>
      </c>
      <c r="Q66" s="967"/>
    </row>
    <row r="67" spans="1:17" x14ac:dyDescent="0.25">
      <c r="A67" s="936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1"/>
      <c r="M67" s="932"/>
      <c r="N67" s="932"/>
      <c r="O67" s="147" t="s">
        <v>219</v>
      </c>
      <c r="P67" s="147">
        <f>'Levee &amp; Monitor'!E22</f>
        <v>80000</v>
      </c>
      <c r="Q67" s="967"/>
    </row>
    <row r="68" spans="1:17" x14ac:dyDescent="0.25">
      <c r="A68" s="936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1"/>
      <c r="M68" s="932"/>
      <c r="N68" s="932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5">
      <c r="A69" s="936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1"/>
      <c r="M69" s="932"/>
      <c r="N69" s="932"/>
      <c r="O69" s="165" t="s">
        <v>221</v>
      </c>
      <c r="P69" s="165">
        <f>0.02*Q62*0</f>
        <v>0</v>
      </c>
      <c r="Q69" s="548" t="s">
        <v>344</v>
      </c>
    </row>
    <row r="70" spans="1:17" x14ac:dyDescent="0.25">
      <c r="A70" s="936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1"/>
      <c r="M70" s="932"/>
      <c r="N70" s="932"/>
      <c r="O70" s="165" t="s">
        <v>222</v>
      </c>
      <c r="P70" s="165">
        <v>500000</v>
      </c>
      <c r="Q70" s="549" t="s">
        <v>345</v>
      </c>
    </row>
    <row r="71" spans="1:17" x14ac:dyDescent="0.25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5">
      <c r="A72" s="96"/>
      <c r="B72" s="97"/>
      <c r="C72" s="97"/>
    </row>
    <row r="73" spans="1:17" x14ac:dyDescent="0.25">
      <c r="A73" s="930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1">
        <f>SUM(C73:C79)</f>
        <v>366.58715000000001</v>
      </c>
      <c r="M73" s="932">
        <f>SUM(E73:E79)/L73</f>
        <v>0.6653168366648966</v>
      </c>
      <c r="N73" s="932">
        <f>L73*M73</f>
        <v>243.89660299999997</v>
      </c>
      <c r="O73" s="933">
        <f>SUM(P74:P83)</f>
        <v>1184652.2740093032</v>
      </c>
      <c r="P73" s="933"/>
    </row>
    <row r="74" spans="1:17" x14ac:dyDescent="0.25">
      <c r="A74" s="930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1"/>
      <c r="M74" s="932"/>
      <c r="N74" s="932"/>
      <c r="O74" s="147" t="s">
        <v>202</v>
      </c>
      <c r="P74" s="147">
        <v>0</v>
      </c>
      <c r="Q74" s="967">
        <f>SUM(P74:P79)</f>
        <v>354796.52527501795</v>
      </c>
    </row>
    <row r="75" spans="1:17" x14ac:dyDescent="0.25">
      <c r="A75" s="930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1"/>
      <c r="M75" s="932"/>
      <c r="N75" s="932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5">
      <c r="A76" s="930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1"/>
      <c r="M76" s="932"/>
      <c r="N76" s="932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5">
      <c r="A77" s="930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1"/>
      <c r="M77" s="932"/>
      <c r="N77" s="932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5">
      <c r="A78" s="930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1"/>
      <c r="M78" s="932"/>
      <c r="N78" s="932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5">
      <c r="A79" s="930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1"/>
      <c r="M79" s="932"/>
      <c r="N79" s="932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5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5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5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5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5">
      <c r="A84" s="96"/>
      <c r="B84" s="97"/>
      <c r="C84" s="476" t="s">
        <v>305</v>
      </c>
      <c r="F84" s="161"/>
      <c r="G84" s="162"/>
    </row>
    <row r="85" spans="1:18" x14ac:dyDescent="0.25">
      <c r="A85" s="936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210368.69640895739</v>
      </c>
      <c r="H85" s="92">
        <f t="shared" si="9"/>
        <v>4249.824790538114</v>
      </c>
      <c r="I85" s="95">
        <f>H85/(VLOOKUP(B85,$O$122:$Q$147,3,FALSE))</f>
        <v>849.96495810762281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37">
        <f>SUM(C85:C103)</f>
        <v>3306.3592137499995</v>
      </c>
      <c r="M85" s="932">
        <f>SUM(E85:E103)/L85</f>
        <v>0.39637257513487262</v>
      </c>
      <c r="N85" s="932">
        <f>L85*M85</f>
        <v>1310.5501158750001</v>
      </c>
      <c r="O85" s="933">
        <f>SUM(P86:P96)</f>
        <v>18565361.238960583</v>
      </c>
      <c r="P85" s="933"/>
    </row>
    <row r="86" spans="1:18" x14ac:dyDescent="0.25">
      <c r="A86" s="936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507692.10164653743</v>
      </c>
      <c r="H86" s="93">
        <f t="shared" si="9"/>
        <v>12749.474371614348</v>
      </c>
      <c r="I86" s="92"/>
      <c r="J86" s="230"/>
      <c r="K86" s="228">
        <f>C86*VLOOKUP(B86,$O$122:$R$147,4,FALSE)</f>
        <v>702.83411949999993</v>
      </c>
      <c r="L86" s="937"/>
      <c r="M86" s="932"/>
      <c r="N86" s="932"/>
      <c r="O86" s="147" t="s">
        <v>202</v>
      </c>
      <c r="P86" s="147">
        <f>'South &amp; Levee'!G53-'South &amp; Levee'!F9-'South &amp; Levee'!F44</f>
        <v>6405010.0440263152</v>
      </c>
      <c r="Q86" s="934">
        <f>SUM(P86:P92)</f>
        <v>9361726.585507717</v>
      </c>
      <c r="R86" s="145" t="s">
        <v>503</v>
      </c>
    </row>
    <row r="87" spans="1:18" x14ac:dyDescent="0.25">
      <c r="A87" s="936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983064.8594873792</v>
      </c>
      <c r="H87" s="93">
        <f t="shared" ref="H87:H103" si="28">G87/C87</f>
        <v>12749.474371614346</v>
      </c>
      <c r="I87" s="92"/>
      <c r="J87" s="230"/>
      <c r="K87" s="228">
        <f>C87*VLOOKUP(B87,$O$122:$R$147,4,FALSE)</f>
        <v>1360.9262832500001</v>
      </c>
      <c r="L87" s="937"/>
      <c r="M87" s="932"/>
      <c r="N87" s="932"/>
      <c r="O87" s="147" t="s">
        <v>206</v>
      </c>
      <c r="P87" s="709">
        <f>N85/($N$3+$N$15+$N$34+$N$50+$N$61+$N$73+$N$85)*'Future Improve'!$D$8</f>
        <v>291415.4898681679</v>
      </c>
      <c r="Q87" s="934"/>
    </row>
    <row r="88" spans="1:18" x14ac:dyDescent="0.25">
      <c r="A88" s="936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358789.6659317271</v>
      </c>
      <c r="H88" s="92">
        <f t="shared" si="28"/>
        <v>9207.9537128325828</v>
      </c>
      <c r="I88" s="95">
        <f>H88/(VLOOKUP(B88,$O$122:$Q$147,3,FALSE))</f>
        <v>541.64433604897545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37"/>
      <c r="M88" s="932"/>
      <c r="N88" s="932"/>
      <c r="O88" s="147" t="s">
        <v>207</v>
      </c>
      <c r="P88" s="709">
        <f>N85/($N$15+$N$34+$N$50+$N$61+$N$73+$N$85)*'Future Improve'!$D$9</f>
        <v>262459.92943811329</v>
      </c>
      <c r="Q88" s="934"/>
    </row>
    <row r="89" spans="1:18" x14ac:dyDescent="0.25">
      <c r="A89" s="936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2450464.2381783165</v>
      </c>
      <c r="H89" s="93">
        <f t="shared" si="28"/>
        <v>9916.2578445889339</v>
      </c>
      <c r="I89" s="92"/>
      <c r="J89" s="230"/>
      <c r="K89" s="228">
        <f>C89*VLOOKUP(B89,$O$122:$R$147,4,FALSE)</f>
        <v>3392.9002772500007</v>
      </c>
      <c r="L89" s="937"/>
      <c r="M89" s="932"/>
      <c r="N89" s="932"/>
      <c r="O89" s="147" t="s">
        <v>209</v>
      </c>
      <c r="P89" s="709">
        <f>N85/($N$50+$N$61+$N$73+$N$85)*'Future Improve'!$D$10</f>
        <v>303144.18853863952</v>
      </c>
      <c r="Q89" s="934"/>
      <c r="R89" s="145" t="s">
        <v>504</v>
      </c>
    </row>
    <row r="90" spans="1:18" x14ac:dyDescent="0.25">
      <c r="A90" s="936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5994989.2043501306</v>
      </c>
      <c r="H90" s="92">
        <f t="shared" si="28"/>
        <v>4249.8247905381149</v>
      </c>
      <c r="I90" s="95">
        <f>H90/(VLOOKUP(B90,$O$122:$Q$147,3,FALSE))</f>
        <v>849.96495810762303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37"/>
      <c r="M90" s="932"/>
      <c r="N90" s="932"/>
      <c r="O90" s="147" t="s">
        <v>210</v>
      </c>
      <c r="P90" s="709">
        <f>N85/($N$73+$N$85)*'Future Improve'!$D$11</f>
        <v>189696.93363648004</v>
      </c>
      <c r="Q90" s="934"/>
      <c r="R90" s="289">
        <f>Q86+150000</f>
        <v>9511726.585507717</v>
      </c>
    </row>
    <row r="91" spans="1:18" x14ac:dyDescent="0.25">
      <c r="A91" s="936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33169.089189522419</v>
      </c>
      <c r="H91" s="93">
        <f t="shared" si="28"/>
        <v>9916.2578445889339</v>
      </c>
      <c r="I91" s="92"/>
      <c r="J91" s="230"/>
      <c r="K91" s="228">
        <f>C91*VLOOKUP(B91,$O$122:$R$147,4,FALSE)</f>
        <v>45.925751600000005</v>
      </c>
      <c r="L91" s="937"/>
      <c r="M91" s="932"/>
      <c r="N91" s="932"/>
      <c r="O91" s="147" t="s">
        <v>291</v>
      </c>
      <c r="P91" s="147">
        <f>'South &amp; Levee'!F9+'South &amp; Levee'!F44</f>
        <v>1750000</v>
      </c>
      <c r="Q91" s="934"/>
    </row>
    <row r="92" spans="1:18" x14ac:dyDescent="0.25">
      <c r="A92" s="936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459279.73381527147</v>
      </c>
      <c r="H92" s="92">
        <f t="shared" si="28"/>
        <v>7083.0413175635249</v>
      </c>
      <c r="I92" s="95">
        <f>H92/(VLOOKUP(B92,$O$122:$Q$147,3,FALSE))</f>
        <v>708.30413175635249</v>
      </c>
      <c r="J92" s="228">
        <f>C92*VLOOKUP(B92,$O$122:$R$147,3,FALSE)</f>
        <v>648.42165</v>
      </c>
      <c r="K92" s="228">
        <f>J92*VLOOKUP(B92,$O$122:$R$147,4,FALSE)</f>
        <v>603.03213449999998</v>
      </c>
      <c r="L92" s="937"/>
      <c r="M92" s="932"/>
      <c r="N92" s="932"/>
      <c r="O92" s="147" t="s">
        <v>219</v>
      </c>
      <c r="P92" s="147">
        <f>'Levee &amp; Monitor'!E24</f>
        <v>160000</v>
      </c>
      <c r="Q92" s="934"/>
    </row>
    <row r="93" spans="1:18" x14ac:dyDescent="0.25">
      <c r="A93" s="936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106640.93846546875</v>
      </c>
      <c r="H93" s="93">
        <f t="shared" si="28"/>
        <v>12749.474371614346</v>
      </c>
      <c r="I93" s="92"/>
      <c r="J93" s="230"/>
      <c r="K93" s="228">
        <f>C93*VLOOKUP(B93,$O$122:$R$147,4,FALSE)</f>
        <v>147.63060099999998</v>
      </c>
      <c r="L93" s="937"/>
      <c r="M93" s="932"/>
      <c r="N93" s="932"/>
      <c r="O93" s="165" t="s">
        <v>220</v>
      </c>
      <c r="P93" s="165">
        <f>0.19*Q86</f>
        <v>1778728.0512464663</v>
      </c>
      <c r="Q93" s="435" t="s">
        <v>292</v>
      </c>
    </row>
    <row r="94" spans="1:18" x14ac:dyDescent="0.25">
      <c r="A94" s="936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48224.766398928878</v>
      </c>
      <c r="H94" s="93">
        <f t="shared" si="28"/>
        <v>1416.6082635127052</v>
      </c>
      <c r="I94" s="92"/>
      <c r="J94" s="230"/>
      <c r="K94" s="228">
        <f>C94*VLOOKUP(B94,$O$122:$R$147,4,FALSE)</f>
        <v>0</v>
      </c>
      <c r="L94" s="937"/>
      <c r="M94" s="932"/>
      <c r="N94" s="932"/>
      <c r="O94" s="165" t="s">
        <v>221</v>
      </c>
      <c r="P94" s="165">
        <f>0.02*Q86*0</f>
        <v>0</v>
      </c>
      <c r="Q94" s="436" t="s">
        <v>293</v>
      </c>
    </row>
    <row r="95" spans="1:18" x14ac:dyDescent="0.25">
      <c r="A95" s="936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8722.3828983483381</v>
      </c>
      <c r="H95" s="93">
        <f t="shared" si="28"/>
        <v>1416.6082635127052</v>
      </c>
      <c r="I95" s="92"/>
      <c r="J95" s="230"/>
      <c r="K95" s="228">
        <f>C95*VLOOKUP(B95,$O$122:$R$147,4,FALSE)</f>
        <v>6.1572300000000029</v>
      </c>
      <c r="L95" s="937"/>
      <c r="M95" s="932"/>
      <c r="N95" s="932"/>
      <c r="O95" s="165" t="s">
        <v>222</v>
      </c>
      <c r="P95" s="165">
        <v>500000</v>
      </c>
      <c r="Q95" s="437"/>
    </row>
    <row r="96" spans="1:18" x14ac:dyDescent="0.25">
      <c r="A96" s="936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2042033.5234040488</v>
      </c>
      <c r="H96" s="92">
        <f t="shared" si="28"/>
        <v>4249.8247905381158</v>
      </c>
      <c r="I96" s="95">
        <f>H96/(VLOOKUP(B96,$O$122:$Q$147,3,FALSE))</f>
        <v>849.96495810762315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37"/>
      <c r="M96" s="932"/>
      <c r="N96" s="932"/>
      <c r="O96" s="526" t="s">
        <v>232</v>
      </c>
      <c r="P96" s="526">
        <f>0.518*1.2*(Q86+P93)</f>
        <v>6924906.6022064006</v>
      </c>
    </row>
    <row r="97" spans="1:18" x14ac:dyDescent="0.25">
      <c r="A97" s="936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829385.51092086337</v>
      </c>
      <c r="H97" s="92">
        <f t="shared" si="28"/>
        <v>4249.8247905381149</v>
      </c>
      <c r="I97" s="95">
        <f>H97/(VLOOKUP(B97,$O$122:$Q$147,3,FALSE))</f>
        <v>849.96495810762303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37"/>
      <c r="M97" s="932"/>
      <c r="N97" s="932"/>
      <c r="O97" s="938" t="s">
        <v>163</v>
      </c>
      <c r="P97" s="938"/>
    </row>
    <row r="98" spans="1:18" x14ac:dyDescent="0.25">
      <c r="A98" s="936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1427406.1970913804</v>
      </c>
      <c r="H98" s="93">
        <f t="shared" si="28"/>
        <v>9916.2578445889358</v>
      </c>
      <c r="I98" s="92"/>
      <c r="J98" s="230"/>
      <c r="K98" s="228">
        <f>C98*VLOOKUP(B98,$O$122:$R$147,4,FALSE)</f>
        <v>1976.3793351500001</v>
      </c>
      <c r="L98" s="937"/>
      <c r="M98" s="932"/>
      <c r="N98" s="932"/>
      <c r="O98" s="938"/>
      <c r="P98" s="938"/>
    </row>
    <row r="99" spans="1:18" x14ac:dyDescent="0.25">
      <c r="A99" s="936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1480749.2134153889</v>
      </c>
      <c r="H99" s="93">
        <f t="shared" si="28"/>
        <v>12749.474371614344</v>
      </c>
      <c r="I99" s="92"/>
      <c r="J99" s="230"/>
      <c r="K99" s="228">
        <f>C99*VLOOKUP(B99,$O$122:$R$147,4,FALSE)</f>
        <v>2049.9059690624999</v>
      </c>
      <c r="L99" s="937"/>
      <c r="M99" s="932"/>
      <c r="N99" s="932"/>
      <c r="O99" s="938"/>
      <c r="P99" s="938"/>
    </row>
    <row r="100" spans="1:18" x14ac:dyDescent="0.25">
      <c r="A100" s="936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869598.02243633964</v>
      </c>
      <c r="H100" s="92">
        <f t="shared" si="28"/>
        <v>4249.8247905381149</v>
      </c>
      <c r="I100" s="95">
        <f>H100/(VLOOKUP(B100,$O$122:$Q$147,3,FALSE))</f>
        <v>849.96495810762303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37"/>
      <c r="M100" s="932"/>
      <c r="N100" s="932"/>
      <c r="O100" s="938"/>
      <c r="P100" s="938"/>
    </row>
    <row r="101" spans="1:18" x14ac:dyDescent="0.25">
      <c r="A101" s="936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18037.974048563268</v>
      </c>
      <c r="H101" s="93">
        <f t="shared" si="28"/>
        <v>1416.608263512705</v>
      </c>
      <c r="I101" s="92"/>
      <c r="J101" s="230"/>
      <c r="K101" s="228">
        <f>C101*VLOOKUP(B101,$O$122:$R$147,4,FALSE)</f>
        <v>0</v>
      </c>
      <c r="L101" s="937"/>
      <c r="M101" s="932"/>
      <c r="N101" s="932"/>
      <c r="O101" s="938"/>
      <c r="P101" s="938"/>
    </row>
    <row r="102" spans="1:18" x14ac:dyDescent="0.25">
      <c r="A102" s="936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179213.79397130726</v>
      </c>
      <c r="H102" s="92">
        <f t="shared" si="28"/>
        <v>4249.8247905381149</v>
      </c>
      <c r="I102" s="95">
        <f>H102/(VLOOKUP(B102,$O$122:$Q$147,3,FALSE))</f>
        <v>2124.9123952690575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37"/>
      <c r="M102" s="932"/>
      <c r="N102" s="932"/>
      <c r="O102" s="938"/>
      <c r="P102" s="938"/>
    </row>
    <row r="103" spans="1:18" x14ac:dyDescent="0.25">
      <c r="A103" s="936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557531.32690210233</v>
      </c>
      <c r="H103" s="92">
        <f t="shared" si="28"/>
        <v>4249.8247905381149</v>
      </c>
      <c r="I103" s="95">
        <f>H103/(VLOOKUP(B103,$O$122:$Q$147,3,FALSE))</f>
        <v>2124.9123952690575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37"/>
      <c r="M103" s="932"/>
      <c r="N103" s="932"/>
      <c r="O103" s="938"/>
      <c r="P103" s="938"/>
    </row>
    <row r="104" spans="1:18" x14ac:dyDescent="0.25">
      <c r="A104" s="477" t="s">
        <v>321</v>
      </c>
      <c r="B104" s="97"/>
      <c r="C104" s="97"/>
      <c r="F104" s="158">
        <f>SUM(F85:F103)</f>
        <v>1</v>
      </c>
      <c r="G104" s="159">
        <f>SUM(G85:G103)</f>
        <v>18565361.238960579</v>
      </c>
      <c r="K104" s="235">
        <f>SUM(K85:K103)</f>
        <v>23278.5276935125</v>
      </c>
    </row>
    <row r="105" spans="1:18" x14ac:dyDescent="0.25">
      <c r="A105" s="96"/>
      <c r="B105" s="97"/>
      <c r="C105" s="97"/>
    </row>
    <row r="106" spans="1:18" x14ac:dyDescent="0.25">
      <c r="A106" s="244" t="s">
        <v>113</v>
      </c>
      <c r="B106" s="97"/>
      <c r="C106" s="97"/>
    </row>
    <row r="107" spans="1:18" x14ac:dyDescent="0.25">
      <c r="A107" s="930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1">
        <f>SUM(C107:C118)</f>
        <v>1416.3240375499997</v>
      </c>
      <c r="M107" s="932">
        <f>SUM(E107:E118)/L107</f>
        <v>0.37602790087236559</v>
      </c>
      <c r="N107" s="932">
        <f>L107*M107</f>
        <v>532.57735479499991</v>
      </c>
      <c r="O107" s="933">
        <f>SUM(P108:P114)</f>
        <v>3394556</v>
      </c>
      <c r="P107" s="933"/>
    </row>
    <row r="108" spans="1:18" x14ac:dyDescent="0.25">
      <c r="A108" s="930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1"/>
      <c r="M108" s="932"/>
      <c r="N108" s="932"/>
      <c r="O108" s="147" t="s">
        <v>202</v>
      </c>
      <c r="P108" s="147">
        <f>Trails!G14-Trails!F10</f>
        <v>0</v>
      </c>
      <c r="Q108" s="934">
        <f>SUM(P108:P110)</f>
        <v>1500000</v>
      </c>
    </row>
    <row r="109" spans="1:18" x14ac:dyDescent="0.25">
      <c r="A109" s="930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1"/>
      <c r="M109" s="932"/>
      <c r="N109" s="932"/>
      <c r="O109" s="147" t="s">
        <v>223</v>
      </c>
      <c r="P109" s="147">
        <f>Trails!F10</f>
        <v>1500000</v>
      </c>
      <c r="Q109" s="934"/>
      <c r="R109" s="145" t="s">
        <v>506</v>
      </c>
    </row>
    <row r="110" spans="1:18" x14ac:dyDescent="0.25">
      <c r="A110" s="930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1"/>
      <c r="M110" s="932"/>
      <c r="N110" s="932"/>
      <c r="O110" s="147" t="s">
        <v>219</v>
      </c>
      <c r="P110" s="147">
        <f>'Levee &amp; Monitor'!E27*0</f>
        <v>0</v>
      </c>
      <c r="Q110" s="934"/>
    </row>
    <row r="111" spans="1:18" x14ac:dyDescent="0.25">
      <c r="A111" s="930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1"/>
      <c r="M111" s="932"/>
      <c r="N111" s="932"/>
      <c r="O111" s="165" t="s">
        <v>220</v>
      </c>
      <c r="P111" s="165">
        <f>0.19*Q108</f>
        <v>285000</v>
      </c>
      <c r="Q111" s="189"/>
    </row>
    <row r="112" spans="1:18" x14ac:dyDescent="0.25">
      <c r="A112" s="930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1"/>
      <c r="M112" s="932"/>
      <c r="N112" s="932"/>
      <c r="O112" s="165" t="s">
        <v>221</v>
      </c>
      <c r="P112" s="165">
        <f>0.02*Q108*0</f>
        <v>0</v>
      </c>
    </row>
    <row r="113" spans="1:18" x14ac:dyDescent="0.25">
      <c r="A113" s="930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1"/>
      <c r="M113" s="932"/>
      <c r="N113" s="932"/>
      <c r="O113" s="165" t="s">
        <v>222</v>
      </c>
      <c r="P113" s="165">
        <v>500000</v>
      </c>
    </row>
    <row r="114" spans="1:18" x14ac:dyDescent="0.25">
      <c r="A114" s="930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1"/>
      <c r="M114" s="932"/>
      <c r="N114" s="932"/>
      <c r="O114" s="526" t="s">
        <v>232</v>
      </c>
      <c r="P114" s="526">
        <f>0.518*1.2*(Q108+P111)</f>
        <v>1109556</v>
      </c>
    </row>
    <row r="115" spans="1:18" x14ac:dyDescent="0.25">
      <c r="A115" s="930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1"/>
      <c r="M115" s="932"/>
      <c r="N115" s="932"/>
      <c r="O115" s="935"/>
      <c r="P115" s="935"/>
    </row>
    <row r="116" spans="1:18" x14ac:dyDescent="0.25">
      <c r="A116" s="930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1"/>
      <c r="M116" s="932"/>
      <c r="N116" s="932"/>
      <c r="O116" s="935"/>
      <c r="P116" s="935"/>
    </row>
    <row r="117" spans="1:18" x14ac:dyDescent="0.25">
      <c r="A117" s="930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1"/>
      <c r="M117" s="932"/>
      <c r="N117" s="932"/>
      <c r="O117" s="935"/>
      <c r="P117" s="935"/>
    </row>
    <row r="118" spans="1:18" x14ac:dyDescent="0.25">
      <c r="A118" s="930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1"/>
      <c r="M118" s="932"/>
      <c r="N118" s="932"/>
      <c r="O118" s="935"/>
      <c r="P118" s="935"/>
    </row>
    <row r="119" spans="1:18" ht="13.8" thickBot="1" x14ac:dyDescent="0.3">
      <c r="A119" s="924" t="s">
        <v>224</v>
      </c>
      <c r="B119" s="925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12927310.044026315</v>
      </c>
    </row>
    <row r="120" spans="1:18" ht="13.8" thickBot="1" x14ac:dyDescent="0.3">
      <c r="J120" s="236" t="s">
        <v>242</v>
      </c>
      <c r="K120" s="236">
        <f>K12+K32+K48+K57+K71+K80+K104+K119</f>
        <v>69036.452432894992</v>
      </c>
      <c r="O120" s="926" t="s">
        <v>225</v>
      </c>
      <c r="P120" s="927"/>
      <c r="Q120" s="927"/>
      <c r="R120" s="928"/>
    </row>
    <row r="121" spans="1:18" x14ac:dyDescent="0.25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5">
      <c r="E122" s="929" t="s">
        <v>231</v>
      </c>
      <c r="F122" s="929"/>
      <c r="G122" s="929"/>
      <c r="H122" s="929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5">
      <c r="E123" s="190" t="s">
        <v>206</v>
      </c>
      <c r="F123" s="191">
        <f>P5+P17+P36+P52+P63+P75+P87</f>
        <v>750000</v>
      </c>
      <c r="G123" s="915" t="str">
        <f>IF(F123='Future Improve'!D8,"Good! Matched!", "No Good!")</f>
        <v>Good! Matched!</v>
      </c>
      <c r="H123" s="915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5">
      <c r="E124" s="190" t="s">
        <v>207</v>
      </c>
      <c r="F124" s="191">
        <f>P18+P37+P53+P64+P76+P88</f>
        <v>499999.99999999988</v>
      </c>
      <c r="G124" s="915" t="str">
        <f>IF(F124='Future Improve'!D9,"Good! Matched!", "No Good!")</f>
        <v>Good! Matched!</v>
      </c>
      <c r="H124" s="915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5">
      <c r="E125" s="190" t="s">
        <v>209</v>
      </c>
      <c r="F125" s="191">
        <f>P54+P65+P77+P89</f>
        <v>425000</v>
      </c>
      <c r="G125" s="915" t="str">
        <f>IF(F125='Future Improve'!D10,"Good! Matched!", "No Good!")</f>
        <v>Good! Matched!</v>
      </c>
      <c r="H125" s="915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5">
      <c r="E126" s="190" t="s">
        <v>210</v>
      </c>
      <c r="F126" s="191">
        <f>P78+P90</f>
        <v>225000</v>
      </c>
      <c r="G126" s="915" t="str">
        <f>IF(F126='Future Improve'!D11,"Good! Matched!", "No Good!")</f>
        <v>Good! Matched!</v>
      </c>
      <c r="H126" s="915"/>
      <c r="O126" s="169" t="s">
        <v>140</v>
      </c>
      <c r="P126" s="170">
        <v>0.1</v>
      </c>
      <c r="Q126" s="231"/>
      <c r="R126" s="225">
        <v>0</v>
      </c>
    </row>
    <row r="127" spans="1:18" x14ac:dyDescent="0.25">
      <c r="O127" s="169" t="s">
        <v>134</v>
      </c>
      <c r="P127" s="170">
        <v>0.1</v>
      </c>
      <c r="Q127" s="232"/>
      <c r="R127" s="225">
        <v>0</v>
      </c>
    </row>
    <row r="128" spans="1:18" x14ac:dyDescent="0.25">
      <c r="O128" s="169" t="s">
        <v>136</v>
      </c>
      <c r="P128" s="170">
        <v>0.1</v>
      </c>
      <c r="Q128" s="233"/>
      <c r="R128" s="225">
        <v>1</v>
      </c>
    </row>
    <row r="129" spans="1:18" ht="26.4" x14ac:dyDescent="0.25">
      <c r="A129" s="111" t="s">
        <v>419</v>
      </c>
      <c r="B129" s="660" t="s">
        <v>420</v>
      </c>
      <c r="C129" s="661" t="s">
        <v>421</v>
      </c>
      <c r="F129" s="666" t="s">
        <v>420</v>
      </c>
      <c r="G129" s="667" t="s">
        <v>421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5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5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5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5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5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5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5">
      <c r="A136" s="111" t="s">
        <v>262</v>
      </c>
      <c r="B136" s="658">
        <f>Q86</f>
        <v>9361726.585507717</v>
      </c>
      <c r="C136" s="657">
        <f>'PFF-Zones (Combined)'!B145</f>
        <v>9744326.8516279105</v>
      </c>
      <c r="E136" s="576">
        <f t="shared" si="33"/>
        <v>382600.26612019353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5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5">
      <c r="B138" s="657">
        <f>SUM(B130:B137)</f>
        <v>14427310.044026317</v>
      </c>
      <c r="C138" s="657">
        <f>SUM(C130:C137)</f>
        <v>14718256.043717012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5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5">
      <c r="B140" s="657">
        <f>B138+B139</f>
        <v>14917310.044026317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5">
      <c r="O141" s="169" t="s">
        <v>155</v>
      </c>
      <c r="P141" s="170">
        <v>0.1</v>
      </c>
      <c r="Q141" s="231"/>
      <c r="R141" s="225">
        <v>0</v>
      </c>
    </row>
    <row r="142" spans="1:18" x14ac:dyDescent="0.25">
      <c r="O142" s="169" t="s">
        <v>156</v>
      </c>
      <c r="P142" s="170">
        <v>0.1</v>
      </c>
      <c r="Q142" s="233"/>
      <c r="R142" s="225">
        <v>1</v>
      </c>
    </row>
    <row r="143" spans="1:18" x14ac:dyDescent="0.25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5">
      <c r="O144" s="169" t="s">
        <v>157</v>
      </c>
      <c r="P144" s="170">
        <v>0.7</v>
      </c>
      <c r="Q144" s="231"/>
      <c r="R144" s="225">
        <v>13.73</v>
      </c>
    </row>
    <row r="145" spans="15:18" x14ac:dyDescent="0.25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5">
      <c r="O146" s="169" t="s">
        <v>151</v>
      </c>
      <c r="P146" s="170">
        <v>0.9</v>
      </c>
      <c r="Q146" s="232"/>
      <c r="R146" s="225">
        <v>17.649999999999999</v>
      </c>
    </row>
    <row r="147" spans="15:18" ht="13.8" thickBot="1" x14ac:dyDescent="0.3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O3:P3"/>
    <mergeCell ref="Q4:Q6"/>
    <mergeCell ref="O2:P2"/>
    <mergeCell ref="L3:L11"/>
    <mergeCell ref="M3:M11"/>
    <mergeCell ref="N3:N11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A50:A56"/>
    <mergeCell ref="A61:A70"/>
    <mergeCell ref="A73:A79"/>
    <mergeCell ref="L73:L79"/>
    <mergeCell ref="M73:M79"/>
    <mergeCell ref="L50:L56"/>
    <mergeCell ref="L61:L70"/>
    <mergeCell ref="O15:P15"/>
    <mergeCell ref="O24:P31"/>
    <mergeCell ref="N15:N31"/>
    <mergeCell ref="N50:N56"/>
    <mergeCell ref="O50:P50"/>
    <mergeCell ref="Q74:Q79"/>
    <mergeCell ref="M50:M56"/>
    <mergeCell ref="M61:M70"/>
    <mergeCell ref="N73:N79"/>
    <mergeCell ref="O73:P73"/>
    <mergeCell ref="N61:N70"/>
    <mergeCell ref="O61:P6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26" activePane="bottomRight" state="frozen"/>
      <selection pane="topRight" activeCell="B1" sqref="B1"/>
      <selection pane="bottomLeft" activeCell="A13" sqref="A13"/>
      <selection pane="bottomRight" activeCell="J47" sqref="J47"/>
    </sheetView>
  </sheetViews>
  <sheetFormatPr defaultRowHeight="13.2" x14ac:dyDescent="0.25"/>
  <cols>
    <col min="1" max="1" width="35.6640625" customWidth="1"/>
    <col min="2" max="2" width="10.109375" customWidth="1"/>
    <col min="3" max="3" width="11.109375" customWidth="1"/>
    <col min="4" max="4" width="10.44140625" hidden="1" customWidth="1"/>
    <col min="5" max="5" width="15.5546875" customWidth="1"/>
    <col min="6" max="6" width="11.44140625" bestFit="1" customWidth="1"/>
    <col min="7" max="7" width="10.44140625" bestFit="1" customWidth="1"/>
    <col min="8" max="8" width="7.88671875" hidden="1" customWidth="1"/>
    <col min="9" max="9" width="11.44140625" bestFit="1" customWidth="1"/>
    <col min="10" max="10" width="22.6640625" bestFit="1" customWidth="1"/>
  </cols>
  <sheetData>
    <row r="1" spans="1:13" x14ac:dyDescent="0.25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5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6" t="s">
        <v>606</v>
      </c>
      <c r="K2" s="581"/>
      <c r="L2" s="581"/>
      <c r="M2" s="581"/>
    </row>
    <row r="3" spans="1:13" x14ac:dyDescent="0.25">
      <c r="A3" s="581" t="s">
        <v>438</v>
      </c>
      <c r="B3" s="581"/>
      <c r="C3" s="581"/>
      <c r="D3" s="581"/>
      <c r="E3" s="581"/>
      <c r="F3" s="581"/>
      <c r="G3" s="581"/>
      <c r="H3" s="581"/>
      <c r="I3" s="581"/>
      <c r="J3" s="874">
        <v>41248</v>
      </c>
      <c r="K3" s="581"/>
      <c r="L3" s="581"/>
      <c r="M3" s="581"/>
    </row>
    <row r="4" spans="1:13" x14ac:dyDescent="0.25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5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5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5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5">
      <c r="A8" s="581"/>
      <c r="B8" s="753" t="s">
        <v>239</v>
      </c>
      <c r="C8" s="880" t="s">
        <v>595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5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5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5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5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5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5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5">
      <c r="A15" s="759" t="s">
        <v>398</v>
      </c>
      <c r="B15" s="761">
        <f>'4. Proj Allocations To Zones'!G119</f>
        <v>288983.99563019664</v>
      </c>
      <c r="C15" s="770">
        <f>'4. Proj Allocations To Zones'!H119+'4. Proj Allocations To Zones'!I119</f>
        <v>2159860.1288464139</v>
      </c>
      <c r="D15" s="877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9462537.7354723737</v>
      </c>
      <c r="G15" s="761">
        <f>'4. Proj Allocations To Zones'!N119</f>
        <v>1540000</v>
      </c>
      <c r="H15" s="761">
        <v>0</v>
      </c>
      <c r="I15" s="761">
        <f>SUM(B15:H15)</f>
        <v>14917310.044026315</v>
      </c>
      <c r="J15" s="581" t="s">
        <v>424</v>
      </c>
      <c r="K15" s="581"/>
      <c r="L15" s="581"/>
      <c r="M15" s="581"/>
    </row>
    <row r="16" spans="1:13" x14ac:dyDescent="0.25">
      <c r="A16" s="759" t="s">
        <v>399</v>
      </c>
      <c r="B16" s="762">
        <f>SUM(B14:B15)</f>
        <v>288983.99563019664</v>
      </c>
      <c r="C16" s="762">
        <f>SUM(C14:C15)</f>
        <v>2159860.1288464139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9462537.7354723737</v>
      </c>
      <c r="G16" s="762">
        <f t="shared" si="0"/>
        <v>1540000</v>
      </c>
      <c r="H16" s="762">
        <f>SUM(H14:H15)</f>
        <v>0</v>
      </c>
      <c r="I16" s="760">
        <f>SUM(B16:H16)</f>
        <v>14917310.044026315</v>
      </c>
      <c r="J16" s="763"/>
      <c r="K16" s="581"/>
      <c r="L16" s="581"/>
      <c r="M16" s="581"/>
    </row>
    <row r="17" spans="1:13" x14ac:dyDescent="0.25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5">
      <c r="A18" s="881" t="s">
        <v>569</v>
      </c>
      <c r="B18" s="706">
        <f>B16*0.12</f>
        <v>34678.079475623599</v>
      </c>
      <c r="C18" s="706">
        <f t="shared" ref="C18:G18" si="1">C16*0.12</f>
        <v>259183.21546156966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1135504.5282566848</v>
      </c>
      <c r="G18" s="706">
        <f t="shared" si="1"/>
        <v>184800</v>
      </c>
      <c r="H18" s="706">
        <f t="shared" ref="H18" si="2">H16*0.19</f>
        <v>0</v>
      </c>
      <c r="I18" s="760">
        <f>SUM(B18:H18)</f>
        <v>1790077.2052831578</v>
      </c>
      <c r="J18" s="581" t="s">
        <v>499</v>
      </c>
      <c r="K18" s="581"/>
      <c r="L18" s="581"/>
      <c r="M18" s="581"/>
    </row>
    <row r="19" spans="1:13" x14ac:dyDescent="0.25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5">
      <c r="A20" s="581" t="s">
        <v>435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5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5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5">
      <c r="A23" s="581" t="s">
        <v>437</v>
      </c>
      <c r="B23" s="764">
        <f>B16+B20+B18</f>
        <v>323662.07510582026</v>
      </c>
      <c r="C23" s="764">
        <f t="shared" ref="C23:H23" si="3">C16+C20+C18</f>
        <v>2419043.3443079838</v>
      </c>
      <c r="D23" s="764">
        <f t="shared" si="3"/>
        <v>0</v>
      </c>
      <c r="E23" s="764">
        <f t="shared" si="3"/>
        <v>1641839.5661666112</v>
      </c>
      <c r="F23" s="764">
        <f t="shared" si="3"/>
        <v>10598042.263729058</v>
      </c>
      <c r="G23" s="764">
        <f t="shared" si="3"/>
        <v>1724800</v>
      </c>
      <c r="H23" s="764">
        <f t="shared" si="3"/>
        <v>0</v>
      </c>
      <c r="I23" s="765">
        <f>SUM(B23:H23)</f>
        <v>16707387.249309473</v>
      </c>
      <c r="J23" s="581"/>
      <c r="K23" s="581"/>
      <c r="L23" s="581"/>
      <c r="M23" s="581"/>
    </row>
    <row r="24" spans="1:13" x14ac:dyDescent="0.25">
      <c r="A24" s="759" t="s">
        <v>436</v>
      </c>
      <c r="B24" s="767">
        <f t="shared" ref="B24:I24" si="4">B23/$I$23</f>
        <v>1.937239319805659E-2</v>
      </c>
      <c r="C24" s="767">
        <f t="shared" si="4"/>
        <v>0.14478884748469359</v>
      </c>
      <c r="D24" s="767">
        <f t="shared" si="4"/>
        <v>0</v>
      </c>
      <c r="E24" s="767">
        <f t="shared" si="4"/>
        <v>9.8270276594831993E-2</v>
      </c>
      <c r="F24" s="767">
        <f t="shared" ref="F24:G24" si="5">F23/$I$23</f>
        <v>0.63433271196650343</v>
      </c>
      <c r="G24" s="767">
        <f t="shared" si="5"/>
        <v>0.1032357707559144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5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5">
      <c r="A26" s="627" t="s">
        <v>433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5">
      <c r="A27" s="581" t="s">
        <v>437</v>
      </c>
      <c r="B27" s="708">
        <f>(B23/1000)*'6. Finance Assumptions'!$B$16*'6. Finance Assumptions'!$B$12</f>
        <v>109882.51997807251</v>
      </c>
      <c r="C27" s="708">
        <f>(C23/1000)*'6. Finance Assumptions'!$B$16*'6. Finance Assumptions'!$B$12</f>
        <v>821259.57612376893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557400.70526059717</v>
      </c>
      <c r="F27" s="708">
        <f>(F23/1000)*'6. Finance Assumptions'!$B$16*'6. Finance Assumptions'!$B$12</f>
        <v>3598010.6424020259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5672119.0229143072</v>
      </c>
      <c r="J27" s="581" t="s">
        <v>497</v>
      </c>
      <c r="K27" s="581"/>
      <c r="L27" s="581"/>
      <c r="M27" s="581"/>
    </row>
    <row r="28" spans="1:13" x14ac:dyDescent="0.25">
      <c r="A28" s="759" t="s">
        <v>498</v>
      </c>
      <c r="B28" s="762">
        <f t="shared" ref="B28:H28" si="6">SUM(B27:B27)</f>
        <v>109882.51997807251</v>
      </c>
      <c r="C28" s="762">
        <f t="shared" si="6"/>
        <v>821259.57612376893</v>
      </c>
      <c r="D28" s="762">
        <f t="shared" si="6"/>
        <v>0</v>
      </c>
      <c r="E28" s="762">
        <f t="shared" si="6"/>
        <v>557400.70526059717</v>
      </c>
      <c r="F28" s="762">
        <f t="shared" si="6"/>
        <v>3598010.6424020259</v>
      </c>
      <c r="G28" s="762">
        <f t="shared" si="6"/>
        <v>585565.5791498425</v>
      </c>
      <c r="H28" s="762">
        <f t="shared" si="6"/>
        <v>0</v>
      </c>
      <c r="I28" s="760">
        <f>SUM(B28:H28)</f>
        <v>5672119.0229143072</v>
      </c>
      <c r="J28" s="763"/>
      <c r="K28" s="581"/>
      <c r="L28" s="581"/>
      <c r="M28" s="581"/>
    </row>
    <row r="29" spans="1:13" x14ac:dyDescent="0.25">
      <c r="A29" s="759" t="s">
        <v>514</v>
      </c>
      <c r="B29" s="767">
        <f>IF(B23&gt;0,B28/B23,0)</f>
        <v>0.33949766880208865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0.33949766880208865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5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5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5">
      <c r="A32" s="581" t="s">
        <v>565</v>
      </c>
      <c r="B32" s="815">
        <f>B$24*I32</f>
        <v>127978.87256466135</v>
      </c>
      <c r="C32" s="815">
        <f>C$24*I32</f>
        <v>956511.32369575708</v>
      </c>
      <c r="D32" s="815">
        <f>D$24*I32</f>
        <v>0</v>
      </c>
      <c r="E32" s="815">
        <f>E$24*I32</f>
        <v>649198.01475460886</v>
      </c>
      <c r="F32" s="815">
        <f>F$24*I32</f>
        <v>4190560.478428713</v>
      </c>
      <c r="G32" s="815">
        <f>G$24*I32</f>
        <v>682001.31055625959</v>
      </c>
      <c r="H32" s="815">
        <f>H$24*I32</f>
        <v>0</v>
      </c>
      <c r="I32" s="768">
        <f>'[1]Sum 1. City Admin Costs Summary'!$E$22</f>
        <v>6606250</v>
      </c>
      <c r="J32" s="814" t="s">
        <v>566</v>
      </c>
      <c r="K32" s="581"/>
      <c r="L32" s="581"/>
      <c r="M32" s="581"/>
    </row>
    <row r="33" spans="1:13" x14ac:dyDescent="0.25">
      <c r="A33" s="759" t="s">
        <v>564</v>
      </c>
      <c r="B33" s="806">
        <f>B23*0.03</f>
        <v>9709.8622531746078</v>
      </c>
      <c r="C33" s="806">
        <f t="shared" ref="C33:G33" si="8">C23*0.03</f>
        <v>72571.300329239515</v>
      </c>
      <c r="D33" s="806">
        <f t="shared" si="8"/>
        <v>0</v>
      </c>
      <c r="E33" s="806">
        <f t="shared" si="8"/>
        <v>49255.186984998334</v>
      </c>
      <c r="F33" s="806">
        <f t="shared" si="8"/>
        <v>317941.26791187172</v>
      </c>
      <c r="G33" s="806">
        <f t="shared" si="8"/>
        <v>51744</v>
      </c>
      <c r="H33" s="806">
        <f>H23*0.02</f>
        <v>0</v>
      </c>
      <c r="I33" s="761">
        <f>SUM(B33:H33)</f>
        <v>501221.61747928418</v>
      </c>
      <c r="J33" s="581" t="s">
        <v>547</v>
      </c>
      <c r="K33" s="581"/>
      <c r="L33" s="581"/>
      <c r="M33" s="581"/>
    </row>
    <row r="34" spans="1:13" x14ac:dyDescent="0.25">
      <c r="A34" s="814" t="s">
        <v>550</v>
      </c>
      <c r="B34" s="758">
        <f t="shared" ref="B34:I34" si="9">SUM(B31:B33)</f>
        <v>137688.73481783597</v>
      </c>
      <c r="C34" s="758">
        <f t="shared" si="9"/>
        <v>1029082.6240249965</v>
      </c>
      <c r="D34" s="758">
        <f t="shared" si="9"/>
        <v>0</v>
      </c>
      <c r="E34" s="758">
        <f t="shared" si="9"/>
        <v>698453.20173960715</v>
      </c>
      <c r="F34" s="758">
        <f t="shared" si="9"/>
        <v>4508501.7463405849</v>
      </c>
      <c r="G34" s="758">
        <f t="shared" si="9"/>
        <v>733745.31055625959</v>
      </c>
      <c r="H34" s="758">
        <f t="shared" si="9"/>
        <v>0</v>
      </c>
      <c r="I34" s="758">
        <f t="shared" si="9"/>
        <v>7107471.6174792843</v>
      </c>
      <c r="J34" s="581"/>
      <c r="K34" s="581"/>
      <c r="L34" s="581"/>
      <c r="M34" s="581"/>
    </row>
    <row r="35" spans="1:13" x14ac:dyDescent="0.25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5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5">
      <c r="A37" s="581" t="s">
        <v>403</v>
      </c>
      <c r="B37" s="875">
        <v>0</v>
      </c>
      <c r="C37" s="875">
        <v>-678937</v>
      </c>
      <c r="D37" s="875">
        <v>0</v>
      </c>
      <c r="E37" s="875">
        <v>-486480</v>
      </c>
      <c r="F37" s="875">
        <v>-2236041</v>
      </c>
      <c r="G37" s="875">
        <v>0</v>
      </c>
      <c r="H37" s="875">
        <v>0</v>
      </c>
      <c r="I37" s="876">
        <f>SUM(B37:H37)</f>
        <v>-3401458</v>
      </c>
      <c r="J37" s="814" t="s">
        <v>594</v>
      </c>
      <c r="K37" s="581"/>
      <c r="L37" s="581"/>
      <c r="M37" s="581"/>
    </row>
    <row r="38" spans="1:13" x14ac:dyDescent="0.25">
      <c r="A38" s="581" t="s">
        <v>548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5">
      <c r="A39" s="581" t="s">
        <v>434</v>
      </c>
      <c r="B39" s="758">
        <f t="shared" ref="B39:I39" si="10">SUM(B36:B38)</f>
        <v>0</v>
      </c>
      <c r="C39" s="758">
        <f t="shared" si="10"/>
        <v>-678937</v>
      </c>
      <c r="D39" s="758">
        <f t="shared" si="10"/>
        <v>0</v>
      </c>
      <c r="E39" s="758">
        <f t="shared" si="10"/>
        <v>-486480</v>
      </c>
      <c r="F39" s="758">
        <f t="shared" si="10"/>
        <v>-2236041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5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5">
      <c r="A41" s="581" t="s">
        <v>412</v>
      </c>
      <c r="B41" s="771">
        <f t="shared" ref="B41:I41" si="11">B23+B34+B28-B39</f>
        <v>571233.32990172878</v>
      </c>
      <c r="C41" s="771">
        <f t="shared" si="11"/>
        <v>4948322.5444567492</v>
      </c>
      <c r="D41" s="771">
        <f t="shared" si="11"/>
        <v>0</v>
      </c>
      <c r="E41" s="771">
        <f t="shared" si="11"/>
        <v>3384173.4731668155</v>
      </c>
      <c r="F41" s="771">
        <f t="shared" si="11"/>
        <v>20940595.652471669</v>
      </c>
      <c r="G41" s="771">
        <f t="shared" si="11"/>
        <v>3044110.8897061022</v>
      </c>
      <c r="H41" s="771">
        <f t="shared" si="11"/>
        <v>0</v>
      </c>
      <c r="I41" s="771">
        <f t="shared" si="11"/>
        <v>32888435.889703065</v>
      </c>
      <c r="J41" s="581"/>
      <c r="K41" s="581"/>
      <c r="L41" s="581"/>
      <c r="M41" s="581"/>
    </row>
    <row r="42" spans="1:13" x14ac:dyDescent="0.25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5">
      <c r="A43" s="581" t="s">
        <v>411</v>
      </c>
      <c r="B43" s="706">
        <f>'5. Vacant Land + Dev Summary'!BV43</f>
        <v>13271.507112499999</v>
      </c>
      <c r="C43" s="879">
        <f>'5. Vacant Land + Dev Summary'!BW43+'5. Vacant Land + Dev Summary'!BX43</f>
        <v>8170.3492666666662</v>
      </c>
      <c r="D43" s="878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425</v>
      </c>
      <c r="K43" s="581"/>
      <c r="L43" s="581"/>
      <c r="M43" s="581"/>
    </row>
    <row r="44" spans="1:13" hidden="1" x14ac:dyDescent="0.25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5">
      <c r="A45" s="581" t="s">
        <v>413</v>
      </c>
      <c r="B45" s="799">
        <f>IF(OR(B41=0,B43&lt;0),0,(B41/B43))</f>
        <v>43.042084448999972</v>
      </c>
      <c r="C45" s="799">
        <f>IF(OR(C41=0,C43&lt;0),0,(C41/C43))</f>
        <v>605.64394286605113</v>
      </c>
      <c r="D45" s="799">
        <f t="shared" ref="D45:H45" si="12">IF(OR(D41=0,D43&lt;0),0,(D41/D43))</f>
        <v>0</v>
      </c>
      <c r="E45" s="799">
        <f t="shared" si="12"/>
        <v>389.62653415260905</v>
      </c>
      <c r="F45" s="799">
        <f t="shared" si="12"/>
        <v>1196.5281345270771</v>
      </c>
      <c r="G45" s="799">
        <f t="shared" si="12"/>
        <v>395.4311357952476</v>
      </c>
      <c r="H45" s="799">
        <f t="shared" si="12"/>
        <v>0</v>
      </c>
      <c r="I45" s="581"/>
      <c r="J45" s="581"/>
      <c r="K45" s="581"/>
      <c r="L45" s="581"/>
      <c r="M45" s="581"/>
    </row>
    <row r="46" spans="1:13" x14ac:dyDescent="0.25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5">
      <c r="A47" s="814" t="s">
        <v>599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5">
      <c r="A48" s="814"/>
      <c r="B48" s="884"/>
      <c r="C48" s="884"/>
      <c r="D48" s="581"/>
      <c r="E48" s="884"/>
      <c r="F48" s="884"/>
      <c r="G48" s="884"/>
      <c r="H48" s="581"/>
      <c r="I48" s="581"/>
      <c r="J48" s="581"/>
      <c r="K48" s="581"/>
      <c r="L48" s="581"/>
      <c r="M48" s="581"/>
    </row>
    <row r="49" spans="1:13" x14ac:dyDescent="0.25">
      <c r="A49" s="814" t="s">
        <v>605</v>
      </c>
      <c r="B49" s="799">
        <f>IF(OR(B41=0,B47&lt;0),0,(B41/B47))</f>
        <v>717.36807414999953</v>
      </c>
      <c r="C49" s="799">
        <f t="shared" ref="C49:H49" si="13">IF(OR(C41=0,C47&lt;0),0,(C41/C47))</f>
        <v>10094.065714434186</v>
      </c>
      <c r="D49" s="799">
        <f t="shared" si="13"/>
        <v>0</v>
      </c>
      <c r="E49" s="799">
        <f t="shared" si="13"/>
        <v>6493.7755692101509</v>
      </c>
      <c r="F49" s="799">
        <f t="shared" si="13"/>
        <v>19942.135575451284</v>
      </c>
      <c r="G49" s="799">
        <f t="shared" si="13"/>
        <v>6590.5189299207941</v>
      </c>
      <c r="H49" s="799">
        <f t="shared" si="13"/>
        <v>0</v>
      </c>
      <c r="I49" s="581"/>
      <c r="J49" s="581"/>
      <c r="K49" s="581"/>
      <c r="L49" s="581"/>
      <c r="M49" s="581"/>
    </row>
    <row r="50" spans="1:13" x14ac:dyDescent="0.25">
      <c r="A50" s="892"/>
      <c r="B50" s="893"/>
      <c r="C50" s="893"/>
      <c r="D50" s="893"/>
      <c r="E50" s="893"/>
      <c r="F50" s="893"/>
      <c r="G50" s="893"/>
      <c r="H50" s="893"/>
      <c r="I50" s="581"/>
      <c r="J50" s="581"/>
      <c r="K50" s="581"/>
      <c r="L50" s="581"/>
      <c r="M50" s="581"/>
    </row>
    <row r="51" spans="1:13" x14ac:dyDescent="0.25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5">
      <c r="A52" s="772" t="s">
        <v>374</v>
      </c>
      <c r="B52" s="896"/>
      <c r="C52" s="896"/>
      <c r="D52" s="896"/>
      <c r="E52" s="896"/>
      <c r="F52" s="896"/>
      <c r="G52" s="896"/>
      <c r="H52" s="581"/>
      <c r="I52" s="581"/>
      <c r="J52" s="581"/>
      <c r="K52" s="581"/>
      <c r="L52" s="581"/>
      <c r="M52" s="581"/>
    </row>
    <row r="53" spans="1:13" x14ac:dyDescent="0.25">
      <c r="A53" s="773" t="s">
        <v>509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5">
      <c r="A54" s="581" t="s">
        <v>404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5">
      <c r="A55" s="581" t="s">
        <v>502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5">
      <c r="A56" s="814" t="s">
        <v>593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5">
      <c r="A57" s="814" t="s">
        <v>567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5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AF18" sqref="AF18"/>
    </sheetView>
  </sheetViews>
  <sheetFormatPr defaultRowHeight="13.2" x14ac:dyDescent="0.25"/>
  <cols>
    <col min="1" max="1" width="4" customWidth="1"/>
    <col min="2" max="2" width="12.109375" bestFit="1" customWidth="1"/>
    <col min="3" max="3" width="4" customWidth="1"/>
    <col min="4" max="4" width="13.77734375" hidden="1" customWidth="1"/>
    <col min="5" max="6" width="9.21875" hidden="1" customWidth="1"/>
    <col min="7" max="12" width="9.21875" style="615" hidden="1" customWidth="1"/>
    <col min="13" max="13" width="5.6640625" style="615" hidden="1" customWidth="1"/>
    <col min="14" max="16" width="9.109375" style="615" hidden="1" customWidth="1"/>
    <col min="17" max="21" width="9.109375" hidden="1" customWidth="1"/>
    <col min="22" max="23" width="8.88671875" hidden="1" customWidth="1"/>
    <col min="24" max="24" width="11.33203125" bestFit="1" customWidth="1"/>
    <col min="29" max="29" width="9.6640625" customWidth="1"/>
    <col min="33" max="33" width="11.33203125" bestFit="1" customWidth="1"/>
    <col min="38" max="38" width="10.33203125" customWidth="1"/>
    <col min="45" max="46" width="9.44140625" customWidth="1"/>
    <col min="47" max="47" width="10.6640625" customWidth="1"/>
    <col min="48" max="49" width="9.44140625" customWidth="1"/>
    <col min="50" max="52" width="8.88671875" customWidth="1"/>
    <col min="53" max="53" width="10.44140625" customWidth="1"/>
    <col min="54" max="54" width="7.5546875" customWidth="1"/>
    <col min="55" max="55" width="13.88671875" customWidth="1"/>
    <col min="56" max="56" width="11.44140625" customWidth="1"/>
    <col min="57" max="57" width="10.44140625" customWidth="1"/>
    <col min="58" max="58" width="11.44140625" customWidth="1"/>
    <col min="59" max="59" width="8.88671875" customWidth="1"/>
    <col min="60" max="60" width="9.109375" customWidth="1"/>
    <col min="61" max="61" width="9.44140625" customWidth="1"/>
    <col min="62" max="62" width="7.5546875" customWidth="1"/>
    <col min="63" max="63" width="13.88671875" customWidth="1"/>
    <col min="64" max="64" width="9.44140625" customWidth="1"/>
    <col min="65" max="66" width="7.88671875" customWidth="1"/>
  </cols>
  <sheetData>
    <row r="1" spans="1:66" x14ac:dyDescent="0.25">
      <c r="A1" t="s">
        <v>416</v>
      </c>
      <c r="AL1" s="651"/>
      <c r="AM1" s="652" t="str">
        <f>'1. Storm Drainage Fee Calc Sum'!$J$1</f>
        <v>Internal</v>
      </c>
      <c r="AN1" s="750"/>
    </row>
    <row r="2" spans="1:66" x14ac:dyDescent="0.25">
      <c r="A2" t="s">
        <v>406</v>
      </c>
      <c r="AL2" s="653"/>
      <c r="AM2" s="589" t="str">
        <f>'1. Storm Drainage Fee Calc Sum'!$J$2</f>
        <v>Working Draft - v7</v>
      </c>
      <c r="AN2" s="751"/>
    </row>
    <row r="3" spans="1:66" x14ac:dyDescent="0.25">
      <c r="A3" t="s">
        <v>408</v>
      </c>
      <c r="AL3" s="654"/>
      <c r="AM3" s="655">
        <f>'1. Storm Drainage Fee Calc Sum'!$J$3</f>
        <v>41248</v>
      </c>
      <c r="AN3" s="777"/>
    </row>
    <row r="4" spans="1:66" x14ac:dyDescent="0.25">
      <c r="A4" t="s">
        <v>417</v>
      </c>
    </row>
    <row r="6" spans="1:66" x14ac:dyDescent="0.25">
      <c r="AS6" t="s">
        <v>601</v>
      </c>
    </row>
    <row r="8" spans="1:66" x14ac:dyDescent="0.25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602</v>
      </c>
      <c r="AZ8" t="s">
        <v>603</v>
      </c>
      <c r="BH8" t="s">
        <v>604</v>
      </c>
    </row>
    <row r="9" spans="1:66" x14ac:dyDescent="0.25">
      <c r="B9" s="642"/>
      <c r="D9" s="969" t="s">
        <v>414</v>
      </c>
      <c r="E9" s="970"/>
      <c r="F9" s="970"/>
      <c r="G9" s="970"/>
      <c r="H9" s="970"/>
      <c r="I9" s="970"/>
      <c r="J9" s="970"/>
      <c r="K9" s="970"/>
      <c r="L9" s="971"/>
      <c r="N9" s="969" t="s">
        <v>415</v>
      </c>
      <c r="O9" s="970"/>
      <c r="P9" s="970"/>
      <c r="Q9" s="970"/>
      <c r="R9" s="970"/>
      <c r="S9" s="970"/>
      <c r="T9" s="970"/>
      <c r="U9" s="971"/>
      <c r="X9" s="969" t="s">
        <v>415</v>
      </c>
      <c r="Y9" s="970"/>
      <c r="Z9" s="970"/>
      <c r="AA9" s="970"/>
      <c r="AB9" s="970"/>
      <c r="AC9" s="970"/>
      <c r="AD9" s="970"/>
      <c r="AE9" s="971"/>
      <c r="AG9" s="969" t="s">
        <v>414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5">
      <c r="B10" s="643" t="s">
        <v>129</v>
      </c>
      <c r="D10" s="629" t="s">
        <v>384</v>
      </c>
      <c r="E10" s="630" t="s">
        <v>387</v>
      </c>
      <c r="F10" s="630" t="s">
        <v>538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  <c r="X10" s="629" t="s">
        <v>384</v>
      </c>
      <c r="Y10" s="630" t="s">
        <v>568</v>
      </c>
      <c r="Z10" s="631" t="s">
        <v>239</v>
      </c>
      <c r="AA10" s="647" t="s">
        <v>598</v>
      </c>
      <c r="AB10" s="631" t="s">
        <v>258</v>
      </c>
      <c r="AC10" s="647" t="s">
        <v>410</v>
      </c>
      <c r="AD10" s="631" t="s">
        <v>262</v>
      </c>
      <c r="AE10" s="632" t="s">
        <v>263</v>
      </c>
      <c r="AG10" s="629" t="s">
        <v>384</v>
      </c>
      <c r="AH10" s="630" t="s">
        <v>538</v>
      </c>
      <c r="AI10" s="631" t="s">
        <v>239</v>
      </c>
      <c r="AJ10" s="631" t="s">
        <v>238</v>
      </c>
      <c r="AK10" s="631" t="s">
        <v>258</v>
      </c>
      <c r="AL10" s="647" t="s">
        <v>410</v>
      </c>
      <c r="AM10" s="631" t="s">
        <v>262</v>
      </c>
      <c r="AN10" s="632" t="s">
        <v>263</v>
      </c>
      <c r="AS10" s="888" t="s">
        <v>239</v>
      </c>
      <c r="AT10" s="888" t="s">
        <v>238</v>
      </c>
      <c r="AU10" s="895" t="s">
        <v>410</v>
      </c>
      <c r="AV10" s="888" t="s">
        <v>262</v>
      </c>
      <c r="AW10" s="888" t="s">
        <v>263</v>
      </c>
      <c r="AX10" s="888" t="s">
        <v>357</v>
      </c>
      <c r="AZ10" s="887" t="s">
        <v>239</v>
      </c>
      <c r="BA10" s="887" t="s">
        <v>238</v>
      </c>
      <c r="BB10" s="887" t="s">
        <v>258</v>
      </c>
      <c r="BC10" s="887" t="s">
        <v>410</v>
      </c>
      <c r="BD10" s="887" t="s">
        <v>262</v>
      </c>
      <c r="BE10" s="887" t="s">
        <v>263</v>
      </c>
      <c r="BF10" s="887" t="s">
        <v>357</v>
      </c>
      <c r="BH10" s="888" t="s">
        <v>239</v>
      </c>
      <c r="BI10" s="888" t="s">
        <v>238</v>
      </c>
      <c r="BJ10" s="888" t="s">
        <v>258</v>
      </c>
      <c r="BK10" s="888" t="s">
        <v>410</v>
      </c>
      <c r="BL10" s="888" t="s">
        <v>262</v>
      </c>
      <c r="BM10" s="888" t="s">
        <v>263</v>
      </c>
      <c r="BN10" s="888" t="s">
        <v>357</v>
      </c>
    </row>
    <row r="11" spans="1:66" x14ac:dyDescent="0.25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5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5">
      <c r="B13" s="644"/>
      <c r="D13" s="633" t="s">
        <v>131</v>
      </c>
      <c r="E13" s="582"/>
      <c r="F13" s="582"/>
      <c r="G13" s="635">
        <f>'1. Storm Drainage Fee Calc Sum'!B45</f>
        <v>43.042084448999972</v>
      </c>
      <c r="H13" s="635">
        <f>'1. Storm Drainage Fee Calc Sum'!C45</f>
        <v>605.64394286605113</v>
      </c>
      <c r="I13" s="635">
        <f>'1. Storm Drainage Fee Calc Sum'!D45</f>
        <v>0</v>
      </c>
      <c r="J13" s="635">
        <f>'1. Storm Drainage Fee Calc Sum'!E45</f>
        <v>389.62653415260905</v>
      </c>
      <c r="K13" s="635">
        <f>'1. Storm Drainage Fee Calc Sum'!F45</f>
        <v>1196.5281345270771</v>
      </c>
      <c r="L13" s="636">
        <f>'1. Storm Drainage Fee Calc Sum'!G45</f>
        <v>395.4311357952476</v>
      </c>
      <c r="N13" s="633"/>
      <c r="O13" s="582"/>
      <c r="P13" s="635"/>
      <c r="Q13" s="635"/>
      <c r="R13" s="635"/>
      <c r="S13" s="635"/>
      <c r="T13" s="635"/>
      <c r="U13" s="636"/>
      <c r="X13" s="633" t="s">
        <v>600</v>
      </c>
      <c r="Y13" s="582"/>
      <c r="Z13" s="635">
        <f>'1. Storm Drainage Fee Calc Sum'!B49</f>
        <v>717.36807414999953</v>
      </c>
      <c r="AA13" s="635">
        <f>'1. Storm Drainage Fee Calc Sum'!C49</f>
        <v>10094.065714434186</v>
      </c>
      <c r="AB13" s="635">
        <f>'1. Storm Drainage Fee Calc Sum'!D49</f>
        <v>0</v>
      </c>
      <c r="AC13" s="635">
        <f>'1. Storm Drainage Fee Calc Sum'!E49</f>
        <v>6493.7755692101509</v>
      </c>
      <c r="AD13" s="635">
        <f>'1. Storm Drainage Fee Calc Sum'!F49</f>
        <v>19942.135575451284</v>
      </c>
      <c r="AE13" s="636">
        <f>'1. Storm Drainage Fee Calc Sum'!G49</f>
        <v>6590.5189299207941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5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5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5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107.60521112249992</v>
      </c>
      <c r="H16" s="595">
        <f t="shared" si="0"/>
        <v>1514.1098571651278</v>
      </c>
      <c r="I16" s="595">
        <f t="shared" si="0"/>
        <v>0</v>
      </c>
      <c r="J16" s="595">
        <f t="shared" si="0"/>
        <v>974.06633538152266</v>
      </c>
      <c r="K16" s="595">
        <f t="shared" si="0"/>
        <v>2991.3203363176926</v>
      </c>
      <c r="L16" s="638">
        <f t="shared" si="0"/>
        <v>988.57783948811903</v>
      </c>
      <c r="N16" s="633" t="s">
        <v>385</v>
      </c>
      <c r="O16" s="637">
        <f>'3. EDU Calculation'!G10</f>
        <v>1</v>
      </c>
      <c r="P16" s="595">
        <f t="shared" ref="P16:P41" si="1">G16*$F16</f>
        <v>215.21042224499985</v>
      </c>
      <c r="Q16" s="595">
        <f t="shared" ref="Q16:Q41" si="2">H16*$F16</f>
        <v>3028.2197143302556</v>
      </c>
      <c r="R16" s="595">
        <f t="shared" ref="R16:R41" si="3">I16*$F16</f>
        <v>0</v>
      </c>
      <c r="S16" s="595">
        <f t="shared" ref="S16:S41" si="4">J16*$F16</f>
        <v>1948.1326707630453</v>
      </c>
      <c r="T16" s="595">
        <f t="shared" ref="T16:T41" si="5">K16*$F16</f>
        <v>5982.6406726353853</v>
      </c>
      <c r="U16" s="638">
        <f t="shared" ref="U16:U41" si="6">L16*$F16</f>
        <v>1977.1556789762381</v>
      </c>
      <c r="X16" s="633" t="s">
        <v>385</v>
      </c>
      <c r="Y16" s="745">
        <f>'3. EDU Calculation'!E10</f>
        <v>0.3</v>
      </c>
      <c r="Z16" s="595">
        <f>Z$13*$Y16</f>
        <v>215.21042224499985</v>
      </c>
      <c r="AA16" s="595">
        <f t="shared" ref="AA16:AE16" si="7">AA$13*$Y16</f>
        <v>3028.2197143302556</v>
      </c>
      <c r="AB16" s="595">
        <f t="shared" si="7"/>
        <v>0</v>
      </c>
      <c r="AC16" s="595">
        <f t="shared" si="7"/>
        <v>1948.1326707630451</v>
      </c>
      <c r="AD16" s="595">
        <f t="shared" si="7"/>
        <v>5982.6406726353853</v>
      </c>
      <c r="AE16" s="638">
        <f t="shared" si="7"/>
        <v>1977.1556789762381</v>
      </c>
      <c r="AG16" s="633" t="s">
        <v>241</v>
      </c>
      <c r="AH16" s="640">
        <f>'3. EDU Calculation'!J10</f>
        <v>2</v>
      </c>
      <c r="AI16" s="595">
        <f>IF($AH16&gt;0,Z16/$AH16,0)</f>
        <v>107.60521112249992</v>
      </c>
      <c r="AJ16" s="595">
        <f t="shared" ref="AJ16:AN16" si="8">IF($AH16&gt;0,AA16/$AH16,0)</f>
        <v>1514.1098571651278</v>
      </c>
      <c r="AK16" s="595">
        <f t="shared" si="8"/>
        <v>0</v>
      </c>
      <c r="AL16" s="595">
        <f t="shared" si="8"/>
        <v>974.06633538152255</v>
      </c>
      <c r="AM16" s="595">
        <f t="shared" si="8"/>
        <v>2991.3203363176926</v>
      </c>
      <c r="AN16" s="638">
        <f t="shared" si="8"/>
        <v>988.57783948811903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6">
        <f t="shared" ref="AX16:AX41" si="9">SUM(AS16:AW16)</f>
        <v>164.87687499999998</v>
      </c>
      <c r="AZ16" s="616">
        <f t="shared" ref="AZ16:AZ41" si="10">AS16*Z16</f>
        <v>5691.8906277963124</v>
      </c>
      <c r="BA16" s="616">
        <f t="shared" ref="BA16:BA41" si="11">AT16*AA16</f>
        <v>21923.099443865318</v>
      </c>
      <c r="BB16" s="616"/>
      <c r="BC16" s="616">
        <f t="shared" ref="BC16:BC41" si="12">AU16*AC16</f>
        <v>0</v>
      </c>
      <c r="BD16" s="616">
        <f t="shared" ref="BD16:BD41" si="13">AV16*AD16</f>
        <v>784858.14286253159</v>
      </c>
      <c r="BE16" s="616">
        <f t="shared" ref="BE16:BE41" si="14">AW16*AE16</f>
        <v>0</v>
      </c>
      <c r="BF16" s="886">
        <f>SUM(AZ16:BE16)</f>
        <v>812473.13293419324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5">$Y16*AU16</f>
        <v>0</v>
      </c>
      <c r="BL16" s="607">
        <f t="shared" si="15"/>
        <v>39.356774999999992</v>
      </c>
      <c r="BM16" s="607">
        <f t="shared" si="15"/>
        <v>0</v>
      </c>
      <c r="BN16" s="607">
        <f>SUM(BH16:BM16)</f>
        <v>49.463062499999992</v>
      </c>
    </row>
    <row r="17" spans="2:66" x14ac:dyDescent="0.25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43.042084448999972</v>
      </c>
      <c r="H17" s="595">
        <f t="shared" si="0"/>
        <v>605.64394286605113</v>
      </c>
      <c r="I17" s="595">
        <f t="shared" si="0"/>
        <v>0</v>
      </c>
      <c r="J17" s="595">
        <f t="shared" si="0"/>
        <v>389.62653415260905</v>
      </c>
      <c r="K17" s="595">
        <f t="shared" si="0"/>
        <v>1196.5281345270771</v>
      </c>
      <c r="L17" s="638">
        <f t="shared" si="0"/>
        <v>395.4311357952476</v>
      </c>
      <c r="N17" s="633" t="s">
        <v>385</v>
      </c>
      <c r="O17" s="637">
        <f>'3. EDU Calculation'!G11</f>
        <v>1</v>
      </c>
      <c r="P17" s="595">
        <f t="shared" si="1"/>
        <v>215.21042224499985</v>
      </c>
      <c r="Q17" s="595">
        <f t="shared" si="2"/>
        <v>3028.2197143302556</v>
      </c>
      <c r="R17" s="595">
        <f t="shared" si="3"/>
        <v>0</v>
      </c>
      <c r="S17" s="595">
        <f t="shared" si="4"/>
        <v>1948.1326707630453</v>
      </c>
      <c r="T17" s="595">
        <f t="shared" si="5"/>
        <v>5982.6406726353853</v>
      </c>
      <c r="U17" s="638">
        <f t="shared" si="6"/>
        <v>1977.1556789762381</v>
      </c>
      <c r="X17" s="633" t="s">
        <v>385</v>
      </c>
      <c r="Y17" s="745">
        <f>'3. EDU Calculation'!E11</f>
        <v>0.3</v>
      </c>
      <c r="Z17" s="595">
        <f t="shared" ref="Z17:AE41" si="16">Z$13*$Y17</f>
        <v>215.21042224499985</v>
      </c>
      <c r="AA17" s="595">
        <f t="shared" si="16"/>
        <v>3028.2197143302556</v>
      </c>
      <c r="AB17" s="595">
        <f t="shared" si="16"/>
        <v>0</v>
      </c>
      <c r="AC17" s="595">
        <f t="shared" si="16"/>
        <v>1948.1326707630451</v>
      </c>
      <c r="AD17" s="595">
        <f t="shared" si="16"/>
        <v>5982.6406726353853</v>
      </c>
      <c r="AE17" s="638">
        <f t="shared" si="16"/>
        <v>1977.1556789762381</v>
      </c>
      <c r="AG17" s="670" t="s">
        <v>241</v>
      </c>
      <c r="AH17" s="640">
        <f>'3. EDU Calculation'!J11</f>
        <v>5</v>
      </c>
      <c r="AI17" s="595">
        <f t="shared" ref="AI17:AI41" si="17">IF($AH17&gt;0,Z17/$AH17,0)</f>
        <v>43.042084448999972</v>
      </c>
      <c r="AJ17" s="595">
        <f t="shared" ref="AJ17:AJ41" si="18">IF($AH17&gt;0,AA17/$AH17,0)</f>
        <v>605.64394286605113</v>
      </c>
      <c r="AK17" s="595">
        <f t="shared" ref="AK17:AK41" si="19">IF($AH17&gt;0,AB17/$AH17,0)</f>
        <v>0</v>
      </c>
      <c r="AL17" s="595">
        <f t="shared" ref="AL17:AL41" si="20">IF($AH17&gt;0,AC17/$AH17,0)</f>
        <v>389.626534152609</v>
      </c>
      <c r="AM17" s="595">
        <f t="shared" ref="AM17:AM41" si="21">IF($AH17&gt;0,AD17/$AH17,0)</f>
        <v>1196.5281345270771</v>
      </c>
      <c r="AN17" s="638">
        <f t="shared" ref="AN17:AN41" si="22">IF($AH17&gt;0,AE17/$AH17,0)</f>
        <v>395.4311357952476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6">
        <f t="shared" si="9"/>
        <v>2891.2276550000001</v>
      </c>
      <c r="AZ17" s="616">
        <f t="shared" si="10"/>
        <v>81079.30203350111</v>
      </c>
      <c r="BA17" s="616">
        <f t="shared" si="11"/>
        <v>1376749.3264079532</v>
      </c>
      <c r="BB17" s="616"/>
      <c r="BC17" s="616">
        <f t="shared" si="12"/>
        <v>359382.74850534811</v>
      </c>
      <c r="BD17" s="616">
        <f t="shared" si="13"/>
        <v>8439375.2716129702</v>
      </c>
      <c r="BE17" s="616">
        <f t="shared" si="14"/>
        <v>918832.00221568334</v>
      </c>
      <c r="BF17" s="886">
        <f t="shared" ref="BF17:BF41" si="23">SUM(AZ17:BE17)</f>
        <v>11175418.650775457</v>
      </c>
      <c r="BH17" s="607">
        <f t="shared" ref="BH17:BH41" si="24">$Y17*AS17</f>
        <v>113.023293</v>
      </c>
      <c r="BI17" s="607">
        <f t="shared" ref="BI17:BI41" si="25">$Y17*AT17</f>
        <v>136.391952</v>
      </c>
      <c r="BJ17" s="607"/>
      <c r="BK17" s="607">
        <f t="shared" ref="BK17:BK41" si="26">$Y17*AU17</f>
        <v>55.342649999999992</v>
      </c>
      <c r="BL17" s="607">
        <f t="shared" ref="BL17:BL41" si="27">$Y17*AV17</f>
        <v>423.19315500000005</v>
      </c>
      <c r="BM17" s="607">
        <f t="shared" ref="BM17:BM41" si="28">$Y17*AW17</f>
        <v>139.41724649999998</v>
      </c>
      <c r="BN17" s="607">
        <f t="shared" ref="BN17:BN41" si="29">SUM(BH17:BM17)</f>
        <v>867.36829650000004</v>
      </c>
    </row>
    <row r="18" spans="2:66" x14ac:dyDescent="0.25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39.853781897222198</v>
      </c>
      <c r="H18" s="595">
        <f t="shared" si="0"/>
        <v>560.78142857967703</v>
      </c>
      <c r="I18" s="595">
        <f t="shared" si="0"/>
        <v>0</v>
      </c>
      <c r="J18" s="595">
        <f t="shared" si="0"/>
        <v>360.76530940056392</v>
      </c>
      <c r="K18" s="595">
        <f t="shared" si="0"/>
        <v>1107.8964208584048</v>
      </c>
      <c r="L18" s="638">
        <f t="shared" si="0"/>
        <v>366.13994055115518</v>
      </c>
      <c r="N18" s="633" t="s">
        <v>385</v>
      </c>
      <c r="O18" s="637">
        <f>'3. EDU Calculation'!G12</f>
        <v>1.6666666666666667</v>
      </c>
      <c r="P18" s="595">
        <f t="shared" si="1"/>
        <v>358.68403707499976</v>
      </c>
      <c r="Q18" s="595">
        <f t="shared" si="2"/>
        <v>5047.0328572170929</v>
      </c>
      <c r="R18" s="595">
        <f t="shared" si="3"/>
        <v>0</v>
      </c>
      <c r="S18" s="595">
        <f t="shared" si="4"/>
        <v>3246.8877846050755</v>
      </c>
      <c r="T18" s="595">
        <f t="shared" si="5"/>
        <v>9971.0677877256421</v>
      </c>
      <c r="U18" s="638">
        <f t="shared" si="6"/>
        <v>3295.2594649603966</v>
      </c>
      <c r="X18" s="633" t="s">
        <v>385</v>
      </c>
      <c r="Y18" s="745">
        <f>'3. EDU Calculation'!E12</f>
        <v>0.5</v>
      </c>
      <c r="Z18" s="595">
        <f t="shared" si="16"/>
        <v>358.68403707499976</v>
      </c>
      <c r="AA18" s="595">
        <f t="shared" si="16"/>
        <v>5047.0328572170929</v>
      </c>
      <c r="AB18" s="595">
        <f t="shared" si="16"/>
        <v>0</v>
      </c>
      <c r="AC18" s="595">
        <f t="shared" si="16"/>
        <v>3246.8877846050755</v>
      </c>
      <c r="AD18" s="595">
        <f t="shared" si="16"/>
        <v>9971.0677877256421</v>
      </c>
      <c r="AE18" s="638">
        <f t="shared" si="16"/>
        <v>3295.2594649603971</v>
      </c>
      <c r="AG18" s="633" t="s">
        <v>241</v>
      </c>
      <c r="AH18" s="640">
        <f>'3. EDU Calculation'!J12</f>
        <v>9</v>
      </c>
      <c r="AI18" s="595">
        <f t="shared" si="17"/>
        <v>39.853781897222198</v>
      </c>
      <c r="AJ18" s="595">
        <f t="shared" si="18"/>
        <v>560.78142857967703</v>
      </c>
      <c r="AK18" s="595">
        <f t="shared" si="19"/>
        <v>0</v>
      </c>
      <c r="AL18" s="595">
        <f t="shared" si="20"/>
        <v>360.76530940056392</v>
      </c>
      <c r="AM18" s="595">
        <f t="shared" si="21"/>
        <v>1107.8964208584048</v>
      </c>
      <c r="AN18" s="638">
        <f t="shared" si="22"/>
        <v>366.13994055115523</v>
      </c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6">
        <f t="shared" si="9"/>
        <v>185.89032499999996</v>
      </c>
      <c r="AZ18" s="616">
        <f t="shared" si="10"/>
        <v>0</v>
      </c>
      <c r="BA18" s="616">
        <f t="shared" si="11"/>
        <v>35573.783977616098</v>
      </c>
      <c r="BB18" s="616"/>
      <c r="BC18" s="616">
        <f t="shared" si="12"/>
        <v>186888.5231226632</v>
      </c>
      <c r="BD18" s="616">
        <f t="shared" si="13"/>
        <v>646545.622717891</v>
      </c>
      <c r="BE18" s="616">
        <f t="shared" si="14"/>
        <v>185985.84468763738</v>
      </c>
      <c r="BF18" s="886">
        <f t="shared" si="23"/>
        <v>1054993.7745058078</v>
      </c>
      <c r="BH18" s="607">
        <f t="shared" si="24"/>
        <v>0</v>
      </c>
      <c r="BI18" s="607">
        <f t="shared" si="25"/>
        <v>3.5242274999999994</v>
      </c>
      <c r="BJ18" s="607"/>
      <c r="BK18" s="607">
        <f t="shared" si="26"/>
        <v>28.779639999999997</v>
      </c>
      <c r="BL18" s="607">
        <f t="shared" si="27"/>
        <v>32.421082499999997</v>
      </c>
      <c r="BM18" s="607">
        <f t="shared" si="28"/>
        <v>28.220212499999995</v>
      </c>
      <c r="BN18" s="607">
        <f t="shared" si="29"/>
        <v>92.945162499999981</v>
      </c>
    </row>
    <row r="19" spans="2:66" x14ac:dyDescent="0.25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27.428779305735279</v>
      </c>
      <c r="H19" s="595">
        <f t="shared" si="0"/>
        <v>385.9495714342483</v>
      </c>
      <c r="I19" s="595">
        <f t="shared" si="0"/>
        <v>0</v>
      </c>
      <c r="J19" s="595">
        <f t="shared" si="0"/>
        <v>248.29141882274109</v>
      </c>
      <c r="K19" s="595">
        <f t="shared" si="0"/>
        <v>762.49341906137272</v>
      </c>
      <c r="L19" s="638">
        <f t="shared" si="0"/>
        <v>251.99042967344212</v>
      </c>
      <c r="N19" s="633" t="s">
        <v>385</v>
      </c>
      <c r="O19" s="637">
        <f>'3. EDU Calculation'!G13</f>
        <v>2.166666666666667</v>
      </c>
      <c r="P19" s="595">
        <f t="shared" si="1"/>
        <v>466.28924819749977</v>
      </c>
      <c r="Q19" s="595">
        <f t="shared" si="2"/>
        <v>6561.1427143822211</v>
      </c>
      <c r="R19" s="595">
        <f t="shared" si="3"/>
        <v>0</v>
      </c>
      <c r="S19" s="595">
        <f t="shared" si="4"/>
        <v>4220.9541199865989</v>
      </c>
      <c r="T19" s="595">
        <f t="shared" si="5"/>
        <v>12962.388124043337</v>
      </c>
      <c r="U19" s="638">
        <f t="shared" si="6"/>
        <v>4283.8373044485161</v>
      </c>
      <c r="X19" s="633" t="s">
        <v>385</v>
      </c>
      <c r="Y19" s="745">
        <f>'3. EDU Calculation'!E13</f>
        <v>0.65</v>
      </c>
      <c r="Z19" s="595">
        <f t="shared" si="16"/>
        <v>466.28924819749972</v>
      </c>
      <c r="AA19" s="595">
        <f t="shared" si="16"/>
        <v>6561.1427143822211</v>
      </c>
      <c r="AB19" s="595">
        <f t="shared" si="16"/>
        <v>0</v>
      </c>
      <c r="AC19" s="595">
        <f t="shared" si="16"/>
        <v>4220.954119986598</v>
      </c>
      <c r="AD19" s="595">
        <f t="shared" si="16"/>
        <v>12962.388124043335</v>
      </c>
      <c r="AE19" s="638">
        <f t="shared" si="16"/>
        <v>4283.8373044485161</v>
      </c>
      <c r="AG19" s="633" t="s">
        <v>241</v>
      </c>
      <c r="AH19" s="640">
        <f>'3. EDU Calculation'!J13</f>
        <v>17</v>
      </c>
      <c r="AI19" s="595">
        <f t="shared" si="17"/>
        <v>27.428779305735276</v>
      </c>
      <c r="AJ19" s="595">
        <f t="shared" si="18"/>
        <v>385.9495714342483</v>
      </c>
      <c r="AK19" s="595">
        <f t="shared" si="19"/>
        <v>0</v>
      </c>
      <c r="AL19" s="595">
        <f t="shared" si="20"/>
        <v>248.29141882274106</v>
      </c>
      <c r="AM19" s="595">
        <f t="shared" si="21"/>
        <v>762.49341906137261</v>
      </c>
      <c r="AN19" s="638">
        <f t="shared" si="22"/>
        <v>251.99042967344212</v>
      </c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6">
        <f t="shared" si="9"/>
        <v>108.167855</v>
      </c>
      <c r="AZ19" s="616">
        <f t="shared" si="10"/>
        <v>0</v>
      </c>
      <c r="BA19" s="616">
        <f t="shared" si="11"/>
        <v>222114.59394997632</v>
      </c>
      <c r="BB19" s="616"/>
      <c r="BC19" s="616">
        <f t="shared" si="12"/>
        <v>74397.566499436172</v>
      </c>
      <c r="BD19" s="616">
        <f t="shared" si="13"/>
        <v>505081.91610709217</v>
      </c>
      <c r="BE19" s="616">
        <f t="shared" si="14"/>
        <v>75926.13264682288</v>
      </c>
      <c r="BF19" s="886">
        <f t="shared" si="23"/>
        <v>877520.20920332754</v>
      </c>
      <c r="BH19" s="607">
        <f t="shared" si="24"/>
        <v>0</v>
      </c>
      <c r="BI19" s="607">
        <f t="shared" si="25"/>
        <v>22.004472750000001</v>
      </c>
      <c r="BJ19" s="607"/>
      <c r="BK19" s="607">
        <f t="shared" si="26"/>
        <v>11.4567505</v>
      </c>
      <c r="BL19" s="607">
        <f t="shared" si="27"/>
        <v>25.327373500000004</v>
      </c>
      <c r="BM19" s="607">
        <f t="shared" si="28"/>
        <v>11.520509000000002</v>
      </c>
      <c r="BN19" s="607">
        <f t="shared" si="29"/>
        <v>70.309105750000015</v>
      </c>
    </row>
    <row r="20" spans="2:66" x14ac:dyDescent="0.25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5">
        <v>0</v>
      </c>
      <c r="Z20" s="595">
        <f t="shared" si="16"/>
        <v>0</v>
      </c>
      <c r="AA20" s="595">
        <f t="shared" si="16"/>
        <v>0</v>
      </c>
      <c r="AB20" s="595">
        <f t="shared" si="16"/>
        <v>0</v>
      </c>
      <c r="AC20" s="595">
        <f t="shared" si="16"/>
        <v>0</v>
      </c>
      <c r="AD20" s="595">
        <f t="shared" si="16"/>
        <v>0</v>
      </c>
      <c r="AE20" s="638">
        <f t="shared" si="16"/>
        <v>0</v>
      </c>
      <c r="AG20" s="633" t="s">
        <v>385</v>
      </c>
      <c r="AH20" s="640">
        <f>'3. EDU Calculation'!M14</f>
        <v>0</v>
      </c>
      <c r="AI20" s="595">
        <f t="shared" si="17"/>
        <v>0</v>
      </c>
      <c r="AJ20" s="595">
        <f t="shared" si="18"/>
        <v>0</v>
      </c>
      <c r="AK20" s="595">
        <f t="shared" si="19"/>
        <v>0</v>
      </c>
      <c r="AL20" s="595">
        <f t="shared" si="20"/>
        <v>0</v>
      </c>
      <c r="AM20" s="595">
        <f t="shared" si="21"/>
        <v>0</v>
      </c>
      <c r="AN20" s="638">
        <f t="shared" si="22"/>
        <v>0</v>
      </c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1">
        <f t="shared" si="9"/>
        <v>378.04557499999999</v>
      </c>
      <c r="AZ20" s="869">
        <f t="shared" si="10"/>
        <v>0</v>
      </c>
      <c r="BA20" s="869">
        <f t="shared" si="11"/>
        <v>0</v>
      </c>
      <c r="BB20" s="869"/>
      <c r="BC20" s="869">
        <f t="shared" si="12"/>
        <v>0</v>
      </c>
      <c r="BD20" s="869">
        <f t="shared" si="13"/>
        <v>0</v>
      </c>
      <c r="BE20" s="869">
        <f t="shared" si="14"/>
        <v>0</v>
      </c>
      <c r="BF20" s="891">
        <f t="shared" si="23"/>
        <v>0</v>
      </c>
      <c r="BH20" s="607">
        <f t="shared" si="24"/>
        <v>0</v>
      </c>
      <c r="BI20" s="607">
        <f t="shared" si="25"/>
        <v>0</v>
      </c>
      <c r="BJ20" s="607"/>
      <c r="BK20" s="607">
        <f t="shared" si="26"/>
        <v>0</v>
      </c>
      <c r="BL20" s="607">
        <f t="shared" si="27"/>
        <v>0</v>
      </c>
      <c r="BM20" s="607">
        <f t="shared" si="28"/>
        <v>0</v>
      </c>
      <c r="BN20" s="894">
        <f t="shared" si="29"/>
        <v>0</v>
      </c>
    </row>
    <row r="21" spans="2:66" x14ac:dyDescent="0.25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5">
        <v>0</v>
      </c>
      <c r="Z21" s="595">
        <f t="shared" si="16"/>
        <v>0</v>
      </c>
      <c r="AA21" s="595">
        <f t="shared" si="16"/>
        <v>0</v>
      </c>
      <c r="AB21" s="595">
        <f t="shared" si="16"/>
        <v>0</v>
      </c>
      <c r="AC21" s="595">
        <f t="shared" si="16"/>
        <v>0</v>
      </c>
      <c r="AD21" s="595">
        <f t="shared" si="16"/>
        <v>0</v>
      </c>
      <c r="AE21" s="638">
        <f t="shared" si="16"/>
        <v>0</v>
      </c>
      <c r="AG21" s="633" t="s">
        <v>385</v>
      </c>
      <c r="AH21" s="640">
        <f>'3. EDU Calculation'!M15</f>
        <v>0</v>
      </c>
      <c r="AI21" s="595">
        <f t="shared" si="17"/>
        <v>0</v>
      </c>
      <c r="AJ21" s="595">
        <f t="shared" si="18"/>
        <v>0</v>
      </c>
      <c r="AK21" s="595">
        <f t="shared" si="19"/>
        <v>0</v>
      </c>
      <c r="AL21" s="595">
        <f t="shared" si="20"/>
        <v>0</v>
      </c>
      <c r="AM21" s="595">
        <f t="shared" si="21"/>
        <v>0</v>
      </c>
      <c r="AN21" s="638">
        <f t="shared" si="22"/>
        <v>0</v>
      </c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1">
        <f t="shared" si="9"/>
        <v>80.546424999999999</v>
      </c>
      <c r="AZ21" s="869">
        <f t="shared" si="10"/>
        <v>0</v>
      </c>
      <c r="BA21" s="869">
        <f t="shared" si="11"/>
        <v>0</v>
      </c>
      <c r="BB21" s="869"/>
      <c r="BC21" s="869">
        <f t="shared" si="12"/>
        <v>0</v>
      </c>
      <c r="BD21" s="869">
        <f t="shared" si="13"/>
        <v>0</v>
      </c>
      <c r="BE21" s="869">
        <f t="shared" si="14"/>
        <v>0</v>
      </c>
      <c r="BF21" s="891">
        <f t="shared" si="23"/>
        <v>0</v>
      </c>
      <c r="BH21" s="607">
        <f t="shared" si="24"/>
        <v>0</v>
      </c>
      <c r="BI21" s="607">
        <f t="shared" si="25"/>
        <v>0</v>
      </c>
      <c r="BJ21" s="607"/>
      <c r="BK21" s="607">
        <f t="shared" si="26"/>
        <v>0</v>
      </c>
      <c r="BL21" s="607">
        <f t="shared" si="27"/>
        <v>0</v>
      </c>
      <c r="BM21" s="607">
        <f t="shared" si="28"/>
        <v>0</v>
      </c>
      <c r="BN21" s="894">
        <f t="shared" si="29"/>
        <v>0</v>
      </c>
    </row>
    <row r="22" spans="2:66" x14ac:dyDescent="0.25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5">
        <v>0</v>
      </c>
      <c r="Z22" s="595">
        <f t="shared" si="16"/>
        <v>0</v>
      </c>
      <c r="AA22" s="595">
        <f t="shared" si="16"/>
        <v>0</v>
      </c>
      <c r="AB22" s="595">
        <f t="shared" si="16"/>
        <v>0</v>
      </c>
      <c r="AC22" s="595">
        <f t="shared" si="16"/>
        <v>0</v>
      </c>
      <c r="AD22" s="595">
        <f t="shared" si="16"/>
        <v>0</v>
      </c>
      <c r="AE22" s="638">
        <f t="shared" si="16"/>
        <v>0</v>
      </c>
      <c r="AG22" s="633" t="s">
        <v>385</v>
      </c>
      <c r="AH22" s="640">
        <f>'3. EDU Calculation'!M16</f>
        <v>0</v>
      </c>
      <c r="AI22" s="595">
        <f t="shared" si="17"/>
        <v>0</v>
      </c>
      <c r="AJ22" s="595">
        <f t="shared" si="18"/>
        <v>0</v>
      </c>
      <c r="AK22" s="595">
        <f t="shared" si="19"/>
        <v>0</v>
      </c>
      <c r="AL22" s="595">
        <f t="shared" si="20"/>
        <v>0</v>
      </c>
      <c r="AM22" s="595">
        <f t="shared" si="21"/>
        <v>0</v>
      </c>
      <c r="AN22" s="638">
        <f t="shared" si="22"/>
        <v>0</v>
      </c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1">
        <f t="shared" si="9"/>
        <v>183.61462</v>
      </c>
      <c r="AZ22" s="869">
        <f t="shared" si="10"/>
        <v>0</v>
      </c>
      <c r="BA22" s="869">
        <f t="shared" si="11"/>
        <v>0</v>
      </c>
      <c r="BB22" s="869"/>
      <c r="BC22" s="869">
        <f t="shared" si="12"/>
        <v>0</v>
      </c>
      <c r="BD22" s="869">
        <f t="shared" si="13"/>
        <v>0</v>
      </c>
      <c r="BE22" s="869">
        <f t="shared" si="14"/>
        <v>0</v>
      </c>
      <c r="BF22" s="891">
        <f t="shared" si="23"/>
        <v>0</v>
      </c>
      <c r="BH22" s="607">
        <f t="shared" si="24"/>
        <v>0</v>
      </c>
      <c r="BI22" s="607">
        <f t="shared" si="25"/>
        <v>0</v>
      </c>
      <c r="BJ22" s="607"/>
      <c r="BK22" s="607">
        <f t="shared" si="26"/>
        <v>0</v>
      </c>
      <c r="BL22" s="607">
        <f t="shared" si="27"/>
        <v>0</v>
      </c>
      <c r="BM22" s="607">
        <f t="shared" si="28"/>
        <v>0</v>
      </c>
      <c r="BN22" s="894">
        <f t="shared" si="29"/>
        <v>0</v>
      </c>
    </row>
    <row r="23" spans="2:66" x14ac:dyDescent="0.25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43.042084448999972</v>
      </c>
      <c r="H23" s="595">
        <f t="shared" si="0"/>
        <v>605.64394286605113</v>
      </c>
      <c r="I23" s="595">
        <f t="shared" si="0"/>
        <v>0</v>
      </c>
      <c r="J23" s="595">
        <f t="shared" si="0"/>
        <v>389.62653415260905</v>
      </c>
      <c r="K23" s="595">
        <f t="shared" si="0"/>
        <v>1196.5281345270771</v>
      </c>
      <c r="L23" s="638">
        <f t="shared" si="0"/>
        <v>395.4311357952476</v>
      </c>
      <c r="N23" s="633" t="s">
        <v>385</v>
      </c>
      <c r="O23" s="637">
        <f>'3. EDU Calculation'!G17</f>
        <v>1</v>
      </c>
      <c r="P23" s="595">
        <f t="shared" si="1"/>
        <v>215.21042224499985</v>
      </c>
      <c r="Q23" s="595">
        <f t="shared" si="2"/>
        <v>3028.2197143302556</v>
      </c>
      <c r="R23" s="595">
        <f t="shared" si="3"/>
        <v>0</v>
      </c>
      <c r="S23" s="595">
        <f t="shared" si="4"/>
        <v>1948.1326707630453</v>
      </c>
      <c r="T23" s="595">
        <f t="shared" si="5"/>
        <v>5982.6406726353853</v>
      </c>
      <c r="U23" s="638">
        <f t="shared" si="6"/>
        <v>1977.1556789762381</v>
      </c>
      <c r="X23" s="633" t="s">
        <v>385</v>
      </c>
      <c r="Y23" s="745">
        <f>'3. EDU Calculation'!E17</f>
        <v>0.3</v>
      </c>
      <c r="Z23" s="595">
        <f t="shared" si="16"/>
        <v>215.21042224499985</v>
      </c>
      <c r="AA23" s="595">
        <f t="shared" si="16"/>
        <v>3028.2197143302556</v>
      </c>
      <c r="AB23" s="595">
        <f t="shared" si="16"/>
        <v>0</v>
      </c>
      <c r="AC23" s="595">
        <f t="shared" si="16"/>
        <v>1948.1326707630451</v>
      </c>
      <c r="AD23" s="595">
        <f t="shared" si="16"/>
        <v>5982.6406726353853</v>
      </c>
      <c r="AE23" s="638">
        <f t="shared" si="16"/>
        <v>1977.1556789762381</v>
      </c>
      <c r="AG23" s="633" t="s">
        <v>241</v>
      </c>
      <c r="AH23" s="640">
        <f>'3. EDU Calculation'!J17</f>
        <v>5</v>
      </c>
      <c r="AI23" s="595">
        <f t="shared" si="17"/>
        <v>43.042084448999972</v>
      </c>
      <c r="AJ23" s="595">
        <f t="shared" si="18"/>
        <v>605.64394286605113</v>
      </c>
      <c r="AK23" s="595">
        <f t="shared" si="19"/>
        <v>0</v>
      </c>
      <c r="AL23" s="595">
        <f t="shared" si="20"/>
        <v>389.626534152609</v>
      </c>
      <c r="AM23" s="595">
        <f t="shared" si="21"/>
        <v>1196.5281345270771</v>
      </c>
      <c r="AN23" s="638">
        <f t="shared" si="22"/>
        <v>395.4311357952476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6">
        <f t="shared" si="9"/>
        <v>1569.4401275</v>
      </c>
      <c r="AZ23" s="616">
        <f t="shared" si="10"/>
        <v>299388.22117500787</v>
      </c>
      <c r="BA23" s="616">
        <f t="shared" si="11"/>
        <v>143657.41840170231</v>
      </c>
      <c r="BB23" s="616"/>
      <c r="BC23" s="616">
        <f t="shared" si="12"/>
        <v>0</v>
      </c>
      <c r="BD23" s="616">
        <f t="shared" si="13"/>
        <v>296144.04861762654</v>
      </c>
      <c r="BE23" s="616">
        <f t="shared" si="14"/>
        <v>160857.7777323926</v>
      </c>
      <c r="BF23" s="886">
        <f t="shared" si="23"/>
        <v>900047.46592672938</v>
      </c>
      <c r="BH23" s="607">
        <f t="shared" si="24"/>
        <v>417.34254974999999</v>
      </c>
      <c r="BI23" s="607">
        <f t="shared" si="25"/>
        <v>14.23186875</v>
      </c>
      <c r="BJ23" s="607"/>
      <c r="BK23" s="607">
        <f t="shared" si="26"/>
        <v>0</v>
      </c>
      <c r="BL23" s="607">
        <f t="shared" si="27"/>
        <v>14.850167249999998</v>
      </c>
      <c r="BM23" s="607">
        <f t="shared" si="28"/>
        <v>24.407452500000002</v>
      </c>
      <c r="BN23" s="607">
        <f t="shared" si="29"/>
        <v>470.83203824999998</v>
      </c>
    </row>
    <row r="24" spans="2:66" x14ac:dyDescent="0.25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645.63126673499971</v>
      </c>
      <c r="H24" s="595">
        <f t="shared" si="0"/>
        <v>9084.6591429907676</v>
      </c>
      <c r="I24" s="595">
        <f t="shared" si="0"/>
        <v>0</v>
      </c>
      <c r="J24" s="595">
        <f t="shared" si="0"/>
        <v>5844.3980122891362</v>
      </c>
      <c r="K24" s="595">
        <f t="shared" si="0"/>
        <v>17947.922017906159</v>
      </c>
      <c r="L24" s="638">
        <f t="shared" si="0"/>
        <v>5931.4670369287151</v>
      </c>
      <c r="N24" s="633" t="s">
        <v>385</v>
      </c>
      <c r="O24" s="637">
        <f>'3. EDU Calculation'!G18</f>
        <v>3</v>
      </c>
      <c r="P24" s="595">
        <f t="shared" si="1"/>
        <v>645.63126673499971</v>
      </c>
      <c r="Q24" s="595">
        <f t="shared" si="2"/>
        <v>9084.6591429907676</v>
      </c>
      <c r="R24" s="595">
        <f t="shared" si="3"/>
        <v>0</v>
      </c>
      <c r="S24" s="595">
        <f t="shared" si="4"/>
        <v>5844.3980122891362</v>
      </c>
      <c r="T24" s="595">
        <f t="shared" si="5"/>
        <v>17947.922017906159</v>
      </c>
      <c r="U24" s="638">
        <f t="shared" si="6"/>
        <v>5931.4670369287151</v>
      </c>
      <c r="X24" s="633" t="s">
        <v>385</v>
      </c>
      <c r="Y24" s="745">
        <f>'3. EDU Calculation'!E18</f>
        <v>0.9</v>
      </c>
      <c r="Z24" s="595">
        <f t="shared" si="16"/>
        <v>645.6312667349996</v>
      </c>
      <c r="AA24" s="595">
        <f t="shared" si="16"/>
        <v>9084.6591429907676</v>
      </c>
      <c r="AB24" s="595">
        <f t="shared" si="16"/>
        <v>0</v>
      </c>
      <c r="AC24" s="595">
        <f t="shared" si="16"/>
        <v>5844.3980122891362</v>
      </c>
      <c r="AD24" s="595">
        <f t="shared" si="16"/>
        <v>17947.922017906156</v>
      </c>
      <c r="AE24" s="638">
        <f t="shared" si="16"/>
        <v>5931.4670369287151</v>
      </c>
      <c r="AG24" s="633" t="s">
        <v>385</v>
      </c>
      <c r="AH24" s="640">
        <v>1</v>
      </c>
      <c r="AI24" s="595">
        <f t="shared" si="17"/>
        <v>645.6312667349996</v>
      </c>
      <c r="AJ24" s="595">
        <f t="shared" si="18"/>
        <v>9084.6591429907676</v>
      </c>
      <c r="AK24" s="595">
        <f t="shared" si="19"/>
        <v>0</v>
      </c>
      <c r="AL24" s="595">
        <f t="shared" si="20"/>
        <v>5844.3980122891362</v>
      </c>
      <c r="AM24" s="595">
        <f t="shared" si="21"/>
        <v>17947.922017906156</v>
      </c>
      <c r="AN24" s="638">
        <f t="shared" si="22"/>
        <v>5931.4670369287151</v>
      </c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6">
        <f t="shared" si="9"/>
        <v>0.85</v>
      </c>
      <c r="AZ24" s="616">
        <f t="shared" si="10"/>
        <v>0</v>
      </c>
      <c r="BA24" s="616">
        <f t="shared" si="11"/>
        <v>0</v>
      </c>
      <c r="BB24" s="616"/>
      <c r="BC24" s="616">
        <f t="shared" si="12"/>
        <v>4967.7383104457658</v>
      </c>
      <c r="BD24" s="616">
        <f t="shared" si="13"/>
        <v>0</v>
      </c>
      <c r="BE24" s="616">
        <f t="shared" si="14"/>
        <v>0</v>
      </c>
      <c r="BF24" s="886">
        <f t="shared" si="23"/>
        <v>4967.7383104457658</v>
      </c>
      <c r="BH24" s="607">
        <f t="shared" si="24"/>
        <v>0</v>
      </c>
      <c r="BI24" s="607">
        <f t="shared" si="25"/>
        <v>0</v>
      </c>
      <c r="BJ24" s="607"/>
      <c r="BK24" s="607">
        <f t="shared" si="26"/>
        <v>0.76500000000000001</v>
      </c>
      <c r="BL24" s="607">
        <f t="shared" si="27"/>
        <v>0</v>
      </c>
      <c r="BM24" s="607">
        <f t="shared" si="28"/>
        <v>0</v>
      </c>
      <c r="BN24" s="607">
        <f t="shared" si="29"/>
        <v>0.76500000000000001</v>
      </c>
    </row>
    <row r="25" spans="2:66" x14ac:dyDescent="0.25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645.63126673499971</v>
      </c>
      <c r="H25" s="595">
        <f t="shared" si="0"/>
        <v>9084.6591429907676</v>
      </c>
      <c r="I25" s="595">
        <f t="shared" si="0"/>
        <v>0</v>
      </c>
      <c r="J25" s="595">
        <f t="shared" si="0"/>
        <v>5844.3980122891362</v>
      </c>
      <c r="K25" s="595">
        <f t="shared" si="0"/>
        <v>17947.922017906159</v>
      </c>
      <c r="L25" s="638">
        <f t="shared" si="0"/>
        <v>5931.4670369287151</v>
      </c>
      <c r="N25" s="633" t="s">
        <v>385</v>
      </c>
      <c r="O25" s="637">
        <f>'3. EDU Calculation'!G19</f>
        <v>3</v>
      </c>
      <c r="P25" s="595">
        <f t="shared" si="1"/>
        <v>645.63126673499971</v>
      </c>
      <c r="Q25" s="595">
        <f t="shared" si="2"/>
        <v>9084.6591429907676</v>
      </c>
      <c r="R25" s="595">
        <f t="shared" si="3"/>
        <v>0</v>
      </c>
      <c r="S25" s="595">
        <f t="shared" si="4"/>
        <v>5844.3980122891362</v>
      </c>
      <c r="T25" s="595">
        <f t="shared" si="5"/>
        <v>17947.922017906159</v>
      </c>
      <c r="U25" s="638">
        <f t="shared" si="6"/>
        <v>5931.4670369287151</v>
      </c>
      <c r="X25" s="633" t="s">
        <v>385</v>
      </c>
      <c r="Y25" s="745">
        <f>'3. EDU Calculation'!E19</f>
        <v>0.9</v>
      </c>
      <c r="Z25" s="595">
        <f t="shared" si="16"/>
        <v>645.6312667349996</v>
      </c>
      <c r="AA25" s="595">
        <f t="shared" si="16"/>
        <v>9084.6591429907676</v>
      </c>
      <c r="AB25" s="595">
        <f t="shared" si="16"/>
        <v>0</v>
      </c>
      <c r="AC25" s="595">
        <f t="shared" si="16"/>
        <v>5844.3980122891362</v>
      </c>
      <c r="AD25" s="595">
        <f t="shared" si="16"/>
        <v>17947.922017906156</v>
      </c>
      <c r="AE25" s="638">
        <f t="shared" si="16"/>
        <v>5931.4670369287151</v>
      </c>
      <c r="AG25" s="633" t="s">
        <v>385</v>
      </c>
      <c r="AH25" s="640">
        <v>1</v>
      </c>
      <c r="AI25" s="595">
        <f t="shared" si="17"/>
        <v>645.6312667349996</v>
      </c>
      <c r="AJ25" s="595">
        <f t="shared" si="18"/>
        <v>9084.6591429907676</v>
      </c>
      <c r="AK25" s="595">
        <f t="shared" si="19"/>
        <v>0</v>
      </c>
      <c r="AL25" s="595">
        <f t="shared" si="20"/>
        <v>5844.3980122891362</v>
      </c>
      <c r="AM25" s="595">
        <f t="shared" si="21"/>
        <v>17947.922017906156</v>
      </c>
      <c r="AN25" s="638">
        <f t="shared" si="22"/>
        <v>5931.4670369287151</v>
      </c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6">
        <f t="shared" si="9"/>
        <v>195.02008999999998</v>
      </c>
      <c r="AZ25" s="616">
        <f t="shared" si="10"/>
        <v>0</v>
      </c>
      <c r="BA25" s="616">
        <f t="shared" si="11"/>
        <v>550308.58753556013</v>
      </c>
      <c r="BB25" s="616"/>
      <c r="BC25" s="616">
        <f t="shared" si="12"/>
        <v>436746.66194413614</v>
      </c>
      <c r="BD25" s="616">
        <f t="shared" si="13"/>
        <v>714697.56194389449</v>
      </c>
      <c r="BE25" s="616">
        <f t="shared" si="14"/>
        <v>118005.11314760792</v>
      </c>
      <c r="BF25" s="886">
        <f t="shared" si="23"/>
        <v>1819757.9245711989</v>
      </c>
      <c r="BH25" s="607">
        <f t="shared" si="24"/>
        <v>0</v>
      </c>
      <c r="BI25" s="607">
        <f t="shared" si="25"/>
        <v>54.518031000000008</v>
      </c>
      <c r="BJ25" s="607"/>
      <c r="BK25" s="607">
        <f t="shared" si="26"/>
        <v>67.256198999999995</v>
      </c>
      <c r="BL25" s="607">
        <f t="shared" si="27"/>
        <v>35.838567000000005</v>
      </c>
      <c r="BM25" s="607">
        <f t="shared" si="28"/>
        <v>17.905283999999998</v>
      </c>
      <c r="BN25" s="607">
        <f t="shared" si="29"/>
        <v>175.518081</v>
      </c>
    </row>
    <row r="26" spans="2:66" x14ac:dyDescent="0.25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30">G$13*$E26</f>
        <v>645.63126673499971</v>
      </c>
      <c r="H26" s="595">
        <f t="shared" si="30"/>
        <v>9084.6591429907676</v>
      </c>
      <c r="I26" s="595">
        <f t="shared" si="30"/>
        <v>0</v>
      </c>
      <c r="J26" s="595">
        <f t="shared" si="30"/>
        <v>5844.3980122891362</v>
      </c>
      <c r="K26" s="595">
        <f t="shared" si="30"/>
        <v>17947.922017906159</v>
      </c>
      <c r="L26" s="638">
        <f t="shared" si="30"/>
        <v>5931.4670369287151</v>
      </c>
      <c r="N26" s="633" t="s">
        <v>385</v>
      </c>
      <c r="O26" s="637">
        <f>'3. EDU Calculation'!G20</f>
        <v>3</v>
      </c>
      <c r="P26" s="595">
        <f t="shared" si="1"/>
        <v>645.63126673499971</v>
      </c>
      <c r="Q26" s="595">
        <f t="shared" si="2"/>
        <v>9084.6591429907676</v>
      </c>
      <c r="R26" s="595">
        <f t="shared" si="3"/>
        <v>0</v>
      </c>
      <c r="S26" s="595">
        <f t="shared" si="4"/>
        <v>5844.3980122891362</v>
      </c>
      <c r="T26" s="595">
        <f t="shared" si="5"/>
        <v>17947.922017906159</v>
      </c>
      <c r="U26" s="638">
        <f t="shared" si="6"/>
        <v>5931.4670369287151</v>
      </c>
      <c r="X26" s="633" t="s">
        <v>385</v>
      </c>
      <c r="Y26" s="745">
        <f>'3. EDU Calculation'!E20</f>
        <v>0.9</v>
      </c>
      <c r="Z26" s="595">
        <f t="shared" si="16"/>
        <v>645.6312667349996</v>
      </c>
      <c r="AA26" s="595">
        <f t="shared" si="16"/>
        <v>9084.6591429907676</v>
      </c>
      <c r="AB26" s="595">
        <f t="shared" si="16"/>
        <v>0</v>
      </c>
      <c r="AC26" s="595">
        <f t="shared" si="16"/>
        <v>5844.3980122891362</v>
      </c>
      <c r="AD26" s="595">
        <f t="shared" si="16"/>
        <v>17947.922017906156</v>
      </c>
      <c r="AE26" s="638">
        <f t="shared" si="16"/>
        <v>5931.4670369287151</v>
      </c>
      <c r="AG26" s="633" t="s">
        <v>385</v>
      </c>
      <c r="AH26" s="640">
        <v>1</v>
      </c>
      <c r="AI26" s="595">
        <f t="shared" si="17"/>
        <v>645.6312667349996</v>
      </c>
      <c r="AJ26" s="595">
        <f t="shared" si="18"/>
        <v>9084.6591429907676</v>
      </c>
      <c r="AK26" s="595">
        <f t="shared" si="19"/>
        <v>0</v>
      </c>
      <c r="AL26" s="595">
        <f t="shared" si="20"/>
        <v>5844.3980122891362</v>
      </c>
      <c r="AM26" s="595">
        <f t="shared" si="21"/>
        <v>17947.922017906156</v>
      </c>
      <c r="AN26" s="638">
        <f t="shared" si="22"/>
        <v>5931.4670369287151</v>
      </c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6">
        <f t="shared" si="9"/>
        <v>247.82362000000001</v>
      </c>
      <c r="AZ26" s="616">
        <f t="shared" si="10"/>
        <v>0</v>
      </c>
      <c r="BA26" s="616">
        <f t="shared" si="11"/>
        <v>309510.83940792538</v>
      </c>
      <c r="BB26" s="616"/>
      <c r="BC26" s="616">
        <f t="shared" si="12"/>
        <v>283506.34150798462</v>
      </c>
      <c r="BD26" s="616">
        <f t="shared" si="13"/>
        <v>1383897.9492288877</v>
      </c>
      <c r="BE26" s="616">
        <f t="shared" si="14"/>
        <v>522791.3488677211</v>
      </c>
      <c r="BF26" s="886">
        <f t="shared" si="23"/>
        <v>2499706.4790125187</v>
      </c>
      <c r="BH26" s="607">
        <f t="shared" si="24"/>
        <v>0</v>
      </c>
      <c r="BI26" s="607">
        <f t="shared" si="25"/>
        <v>30.662653500000001</v>
      </c>
      <c r="BJ26" s="607"/>
      <c r="BK26" s="607">
        <f t="shared" si="26"/>
        <v>43.658167499999998</v>
      </c>
      <c r="BL26" s="607">
        <f t="shared" si="27"/>
        <v>69.395674500000013</v>
      </c>
      <c r="BM26" s="607">
        <f t="shared" si="28"/>
        <v>79.324762499999991</v>
      </c>
      <c r="BN26" s="607">
        <f t="shared" si="29"/>
        <v>223.041258</v>
      </c>
    </row>
    <row r="27" spans="2:66" x14ac:dyDescent="0.25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30"/>
        <v>645.63126673499971</v>
      </c>
      <c r="H27" s="595">
        <f t="shared" si="30"/>
        <v>9084.6591429907676</v>
      </c>
      <c r="I27" s="595">
        <f t="shared" si="30"/>
        <v>0</v>
      </c>
      <c r="J27" s="595">
        <f t="shared" si="30"/>
        <v>5844.3980122891362</v>
      </c>
      <c r="K27" s="595">
        <f t="shared" si="30"/>
        <v>17947.922017906159</v>
      </c>
      <c r="L27" s="638">
        <f t="shared" si="30"/>
        <v>5931.4670369287151</v>
      </c>
      <c r="N27" s="633" t="s">
        <v>385</v>
      </c>
      <c r="O27" s="637">
        <f>'3. EDU Calculation'!G21</f>
        <v>3</v>
      </c>
      <c r="P27" s="595">
        <f t="shared" si="1"/>
        <v>645.63126673499971</v>
      </c>
      <c r="Q27" s="595">
        <f t="shared" si="2"/>
        <v>9084.6591429907676</v>
      </c>
      <c r="R27" s="595">
        <f t="shared" si="3"/>
        <v>0</v>
      </c>
      <c r="S27" s="595">
        <f t="shared" si="4"/>
        <v>5844.3980122891362</v>
      </c>
      <c r="T27" s="595">
        <f t="shared" si="5"/>
        <v>17947.922017906159</v>
      </c>
      <c r="U27" s="638">
        <f t="shared" si="6"/>
        <v>5931.4670369287151</v>
      </c>
      <c r="X27" s="633" t="s">
        <v>385</v>
      </c>
      <c r="Y27" s="745">
        <f>'3. EDU Calculation'!E21</f>
        <v>0.9</v>
      </c>
      <c r="Z27" s="595">
        <f t="shared" si="16"/>
        <v>645.6312667349996</v>
      </c>
      <c r="AA27" s="595">
        <f t="shared" si="16"/>
        <v>9084.6591429907676</v>
      </c>
      <c r="AB27" s="595">
        <f t="shared" si="16"/>
        <v>0</v>
      </c>
      <c r="AC27" s="595">
        <f t="shared" si="16"/>
        <v>5844.3980122891362</v>
      </c>
      <c r="AD27" s="595">
        <f t="shared" si="16"/>
        <v>17947.922017906156</v>
      </c>
      <c r="AE27" s="638">
        <f t="shared" si="16"/>
        <v>5931.4670369287151</v>
      </c>
      <c r="AG27" s="633" t="s">
        <v>385</v>
      </c>
      <c r="AH27" s="640">
        <v>1</v>
      </c>
      <c r="AI27" s="595">
        <f t="shared" si="17"/>
        <v>645.6312667349996</v>
      </c>
      <c r="AJ27" s="595">
        <f t="shared" si="18"/>
        <v>9084.6591429907676</v>
      </c>
      <c r="AK27" s="595">
        <f t="shared" si="19"/>
        <v>0</v>
      </c>
      <c r="AL27" s="595">
        <f t="shared" si="20"/>
        <v>5844.3980122891362</v>
      </c>
      <c r="AM27" s="595">
        <f t="shared" si="21"/>
        <v>17947.922017906156</v>
      </c>
      <c r="AN27" s="638">
        <f t="shared" si="22"/>
        <v>5931.4670369287151</v>
      </c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6">
        <f t="shared" si="9"/>
        <v>47.737699999999997</v>
      </c>
      <c r="AZ27" s="616">
        <f t="shared" si="10"/>
        <v>0</v>
      </c>
      <c r="BA27" s="616">
        <f t="shared" si="11"/>
        <v>84198.710408841333</v>
      </c>
      <c r="BB27" s="616"/>
      <c r="BC27" s="616">
        <f t="shared" si="12"/>
        <v>175946.36193170605</v>
      </c>
      <c r="BD27" s="616">
        <f t="shared" si="13"/>
        <v>150122.52205125318</v>
      </c>
      <c r="BE27" s="616">
        <f t="shared" si="14"/>
        <v>0</v>
      </c>
      <c r="BF27" s="886">
        <f t="shared" si="23"/>
        <v>410267.59439180058</v>
      </c>
      <c r="BH27" s="607">
        <f t="shared" si="24"/>
        <v>0</v>
      </c>
      <c r="BI27" s="607">
        <f t="shared" si="25"/>
        <v>8.3414070000000002</v>
      </c>
      <c r="BJ27" s="607"/>
      <c r="BK27" s="607">
        <f t="shared" si="26"/>
        <v>27.094617</v>
      </c>
      <c r="BL27" s="607">
        <f t="shared" si="27"/>
        <v>7.5279060000000007</v>
      </c>
      <c r="BM27" s="607">
        <f t="shared" si="28"/>
        <v>0</v>
      </c>
      <c r="BN27" s="607">
        <f t="shared" si="29"/>
        <v>42.963930000000005</v>
      </c>
    </row>
    <row r="28" spans="2:66" x14ac:dyDescent="0.25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30"/>
        <v>502.15765190499963</v>
      </c>
      <c r="H28" s="595">
        <f t="shared" si="30"/>
        <v>7065.8460001039293</v>
      </c>
      <c r="I28" s="595">
        <f t="shared" si="30"/>
        <v>0</v>
      </c>
      <c r="J28" s="595">
        <f t="shared" si="30"/>
        <v>4545.6428984471058</v>
      </c>
      <c r="K28" s="595">
        <f t="shared" si="30"/>
        <v>13959.494902815899</v>
      </c>
      <c r="L28" s="638">
        <f t="shared" si="30"/>
        <v>4613.3632509445551</v>
      </c>
      <c r="N28" s="633" t="s">
        <v>385</v>
      </c>
      <c r="O28" s="637">
        <f>'3. EDU Calculation'!G22</f>
        <v>2.3333333333333335</v>
      </c>
      <c r="P28" s="595">
        <f t="shared" si="1"/>
        <v>502.15765190499963</v>
      </c>
      <c r="Q28" s="595">
        <f t="shared" si="2"/>
        <v>7065.8460001039293</v>
      </c>
      <c r="R28" s="595">
        <f t="shared" si="3"/>
        <v>0</v>
      </c>
      <c r="S28" s="595">
        <f t="shared" si="4"/>
        <v>4545.6428984471058</v>
      </c>
      <c r="T28" s="595">
        <f t="shared" si="5"/>
        <v>13959.494902815899</v>
      </c>
      <c r="U28" s="638">
        <f t="shared" si="6"/>
        <v>4613.3632509445551</v>
      </c>
      <c r="X28" s="633" t="s">
        <v>385</v>
      </c>
      <c r="Y28" s="745">
        <f>'3. EDU Calculation'!E22</f>
        <v>0.7</v>
      </c>
      <c r="Z28" s="595">
        <f t="shared" si="16"/>
        <v>502.15765190499963</v>
      </c>
      <c r="AA28" s="595">
        <f t="shared" si="16"/>
        <v>7065.8460001039293</v>
      </c>
      <c r="AB28" s="595">
        <f t="shared" si="16"/>
        <v>0</v>
      </c>
      <c r="AC28" s="595">
        <f t="shared" si="16"/>
        <v>4545.6428984471049</v>
      </c>
      <c r="AD28" s="595">
        <f t="shared" si="16"/>
        <v>13959.494902815899</v>
      </c>
      <c r="AE28" s="638">
        <f t="shared" si="16"/>
        <v>4613.3632509445551</v>
      </c>
      <c r="AG28" s="633" t="s">
        <v>385</v>
      </c>
      <c r="AH28" s="640">
        <v>1</v>
      </c>
      <c r="AI28" s="595">
        <f t="shared" si="17"/>
        <v>502.15765190499963</v>
      </c>
      <c r="AJ28" s="595">
        <f t="shared" si="18"/>
        <v>7065.8460001039293</v>
      </c>
      <c r="AK28" s="595">
        <f t="shared" si="19"/>
        <v>0</v>
      </c>
      <c r="AL28" s="595">
        <f t="shared" si="20"/>
        <v>4545.6428984471049</v>
      </c>
      <c r="AM28" s="595">
        <f t="shared" si="21"/>
        <v>13959.494902815899</v>
      </c>
      <c r="AN28" s="638">
        <f t="shared" si="22"/>
        <v>4613.3632509445551</v>
      </c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6">
        <f t="shared" si="9"/>
        <v>412.24983000000003</v>
      </c>
      <c r="AZ28" s="616">
        <f t="shared" si="10"/>
        <v>40774.001177897917</v>
      </c>
      <c r="BA28" s="616">
        <f t="shared" si="11"/>
        <v>0</v>
      </c>
      <c r="BB28" s="616"/>
      <c r="BC28" s="616">
        <f t="shared" si="12"/>
        <v>381544.87785300106</v>
      </c>
      <c r="BD28" s="616">
        <f t="shared" si="13"/>
        <v>3449612.0994926463</v>
      </c>
      <c r="BE28" s="616">
        <f t="shared" si="14"/>
        <v>0</v>
      </c>
      <c r="BF28" s="886">
        <f t="shared" si="23"/>
        <v>3871930.9785235454</v>
      </c>
      <c r="BH28" s="607">
        <f t="shared" si="24"/>
        <v>56.838326999999992</v>
      </c>
      <c r="BI28" s="607">
        <f t="shared" si="25"/>
        <v>0</v>
      </c>
      <c r="BJ28" s="607"/>
      <c r="BK28" s="607">
        <f t="shared" si="26"/>
        <v>58.755476499999986</v>
      </c>
      <c r="BL28" s="607">
        <f t="shared" si="27"/>
        <v>172.9810775</v>
      </c>
      <c r="BM28" s="607">
        <f t="shared" si="28"/>
        <v>0</v>
      </c>
      <c r="BN28" s="607">
        <f t="shared" si="29"/>
        <v>288.574881</v>
      </c>
    </row>
    <row r="29" spans="2:66" x14ac:dyDescent="0.25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30"/>
        <v>502.15765190499963</v>
      </c>
      <c r="H29" s="595">
        <f t="shared" si="30"/>
        <v>7065.8460001039293</v>
      </c>
      <c r="I29" s="595">
        <f t="shared" si="30"/>
        <v>0</v>
      </c>
      <c r="J29" s="595">
        <f t="shared" si="30"/>
        <v>4545.6428984471058</v>
      </c>
      <c r="K29" s="595">
        <f t="shared" si="30"/>
        <v>13959.494902815899</v>
      </c>
      <c r="L29" s="638">
        <f t="shared" si="30"/>
        <v>4613.3632509445551</v>
      </c>
      <c r="N29" s="633" t="s">
        <v>385</v>
      </c>
      <c r="O29" s="637">
        <f>'3. EDU Calculation'!G23</f>
        <v>2.3333333333333335</v>
      </c>
      <c r="P29" s="595">
        <f t="shared" si="1"/>
        <v>502.15765190499963</v>
      </c>
      <c r="Q29" s="595">
        <f t="shared" si="2"/>
        <v>7065.8460001039293</v>
      </c>
      <c r="R29" s="595">
        <f t="shared" si="3"/>
        <v>0</v>
      </c>
      <c r="S29" s="595">
        <f t="shared" si="4"/>
        <v>4545.6428984471058</v>
      </c>
      <c r="T29" s="595">
        <f t="shared" si="5"/>
        <v>13959.494902815899</v>
      </c>
      <c r="U29" s="638">
        <f t="shared" si="6"/>
        <v>4613.3632509445551</v>
      </c>
      <c r="X29" s="633" t="s">
        <v>385</v>
      </c>
      <c r="Y29" s="745">
        <f>'3. EDU Calculation'!E23</f>
        <v>0.7</v>
      </c>
      <c r="Z29" s="595">
        <f t="shared" si="16"/>
        <v>502.15765190499963</v>
      </c>
      <c r="AA29" s="595">
        <f t="shared" si="16"/>
        <v>7065.8460001039293</v>
      </c>
      <c r="AB29" s="595">
        <f t="shared" si="16"/>
        <v>0</v>
      </c>
      <c r="AC29" s="595">
        <f t="shared" si="16"/>
        <v>4545.6428984471049</v>
      </c>
      <c r="AD29" s="595">
        <f t="shared" si="16"/>
        <v>13959.494902815899</v>
      </c>
      <c r="AE29" s="638">
        <f t="shared" si="16"/>
        <v>4613.3632509445551</v>
      </c>
      <c r="AG29" s="633" t="s">
        <v>385</v>
      </c>
      <c r="AH29" s="640">
        <v>1</v>
      </c>
      <c r="AI29" s="595">
        <f t="shared" si="17"/>
        <v>502.15765190499963</v>
      </c>
      <c r="AJ29" s="595">
        <f t="shared" si="18"/>
        <v>7065.8460001039293</v>
      </c>
      <c r="AK29" s="595">
        <f t="shared" si="19"/>
        <v>0</v>
      </c>
      <c r="AL29" s="595">
        <f t="shared" si="20"/>
        <v>4545.6428984471049</v>
      </c>
      <c r="AM29" s="595">
        <f t="shared" si="21"/>
        <v>13959.494902815899</v>
      </c>
      <c r="AN29" s="638">
        <f t="shared" si="22"/>
        <v>4613.3632509445551</v>
      </c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6">
        <f t="shared" si="9"/>
        <v>637.81645500000002</v>
      </c>
      <c r="AZ29" s="616">
        <f t="shared" si="10"/>
        <v>96149.011918505872</v>
      </c>
      <c r="BA29" s="616">
        <f t="shared" si="11"/>
        <v>828391.90663389454</v>
      </c>
      <c r="BB29" s="616"/>
      <c r="BC29" s="616">
        <f t="shared" si="12"/>
        <v>1480792.6534920943</v>
      </c>
      <c r="BD29" s="616">
        <f t="shared" si="13"/>
        <v>46693.393690326957</v>
      </c>
      <c r="BE29" s="616">
        <f t="shared" si="14"/>
        <v>0</v>
      </c>
      <c r="BF29" s="886">
        <f t="shared" si="23"/>
        <v>2452026.9657348217</v>
      </c>
      <c r="BH29" s="607">
        <f t="shared" si="24"/>
        <v>134.03023549999997</v>
      </c>
      <c r="BI29" s="607">
        <f t="shared" si="25"/>
        <v>82.067219499999993</v>
      </c>
      <c r="BJ29" s="607"/>
      <c r="BK29" s="607">
        <f t="shared" si="26"/>
        <v>228.03261950000001</v>
      </c>
      <c r="BL29" s="607">
        <f t="shared" si="27"/>
        <v>2.3414440000000001</v>
      </c>
      <c r="BM29" s="607">
        <f t="shared" si="28"/>
        <v>0</v>
      </c>
      <c r="BN29" s="607">
        <f t="shared" si="29"/>
        <v>446.4715185</v>
      </c>
    </row>
    <row r="30" spans="2:66" x14ac:dyDescent="0.25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30"/>
        <v>502.15765190499963</v>
      </c>
      <c r="H30" s="595">
        <f t="shared" si="30"/>
        <v>7065.8460001039293</v>
      </c>
      <c r="I30" s="595">
        <f t="shared" si="30"/>
        <v>0</v>
      </c>
      <c r="J30" s="595">
        <f t="shared" si="30"/>
        <v>4545.6428984471058</v>
      </c>
      <c r="K30" s="595">
        <f t="shared" si="30"/>
        <v>13959.494902815899</v>
      </c>
      <c r="L30" s="638">
        <f t="shared" si="30"/>
        <v>4613.3632509445551</v>
      </c>
      <c r="N30" s="633" t="s">
        <v>385</v>
      </c>
      <c r="O30" s="637">
        <f>'3. EDU Calculation'!G24</f>
        <v>2.3333333333333335</v>
      </c>
      <c r="P30" s="595">
        <f t="shared" si="1"/>
        <v>502.15765190499963</v>
      </c>
      <c r="Q30" s="595">
        <f t="shared" si="2"/>
        <v>7065.8460001039293</v>
      </c>
      <c r="R30" s="595">
        <f t="shared" si="3"/>
        <v>0</v>
      </c>
      <c r="S30" s="595">
        <f t="shared" si="4"/>
        <v>4545.6428984471058</v>
      </c>
      <c r="T30" s="595">
        <f t="shared" si="5"/>
        <v>13959.494902815899</v>
      </c>
      <c r="U30" s="638">
        <f t="shared" si="6"/>
        <v>4613.3632509445551</v>
      </c>
      <c r="X30" s="633" t="s">
        <v>385</v>
      </c>
      <c r="Y30" s="745">
        <f>'3. EDU Calculation'!E24</f>
        <v>0.7</v>
      </c>
      <c r="Z30" s="595">
        <f t="shared" si="16"/>
        <v>502.15765190499963</v>
      </c>
      <c r="AA30" s="595">
        <f t="shared" si="16"/>
        <v>7065.8460001039293</v>
      </c>
      <c r="AB30" s="595">
        <f t="shared" si="16"/>
        <v>0</v>
      </c>
      <c r="AC30" s="595">
        <f t="shared" si="16"/>
        <v>4545.6428984471049</v>
      </c>
      <c r="AD30" s="595">
        <f t="shared" si="16"/>
        <v>13959.494902815899</v>
      </c>
      <c r="AE30" s="638">
        <f t="shared" si="16"/>
        <v>4613.3632509445551</v>
      </c>
      <c r="AG30" s="633" t="s">
        <v>385</v>
      </c>
      <c r="AH30" s="640">
        <v>1</v>
      </c>
      <c r="AI30" s="595">
        <f t="shared" si="17"/>
        <v>502.15765190499963</v>
      </c>
      <c r="AJ30" s="595">
        <f t="shared" si="18"/>
        <v>7065.8460001039293</v>
      </c>
      <c r="AK30" s="595">
        <f t="shared" si="19"/>
        <v>0</v>
      </c>
      <c r="AL30" s="595">
        <f t="shared" si="20"/>
        <v>4545.6428984471049</v>
      </c>
      <c r="AM30" s="595">
        <f t="shared" si="21"/>
        <v>13959.494902815899</v>
      </c>
      <c r="AN30" s="638">
        <f t="shared" si="22"/>
        <v>4613.3632509445551</v>
      </c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6">
        <f t="shared" si="9"/>
        <v>152.98656999999997</v>
      </c>
      <c r="AZ30" s="616">
        <f t="shared" si="10"/>
        <v>0</v>
      </c>
      <c r="BA30" s="616">
        <f t="shared" si="11"/>
        <v>0</v>
      </c>
      <c r="BB30" s="616"/>
      <c r="BC30" s="616">
        <f t="shared" si="12"/>
        <v>0</v>
      </c>
      <c r="BD30" s="616">
        <f t="shared" si="13"/>
        <v>0</v>
      </c>
      <c r="BE30" s="616">
        <f t="shared" si="14"/>
        <v>705782.61992605659</v>
      </c>
      <c r="BF30" s="886">
        <f t="shared" si="23"/>
        <v>705782.61992605659</v>
      </c>
      <c r="BH30" s="607">
        <f t="shared" si="24"/>
        <v>0</v>
      </c>
      <c r="BI30" s="607">
        <f t="shared" si="25"/>
        <v>0</v>
      </c>
      <c r="BJ30" s="607"/>
      <c r="BK30" s="607">
        <f t="shared" si="26"/>
        <v>0</v>
      </c>
      <c r="BL30" s="607">
        <f t="shared" si="27"/>
        <v>0</v>
      </c>
      <c r="BM30" s="607">
        <f t="shared" si="28"/>
        <v>107.09059899999997</v>
      </c>
      <c r="BN30" s="607">
        <f t="shared" si="29"/>
        <v>107.09059899999997</v>
      </c>
    </row>
    <row r="31" spans="2:66" x14ac:dyDescent="0.25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30"/>
        <v>43.042084448999972</v>
      </c>
      <c r="H31" s="595">
        <f t="shared" si="30"/>
        <v>605.64394286605113</v>
      </c>
      <c r="I31" s="595">
        <f t="shared" si="30"/>
        <v>0</v>
      </c>
      <c r="J31" s="595">
        <f t="shared" si="30"/>
        <v>389.62653415260905</v>
      </c>
      <c r="K31" s="595">
        <f t="shared" si="30"/>
        <v>1196.5281345270771</v>
      </c>
      <c r="L31" s="638">
        <f t="shared" si="30"/>
        <v>395.4311357952476</v>
      </c>
      <c r="N31" s="633" t="s">
        <v>385</v>
      </c>
      <c r="O31" s="637">
        <f>'3. EDU Calculation'!G25</f>
        <v>1</v>
      </c>
      <c r="P31" s="595">
        <f t="shared" si="1"/>
        <v>215.21042224499985</v>
      </c>
      <c r="Q31" s="595">
        <f t="shared" si="2"/>
        <v>3028.2197143302556</v>
      </c>
      <c r="R31" s="595">
        <f t="shared" si="3"/>
        <v>0</v>
      </c>
      <c r="S31" s="595">
        <f t="shared" si="4"/>
        <v>1948.1326707630453</v>
      </c>
      <c r="T31" s="595">
        <f t="shared" si="5"/>
        <v>5982.6406726353853</v>
      </c>
      <c r="U31" s="638">
        <f t="shared" si="6"/>
        <v>1977.1556789762381</v>
      </c>
      <c r="X31" s="633" t="s">
        <v>385</v>
      </c>
      <c r="Y31" s="745">
        <f>'3. EDU Calculation'!E25</f>
        <v>0.3</v>
      </c>
      <c r="Z31" s="595">
        <f t="shared" si="16"/>
        <v>215.21042224499985</v>
      </c>
      <c r="AA31" s="595">
        <f t="shared" si="16"/>
        <v>3028.2197143302556</v>
      </c>
      <c r="AB31" s="595">
        <f t="shared" si="16"/>
        <v>0</v>
      </c>
      <c r="AC31" s="595">
        <f t="shared" si="16"/>
        <v>1948.1326707630451</v>
      </c>
      <c r="AD31" s="595">
        <f t="shared" si="16"/>
        <v>5982.6406726353853</v>
      </c>
      <c r="AE31" s="638">
        <f t="shared" si="16"/>
        <v>1977.1556789762381</v>
      </c>
      <c r="AG31" s="633" t="s">
        <v>241</v>
      </c>
      <c r="AH31" s="640">
        <f>'3. EDU Calculation'!J25</f>
        <v>5</v>
      </c>
      <c r="AI31" s="595">
        <f t="shared" si="17"/>
        <v>43.042084448999972</v>
      </c>
      <c r="AJ31" s="595">
        <f t="shared" si="18"/>
        <v>605.64394286605113</v>
      </c>
      <c r="AK31" s="595">
        <f t="shared" si="19"/>
        <v>0</v>
      </c>
      <c r="AL31" s="595">
        <f t="shared" si="20"/>
        <v>389.626534152609</v>
      </c>
      <c r="AM31" s="595">
        <f t="shared" si="21"/>
        <v>1196.5281345270771</v>
      </c>
      <c r="AN31" s="638">
        <f t="shared" si="22"/>
        <v>395.4311357952476</v>
      </c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6">
        <f t="shared" si="9"/>
        <v>341.82388000000003</v>
      </c>
      <c r="AZ31" s="616">
        <f t="shared" si="10"/>
        <v>0</v>
      </c>
      <c r="BA31" s="616">
        <f t="shared" si="11"/>
        <v>350386.33961479948</v>
      </c>
      <c r="BB31" s="616"/>
      <c r="BC31" s="616">
        <f t="shared" si="12"/>
        <v>0</v>
      </c>
      <c r="BD31" s="616">
        <f t="shared" si="13"/>
        <v>1352775.8037517879</v>
      </c>
      <c r="BE31" s="616">
        <f t="shared" si="14"/>
        <v>0</v>
      </c>
      <c r="BF31" s="886">
        <f t="shared" si="23"/>
        <v>1703162.1433665873</v>
      </c>
      <c r="BH31" s="607">
        <f t="shared" si="24"/>
        <v>0</v>
      </c>
      <c r="BI31" s="607">
        <f t="shared" si="25"/>
        <v>34.712111999999998</v>
      </c>
      <c r="BJ31" s="607"/>
      <c r="BK31" s="607">
        <f t="shared" si="26"/>
        <v>0</v>
      </c>
      <c r="BL31" s="607">
        <f t="shared" si="27"/>
        <v>67.835052000000005</v>
      </c>
      <c r="BM31" s="607">
        <f t="shared" si="28"/>
        <v>0</v>
      </c>
      <c r="BN31" s="607">
        <f t="shared" si="29"/>
        <v>102.54716400000001</v>
      </c>
    </row>
    <row r="32" spans="2:66" x14ac:dyDescent="0.25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30"/>
        <v>107.60521112249992</v>
      </c>
      <c r="H32" s="595">
        <f t="shared" si="30"/>
        <v>1514.1098571651278</v>
      </c>
      <c r="I32" s="595">
        <f t="shared" si="30"/>
        <v>0</v>
      </c>
      <c r="J32" s="595">
        <f t="shared" si="30"/>
        <v>974.06633538152266</v>
      </c>
      <c r="K32" s="595">
        <f t="shared" si="30"/>
        <v>2991.3203363176926</v>
      </c>
      <c r="L32" s="638">
        <f t="shared" si="30"/>
        <v>988.57783948811903</v>
      </c>
      <c r="N32" s="633" t="s">
        <v>385</v>
      </c>
      <c r="O32" s="637">
        <f>'3. EDU Calculation'!G26</f>
        <v>1</v>
      </c>
      <c r="P32" s="595">
        <f t="shared" si="1"/>
        <v>215.21042224499985</v>
      </c>
      <c r="Q32" s="595">
        <f t="shared" si="2"/>
        <v>3028.2197143302556</v>
      </c>
      <c r="R32" s="595">
        <f t="shared" si="3"/>
        <v>0</v>
      </c>
      <c r="S32" s="595">
        <f t="shared" si="4"/>
        <v>1948.1326707630453</v>
      </c>
      <c r="T32" s="595">
        <f t="shared" si="5"/>
        <v>5982.6406726353853</v>
      </c>
      <c r="U32" s="638">
        <f t="shared" si="6"/>
        <v>1977.1556789762381</v>
      </c>
      <c r="X32" s="633" t="s">
        <v>385</v>
      </c>
      <c r="Y32" s="745">
        <f>'3. EDU Calculation'!E26</f>
        <v>0.3</v>
      </c>
      <c r="Z32" s="595">
        <f t="shared" si="16"/>
        <v>215.21042224499985</v>
      </c>
      <c r="AA32" s="595">
        <f t="shared" si="16"/>
        <v>3028.2197143302556</v>
      </c>
      <c r="AB32" s="595">
        <f t="shared" si="16"/>
        <v>0</v>
      </c>
      <c r="AC32" s="595">
        <f t="shared" si="16"/>
        <v>1948.1326707630451</v>
      </c>
      <c r="AD32" s="595">
        <f t="shared" si="16"/>
        <v>5982.6406726353853</v>
      </c>
      <c r="AE32" s="638">
        <f t="shared" si="16"/>
        <v>1977.1556789762381</v>
      </c>
      <c r="AG32" s="633" t="s">
        <v>241</v>
      </c>
      <c r="AH32" s="640">
        <f>'3. EDU Calculation'!J26</f>
        <v>2</v>
      </c>
      <c r="AI32" s="595">
        <f t="shared" si="17"/>
        <v>107.60521112249992</v>
      </c>
      <c r="AJ32" s="595">
        <f t="shared" si="18"/>
        <v>1514.1098571651278</v>
      </c>
      <c r="AK32" s="595">
        <f t="shared" si="19"/>
        <v>0</v>
      </c>
      <c r="AL32" s="595">
        <f t="shared" si="20"/>
        <v>974.06633538152255</v>
      </c>
      <c r="AM32" s="595">
        <f t="shared" si="21"/>
        <v>2991.3203363176926</v>
      </c>
      <c r="AN32" s="638">
        <f t="shared" si="22"/>
        <v>988.57783948811903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6">
        <f t="shared" si="9"/>
        <v>149.32672000000002</v>
      </c>
      <c r="AZ32" s="616">
        <f t="shared" si="10"/>
        <v>0</v>
      </c>
      <c r="BA32" s="616">
        <f t="shared" si="11"/>
        <v>213545.14853863243</v>
      </c>
      <c r="BB32" s="616"/>
      <c r="BC32" s="616">
        <f t="shared" si="12"/>
        <v>0</v>
      </c>
      <c r="BD32" s="616">
        <f t="shared" si="13"/>
        <v>118722.87178655327</v>
      </c>
      <c r="BE32" s="616">
        <f t="shared" si="14"/>
        <v>116580.57248090552</v>
      </c>
      <c r="BF32" s="886">
        <f t="shared" si="23"/>
        <v>448848.59280609124</v>
      </c>
      <c r="BH32" s="607">
        <f t="shared" si="24"/>
        <v>0</v>
      </c>
      <c r="BI32" s="607">
        <f t="shared" si="25"/>
        <v>21.155514</v>
      </c>
      <c r="BJ32" s="607"/>
      <c r="BK32" s="607">
        <f t="shared" si="26"/>
        <v>0</v>
      </c>
      <c r="BL32" s="607">
        <f t="shared" si="27"/>
        <v>5.9533680000000002</v>
      </c>
      <c r="BM32" s="607">
        <f t="shared" si="28"/>
        <v>17.689133999999999</v>
      </c>
      <c r="BN32" s="607">
        <f t="shared" si="29"/>
        <v>44.798016000000004</v>
      </c>
    </row>
    <row r="33" spans="2:66" x14ac:dyDescent="0.25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30"/>
        <v>43.042084448999972</v>
      </c>
      <c r="H33" s="595">
        <f t="shared" si="30"/>
        <v>605.64394286605113</v>
      </c>
      <c r="I33" s="595">
        <f t="shared" si="30"/>
        <v>0</v>
      </c>
      <c r="J33" s="595">
        <f t="shared" si="30"/>
        <v>389.62653415260905</v>
      </c>
      <c r="K33" s="595">
        <f t="shared" si="30"/>
        <v>1196.5281345270771</v>
      </c>
      <c r="L33" s="638">
        <f t="shared" si="30"/>
        <v>395.4311357952476</v>
      </c>
      <c r="N33" s="633" t="s">
        <v>385</v>
      </c>
      <c r="O33" s="637">
        <f>'3. EDU Calculation'!G27</f>
        <v>1</v>
      </c>
      <c r="P33" s="595">
        <f t="shared" si="1"/>
        <v>215.21042224499985</v>
      </c>
      <c r="Q33" s="595">
        <f t="shared" si="2"/>
        <v>3028.2197143302556</v>
      </c>
      <c r="R33" s="595">
        <f t="shared" si="3"/>
        <v>0</v>
      </c>
      <c r="S33" s="595">
        <f t="shared" si="4"/>
        <v>1948.1326707630453</v>
      </c>
      <c r="T33" s="595">
        <f t="shared" si="5"/>
        <v>5982.6406726353853</v>
      </c>
      <c r="U33" s="638">
        <f t="shared" si="6"/>
        <v>1977.1556789762381</v>
      </c>
      <c r="X33" s="633" t="s">
        <v>385</v>
      </c>
      <c r="Y33" s="745">
        <f>'3. EDU Calculation'!E27</f>
        <v>0.3</v>
      </c>
      <c r="Z33" s="595">
        <f t="shared" si="16"/>
        <v>215.21042224499985</v>
      </c>
      <c r="AA33" s="595">
        <f t="shared" si="16"/>
        <v>3028.2197143302556</v>
      </c>
      <c r="AB33" s="595">
        <f t="shared" si="16"/>
        <v>0</v>
      </c>
      <c r="AC33" s="595">
        <f t="shared" si="16"/>
        <v>1948.1326707630451</v>
      </c>
      <c r="AD33" s="595">
        <f t="shared" si="16"/>
        <v>5982.6406726353853</v>
      </c>
      <c r="AE33" s="638">
        <f t="shared" si="16"/>
        <v>1977.1556789762381</v>
      </c>
      <c r="AG33" s="633" t="s">
        <v>241</v>
      </c>
      <c r="AH33" s="640">
        <f>'3. EDU Calculation'!J27</f>
        <v>5</v>
      </c>
      <c r="AI33" s="595">
        <f t="shared" si="17"/>
        <v>43.042084448999972</v>
      </c>
      <c r="AJ33" s="595">
        <f t="shared" si="18"/>
        <v>605.64394286605113</v>
      </c>
      <c r="AK33" s="595">
        <f t="shared" si="19"/>
        <v>0</v>
      </c>
      <c r="AL33" s="595">
        <f t="shared" si="20"/>
        <v>389.626534152609</v>
      </c>
      <c r="AM33" s="595">
        <f t="shared" si="21"/>
        <v>1196.5281345270771</v>
      </c>
      <c r="AN33" s="638">
        <f t="shared" si="22"/>
        <v>395.4311357952476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6">
        <f t="shared" si="9"/>
        <v>276.27096</v>
      </c>
      <c r="AZ33" s="616">
        <f t="shared" si="10"/>
        <v>0</v>
      </c>
      <c r="BA33" s="616">
        <f t="shared" si="11"/>
        <v>456884.34520261729</v>
      </c>
      <c r="BB33" s="616"/>
      <c r="BC33" s="616">
        <f t="shared" si="12"/>
        <v>0</v>
      </c>
      <c r="BD33" s="616">
        <f t="shared" si="13"/>
        <v>576078.28189876443</v>
      </c>
      <c r="BE33" s="616">
        <f t="shared" si="14"/>
        <v>57542.664363561482</v>
      </c>
      <c r="BF33" s="886">
        <f t="shared" si="23"/>
        <v>1090505.2914649432</v>
      </c>
      <c r="BH33" s="607">
        <f t="shared" si="24"/>
        <v>0</v>
      </c>
      <c r="BI33" s="607">
        <f t="shared" si="25"/>
        <v>45.262667999999991</v>
      </c>
      <c r="BJ33" s="607"/>
      <c r="BK33" s="607">
        <f t="shared" si="26"/>
        <v>0</v>
      </c>
      <c r="BL33" s="607">
        <f t="shared" si="27"/>
        <v>28.887491999999998</v>
      </c>
      <c r="BM33" s="607">
        <f t="shared" si="28"/>
        <v>8.731128</v>
      </c>
      <c r="BN33" s="607">
        <f t="shared" si="29"/>
        <v>82.881287999999984</v>
      </c>
    </row>
    <row r="34" spans="2:66" x14ac:dyDescent="0.25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30"/>
        <v>39.853781897222198</v>
      </c>
      <c r="H34" s="595">
        <f t="shared" si="30"/>
        <v>560.78142857967703</v>
      </c>
      <c r="I34" s="595">
        <f t="shared" si="30"/>
        <v>0</v>
      </c>
      <c r="J34" s="595">
        <f t="shared" si="30"/>
        <v>360.76530940056392</v>
      </c>
      <c r="K34" s="595">
        <f t="shared" si="30"/>
        <v>1107.8964208584048</v>
      </c>
      <c r="L34" s="638">
        <f t="shared" si="30"/>
        <v>366.13994055115518</v>
      </c>
      <c r="N34" s="633" t="s">
        <v>385</v>
      </c>
      <c r="O34" s="637">
        <f>'3. EDU Calculation'!G28</f>
        <v>1.6666666666666667</v>
      </c>
      <c r="P34" s="595">
        <f t="shared" si="1"/>
        <v>358.68403707499976</v>
      </c>
      <c r="Q34" s="595">
        <f t="shared" si="2"/>
        <v>5047.0328572170929</v>
      </c>
      <c r="R34" s="595">
        <f t="shared" si="3"/>
        <v>0</v>
      </c>
      <c r="S34" s="595">
        <f t="shared" si="4"/>
        <v>3246.8877846050755</v>
      </c>
      <c r="T34" s="595">
        <f t="shared" si="5"/>
        <v>9971.0677877256421</v>
      </c>
      <c r="U34" s="638">
        <f t="shared" si="6"/>
        <v>3295.2594649603966</v>
      </c>
      <c r="X34" s="633" t="s">
        <v>385</v>
      </c>
      <c r="Y34" s="745">
        <f>'3. EDU Calculation'!E28</f>
        <v>0.5</v>
      </c>
      <c r="Z34" s="595">
        <f t="shared" si="16"/>
        <v>358.68403707499976</v>
      </c>
      <c r="AA34" s="595">
        <f t="shared" si="16"/>
        <v>5047.0328572170929</v>
      </c>
      <c r="AB34" s="595">
        <f t="shared" si="16"/>
        <v>0</v>
      </c>
      <c r="AC34" s="595">
        <f t="shared" si="16"/>
        <v>3246.8877846050755</v>
      </c>
      <c r="AD34" s="595">
        <f t="shared" si="16"/>
        <v>9971.0677877256421</v>
      </c>
      <c r="AE34" s="638">
        <f t="shared" si="16"/>
        <v>3295.2594649603971</v>
      </c>
      <c r="AG34" s="633" t="s">
        <v>241</v>
      </c>
      <c r="AH34" s="640">
        <f>'3. EDU Calculation'!J28</f>
        <v>9</v>
      </c>
      <c r="AI34" s="595">
        <f t="shared" si="17"/>
        <v>39.853781897222198</v>
      </c>
      <c r="AJ34" s="595">
        <f t="shared" si="18"/>
        <v>560.78142857967703</v>
      </c>
      <c r="AK34" s="595">
        <f t="shared" si="19"/>
        <v>0</v>
      </c>
      <c r="AL34" s="595">
        <f t="shared" si="20"/>
        <v>360.76530940056392</v>
      </c>
      <c r="AM34" s="595">
        <f t="shared" si="21"/>
        <v>1107.8964208584048</v>
      </c>
      <c r="AN34" s="638">
        <f t="shared" si="22"/>
        <v>366.13994055115523</v>
      </c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6">
        <f t="shared" si="9"/>
        <v>3.9472200000000002</v>
      </c>
      <c r="AZ34" s="616">
        <f t="shared" si="10"/>
        <v>0</v>
      </c>
      <c r="BA34" s="616">
        <f t="shared" si="11"/>
        <v>19921.749034664455</v>
      </c>
      <c r="BB34" s="616"/>
      <c r="BC34" s="616">
        <f t="shared" si="12"/>
        <v>0</v>
      </c>
      <c r="BD34" s="616">
        <f t="shared" si="13"/>
        <v>0</v>
      </c>
      <c r="BE34" s="616">
        <f t="shared" si="14"/>
        <v>0</v>
      </c>
      <c r="BF34" s="886">
        <f t="shared" si="23"/>
        <v>19921.749034664455</v>
      </c>
      <c r="BH34" s="607">
        <f t="shared" si="24"/>
        <v>0</v>
      </c>
      <c r="BI34" s="607">
        <f t="shared" si="25"/>
        <v>1.9736100000000001</v>
      </c>
      <c r="BJ34" s="607"/>
      <c r="BK34" s="607">
        <f t="shared" si="26"/>
        <v>0</v>
      </c>
      <c r="BL34" s="607">
        <f t="shared" si="27"/>
        <v>0</v>
      </c>
      <c r="BM34" s="607">
        <f t="shared" si="28"/>
        <v>0</v>
      </c>
      <c r="BN34" s="607">
        <f t="shared" si="29"/>
        <v>1.9736100000000001</v>
      </c>
    </row>
    <row r="35" spans="2:66" x14ac:dyDescent="0.25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30"/>
        <v>0</v>
      </c>
      <c r="H35" s="595">
        <f t="shared" si="30"/>
        <v>0</v>
      </c>
      <c r="I35" s="595">
        <f t="shared" si="30"/>
        <v>0</v>
      </c>
      <c r="J35" s="595">
        <f t="shared" si="30"/>
        <v>0</v>
      </c>
      <c r="K35" s="595">
        <f t="shared" si="30"/>
        <v>0</v>
      </c>
      <c r="L35" s="638">
        <f t="shared" si="30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5">
        <v>0</v>
      </c>
      <c r="Z35" s="595">
        <f t="shared" si="16"/>
        <v>0</v>
      </c>
      <c r="AA35" s="595">
        <f t="shared" si="16"/>
        <v>0</v>
      </c>
      <c r="AB35" s="595">
        <f t="shared" si="16"/>
        <v>0</v>
      </c>
      <c r="AC35" s="595">
        <f t="shared" si="16"/>
        <v>0</v>
      </c>
      <c r="AD35" s="595">
        <f t="shared" si="16"/>
        <v>0</v>
      </c>
      <c r="AE35" s="638">
        <f t="shared" si="16"/>
        <v>0</v>
      </c>
      <c r="AG35" s="633" t="s">
        <v>385</v>
      </c>
      <c r="AH35" s="640">
        <f>'3. EDU Calculation'!M29</f>
        <v>0</v>
      </c>
      <c r="AI35" s="595">
        <f t="shared" si="17"/>
        <v>0</v>
      </c>
      <c r="AJ35" s="595">
        <f t="shared" si="18"/>
        <v>0</v>
      </c>
      <c r="AK35" s="595">
        <f t="shared" si="19"/>
        <v>0</v>
      </c>
      <c r="AL35" s="595">
        <f t="shared" si="20"/>
        <v>0</v>
      </c>
      <c r="AM35" s="595">
        <f t="shared" si="21"/>
        <v>0</v>
      </c>
      <c r="AN35" s="638">
        <f t="shared" si="22"/>
        <v>0</v>
      </c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1">
        <f t="shared" si="9"/>
        <v>13.503080000000001</v>
      </c>
      <c r="AZ35" s="869">
        <f t="shared" si="10"/>
        <v>0</v>
      </c>
      <c r="BA35" s="869">
        <f t="shared" si="11"/>
        <v>0</v>
      </c>
      <c r="BB35" s="869"/>
      <c r="BC35" s="869">
        <f t="shared" si="12"/>
        <v>0</v>
      </c>
      <c r="BD35" s="869">
        <f t="shared" si="13"/>
        <v>0</v>
      </c>
      <c r="BE35" s="869">
        <f t="shared" si="14"/>
        <v>0</v>
      </c>
      <c r="BF35" s="891">
        <f t="shared" si="23"/>
        <v>0</v>
      </c>
      <c r="BH35" s="607">
        <f t="shared" si="24"/>
        <v>0</v>
      </c>
      <c r="BI35" s="607">
        <f t="shared" si="25"/>
        <v>0</v>
      </c>
      <c r="BJ35" s="607"/>
      <c r="BK35" s="607">
        <f t="shared" si="26"/>
        <v>0</v>
      </c>
      <c r="BL35" s="607">
        <f t="shared" si="27"/>
        <v>0</v>
      </c>
      <c r="BM35" s="607">
        <f t="shared" si="28"/>
        <v>0</v>
      </c>
      <c r="BN35" s="894">
        <f t="shared" si="29"/>
        <v>0</v>
      </c>
    </row>
    <row r="36" spans="2:66" x14ac:dyDescent="0.25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31">G$13*$E36</f>
        <v>0</v>
      </c>
      <c r="H36" s="595">
        <f t="shared" si="31"/>
        <v>0</v>
      </c>
      <c r="I36" s="595">
        <f t="shared" si="31"/>
        <v>0</v>
      </c>
      <c r="J36" s="595">
        <f t="shared" si="31"/>
        <v>0</v>
      </c>
      <c r="K36" s="595">
        <f t="shared" si="31"/>
        <v>0</v>
      </c>
      <c r="L36" s="638">
        <f t="shared" si="31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5">
        <v>0</v>
      </c>
      <c r="Z36" s="595">
        <f t="shared" si="16"/>
        <v>0</v>
      </c>
      <c r="AA36" s="595">
        <f t="shared" si="16"/>
        <v>0</v>
      </c>
      <c r="AB36" s="595">
        <f t="shared" si="16"/>
        <v>0</v>
      </c>
      <c r="AC36" s="595">
        <f t="shared" si="16"/>
        <v>0</v>
      </c>
      <c r="AD36" s="595">
        <f t="shared" si="16"/>
        <v>0</v>
      </c>
      <c r="AE36" s="638">
        <f t="shared" si="16"/>
        <v>0</v>
      </c>
      <c r="AG36" s="633" t="s">
        <v>385</v>
      </c>
      <c r="AH36" s="640">
        <f>'3. EDU Calculation'!M30</f>
        <v>0</v>
      </c>
      <c r="AI36" s="595">
        <f t="shared" si="17"/>
        <v>0</v>
      </c>
      <c r="AJ36" s="595">
        <f t="shared" si="18"/>
        <v>0</v>
      </c>
      <c r="AK36" s="595">
        <f t="shared" si="19"/>
        <v>0</v>
      </c>
      <c r="AL36" s="595">
        <f t="shared" si="20"/>
        <v>0</v>
      </c>
      <c r="AM36" s="595">
        <f t="shared" si="21"/>
        <v>0</v>
      </c>
      <c r="AN36" s="638">
        <f t="shared" si="22"/>
        <v>0</v>
      </c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1">
        <f t="shared" si="9"/>
        <v>2.3305599999999997</v>
      </c>
      <c r="AZ36" s="869">
        <f t="shared" si="10"/>
        <v>0</v>
      </c>
      <c r="BA36" s="869">
        <f t="shared" si="11"/>
        <v>0</v>
      </c>
      <c r="BB36" s="869"/>
      <c r="BC36" s="869">
        <f t="shared" si="12"/>
        <v>0</v>
      </c>
      <c r="BD36" s="869">
        <f t="shared" si="13"/>
        <v>0</v>
      </c>
      <c r="BE36" s="869">
        <f t="shared" si="14"/>
        <v>0</v>
      </c>
      <c r="BF36" s="891">
        <f t="shared" si="23"/>
        <v>0</v>
      </c>
      <c r="BH36" s="607">
        <f t="shared" si="24"/>
        <v>0</v>
      </c>
      <c r="BI36" s="607">
        <f t="shared" si="25"/>
        <v>0</v>
      </c>
      <c r="BJ36" s="607"/>
      <c r="BK36" s="607">
        <f t="shared" si="26"/>
        <v>0</v>
      </c>
      <c r="BL36" s="607">
        <f t="shared" si="27"/>
        <v>0</v>
      </c>
      <c r="BM36" s="607">
        <f t="shared" si="28"/>
        <v>0</v>
      </c>
      <c r="BN36" s="894">
        <f t="shared" si="29"/>
        <v>0</v>
      </c>
    </row>
    <row r="37" spans="2:66" x14ac:dyDescent="0.25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31"/>
        <v>43.042084448999972</v>
      </c>
      <c r="H37" s="595">
        <f t="shared" si="31"/>
        <v>605.64394286605113</v>
      </c>
      <c r="I37" s="595">
        <f t="shared" si="31"/>
        <v>0</v>
      </c>
      <c r="J37" s="595">
        <f t="shared" si="31"/>
        <v>389.62653415260905</v>
      </c>
      <c r="K37" s="595">
        <f t="shared" si="31"/>
        <v>1196.5281345270771</v>
      </c>
      <c r="L37" s="638">
        <f t="shared" si="31"/>
        <v>395.4311357952476</v>
      </c>
      <c r="N37" s="633" t="s">
        <v>385</v>
      </c>
      <c r="O37" s="637">
        <f>'3. EDU Calculation'!G31</f>
        <v>1</v>
      </c>
      <c r="P37" s="595">
        <f t="shared" si="1"/>
        <v>215.21042224499985</v>
      </c>
      <c r="Q37" s="595">
        <f t="shared" si="2"/>
        <v>3028.2197143302556</v>
      </c>
      <c r="R37" s="595">
        <f t="shared" si="3"/>
        <v>0</v>
      </c>
      <c r="S37" s="595">
        <f t="shared" si="4"/>
        <v>1948.1326707630453</v>
      </c>
      <c r="T37" s="595">
        <f t="shared" si="5"/>
        <v>5982.6406726353853</v>
      </c>
      <c r="U37" s="638">
        <f t="shared" si="6"/>
        <v>1977.1556789762381</v>
      </c>
      <c r="X37" s="633" t="s">
        <v>385</v>
      </c>
      <c r="Y37" s="745">
        <f>'3. EDU Calculation'!E31</f>
        <v>0.3</v>
      </c>
      <c r="Z37" s="595">
        <f t="shared" si="16"/>
        <v>215.21042224499985</v>
      </c>
      <c r="AA37" s="595">
        <f t="shared" si="16"/>
        <v>3028.2197143302556</v>
      </c>
      <c r="AB37" s="595">
        <f t="shared" si="16"/>
        <v>0</v>
      </c>
      <c r="AC37" s="595">
        <f t="shared" si="16"/>
        <v>1948.1326707630451</v>
      </c>
      <c r="AD37" s="595">
        <f t="shared" si="16"/>
        <v>5982.6406726353853</v>
      </c>
      <c r="AE37" s="638">
        <f t="shared" si="16"/>
        <v>1977.1556789762381</v>
      </c>
      <c r="AG37" s="633" t="s">
        <v>241</v>
      </c>
      <c r="AH37" s="640">
        <f>'3. EDU Calculation'!J31</f>
        <v>5</v>
      </c>
      <c r="AI37" s="595">
        <f t="shared" si="17"/>
        <v>43.042084448999972</v>
      </c>
      <c r="AJ37" s="595">
        <f t="shared" si="18"/>
        <v>605.64394286605113</v>
      </c>
      <c r="AK37" s="595">
        <f t="shared" si="19"/>
        <v>0</v>
      </c>
      <c r="AL37" s="595">
        <f t="shared" si="20"/>
        <v>389.626534152609</v>
      </c>
      <c r="AM37" s="595">
        <f t="shared" si="21"/>
        <v>1196.5281345270771</v>
      </c>
      <c r="AN37" s="638">
        <f t="shared" si="22"/>
        <v>395.4311357952476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6">
        <f t="shared" si="9"/>
        <v>322.75052000000005</v>
      </c>
      <c r="AZ37" s="616">
        <f t="shared" si="10"/>
        <v>36656.614748444583</v>
      </c>
      <c r="BA37" s="616">
        <f t="shared" si="11"/>
        <v>183457.06027901842</v>
      </c>
      <c r="BB37" s="616"/>
      <c r="BC37" s="616">
        <f t="shared" si="12"/>
        <v>0</v>
      </c>
      <c r="BD37" s="616">
        <f t="shared" si="13"/>
        <v>549438.899164467</v>
      </c>
      <c r="BE37" s="616">
        <f t="shared" si="14"/>
        <v>0</v>
      </c>
      <c r="BF37" s="886">
        <f t="shared" si="23"/>
        <v>769552.57419193001</v>
      </c>
      <c r="BH37" s="607">
        <f t="shared" si="24"/>
        <v>51.098754</v>
      </c>
      <c r="BI37" s="607">
        <f t="shared" si="25"/>
        <v>18.174744</v>
      </c>
      <c r="BJ37" s="607"/>
      <c r="BK37" s="607">
        <f t="shared" si="26"/>
        <v>0</v>
      </c>
      <c r="BL37" s="607">
        <f t="shared" si="27"/>
        <v>27.551658000000003</v>
      </c>
      <c r="BM37" s="607">
        <f t="shared" si="28"/>
        <v>0</v>
      </c>
      <c r="BN37" s="607">
        <f t="shared" si="29"/>
        <v>96.825156000000007</v>
      </c>
    </row>
    <row r="38" spans="2:66" x14ac:dyDescent="0.25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31"/>
        <v>502.15765190499963</v>
      </c>
      <c r="H38" s="595">
        <f t="shared" si="31"/>
        <v>7065.8460001039293</v>
      </c>
      <c r="I38" s="595">
        <f t="shared" si="31"/>
        <v>0</v>
      </c>
      <c r="J38" s="595">
        <f t="shared" si="31"/>
        <v>4545.6428984471058</v>
      </c>
      <c r="K38" s="595">
        <f t="shared" si="31"/>
        <v>13959.494902815899</v>
      </c>
      <c r="L38" s="638">
        <f t="shared" si="31"/>
        <v>4613.3632509445551</v>
      </c>
      <c r="N38" s="633" t="s">
        <v>385</v>
      </c>
      <c r="O38" s="637">
        <f>'3. EDU Calculation'!G32</f>
        <v>2.3333333333333335</v>
      </c>
      <c r="P38" s="595">
        <f t="shared" si="1"/>
        <v>502.15765190499963</v>
      </c>
      <c r="Q38" s="595">
        <f t="shared" si="2"/>
        <v>7065.8460001039293</v>
      </c>
      <c r="R38" s="595">
        <f t="shared" si="3"/>
        <v>0</v>
      </c>
      <c r="S38" s="595">
        <f t="shared" si="4"/>
        <v>4545.6428984471058</v>
      </c>
      <c r="T38" s="595">
        <f t="shared" si="5"/>
        <v>13959.494902815899</v>
      </c>
      <c r="U38" s="638">
        <f t="shared" si="6"/>
        <v>4613.3632509445551</v>
      </c>
      <c r="X38" s="633" t="s">
        <v>385</v>
      </c>
      <c r="Y38" s="745">
        <f>'3. EDU Calculation'!E32</f>
        <v>0.7</v>
      </c>
      <c r="Z38" s="595">
        <f t="shared" si="16"/>
        <v>502.15765190499963</v>
      </c>
      <c r="AA38" s="595">
        <f t="shared" ref="AA38:AE41" si="32">AA$13*$Y38</f>
        <v>7065.8460001039293</v>
      </c>
      <c r="AB38" s="595">
        <f t="shared" si="32"/>
        <v>0</v>
      </c>
      <c r="AC38" s="595">
        <f t="shared" si="32"/>
        <v>4545.6428984471049</v>
      </c>
      <c r="AD38" s="595">
        <f t="shared" si="32"/>
        <v>13959.494902815899</v>
      </c>
      <c r="AE38" s="638">
        <f t="shared" si="32"/>
        <v>4613.3632509445551</v>
      </c>
      <c r="AG38" s="633" t="s">
        <v>385</v>
      </c>
      <c r="AH38" s="640">
        <v>1</v>
      </c>
      <c r="AI38" s="595">
        <f t="shared" si="17"/>
        <v>502.15765190499963</v>
      </c>
      <c r="AJ38" s="595">
        <f t="shared" si="18"/>
        <v>7065.8460001039293</v>
      </c>
      <c r="AK38" s="595">
        <f t="shared" si="19"/>
        <v>0</v>
      </c>
      <c r="AL38" s="595">
        <f t="shared" si="20"/>
        <v>4545.6428984471049</v>
      </c>
      <c r="AM38" s="595">
        <f t="shared" si="21"/>
        <v>13959.494902815899</v>
      </c>
      <c r="AN38" s="638">
        <f t="shared" si="22"/>
        <v>4613.3632509445551</v>
      </c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6">
        <f t="shared" si="9"/>
        <v>81.739820000000009</v>
      </c>
      <c r="AZ38" s="616">
        <f t="shared" si="10"/>
        <v>0</v>
      </c>
      <c r="BA38" s="616">
        <f t="shared" si="11"/>
        <v>0</v>
      </c>
      <c r="BB38" s="616"/>
      <c r="BC38" s="616">
        <f t="shared" si="12"/>
        <v>0</v>
      </c>
      <c r="BD38" s="616">
        <f t="shared" si="13"/>
        <v>945606.69226021518</v>
      </c>
      <c r="BE38" s="616">
        <f t="shared" si="14"/>
        <v>64589.39219484925</v>
      </c>
      <c r="BF38" s="886">
        <f t="shared" si="23"/>
        <v>1010196.0844550644</v>
      </c>
      <c r="BH38" s="607">
        <f t="shared" si="24"/>
        <v>0</v>
      </c>
      <c r="BI38" s="607">
        <f t="shared" si="25"/>
        <v>0</v>
      </c>
      <c r="BJ38" s="607"/>
      <c r="BK38" s="607">
        <f t="shared" si="26"/>
        <v>0</v>
      </c>
      <c r="BL38" s="607">
        <f t="shared" si="27"/>
        <v>47.417524</v>
      </c>
      <c r="BM38" s="607">
        <f t="shared" si="28"/>
        <v>9.8003499999999999</v>
      </c>
      <c r="BN38" s="607">
        <f t="shared" si="29"/>
        <v>57.217874000000002</v>
      </c>
    </row>
    <row r="39" spans="2:66" x14ac:dyDescent="0.25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31"/>
        <v>645.63126673499971</v>
      </c>
      <c r="H39" s="595">
        <f t="shared" si="31"/>
        <v>9084.6591429907676</v>
      </c>
      <c r="I39" s="595">
        <f t="shared" si="31"/>
        <v>0</v>
      </c>
      <c r="J39" s="595">
        <f t="shared" si="31"/>
        <v>5844.3980122891362</v>
      </c>
      <c r="K39" s="595">
        <f t="shared" si="31"/>
        <v>17947.922017906159</v>
      </c>
      <c r="L39" s="638">
        <f t="shared" si="31"/>
        <v>5931.4670369287151</v>
      </c>
      <c r="N39" s="633" t="s">
        <v>385</v>
      </c>
      <c r="O39" s="637">
        <f>'3. EDU Calculation'!G33</f>
        <v>3</v>
      </c>
      <c r="P39" s="595">
        <f t="shared" si="1"/>
        <v>645.63126673499971</v>
      </c>
      <c r="Q39" s="595">
        <f t="shared" si="2"/>
        <v>9084.6591429907676</v>
      </c>
      <c r="R39" s="595">
        <f t="shared" si="3"/>
        <v>0</v>
      </c>
      <c r="S39" s="595">
        <f t="shared" si="4"/>
        <v>5844.3980122891362</v>
      </c>
      <c r="T39" s="595">
        <f t="shared" si="5"/>
        <v>17947.922017906159</v>
      </c>
      <c r="U39" s="638">
        <f t="shared" si="6"/>
        <v>5931.4670369287151</v>
      </c>
      <c r="X39" s="633" t="s">
        <v>385</v>
      </c>
      <c r="Y39" s="745">
        <f>'3. EDU Calculation'!E33</f>
        <v>0.9</v>
      </c>
      <c r="Z39" s="595">
        <f t="shared" si="16"/>
        <v>645.6312667349996</v>
      </c>
      <c r="AA39" s="595">
        <f t="shared" si="32"/>
        <v>9084.6591429907676</v>
      </c>
      <c r="AB39" s="595">
        <f t="shared" si="32"/>
        <v>0</v>
      </c>
      <c r="AC39" s="595">
        <f t="shared" si="32"/>
        <v>5844.3980122891362</v>
      </c>
      <c r="AD39" s="595">
        <f t="shared" si="32"/>
        <v>17947.922017906156</v>
      </c>
      <c r="AE39" s="638">
        <f t="shared" si="32"/>
        <v>5931.4670369287151</v>
      </c>
      <c r="AG39" s="633" t="s">
        <v>385</v>
      </c>
      <c r="AH39" s="640">
        <v>1</v>
      </c>
      <c r="AI39" s="595">
        <f t="shared" si="17"/>
        <v>645.6312667349996</v>
      </c>
      <c r="AJ39" s="595">
        <f t="shared" si="18"/>
        <v>9084.6591429907676</v>
      </c>
      <c r="AK39" s="595">
        <f t="shared" si="19"/>
        <v>0</v>
      </c>
      <c r="AL39" s="595">
        <f t="shared" si="20"/>
        <v>5844.3980122891362</v>
      </c>
      <c r="AM39" s="595">
        <f t="shared" si="21"/>
        <v>17947.922017906156</v>
      </c>
      <c r="AN39" s="638">
        <f t="shared" si="22"/>
        <v>5931.4670369287151</v>
      </c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6">
        <f t="shared" si="9"/>
        <v>83.028531200000003</v>
      </c>
      <c r="AZ39" s="616">
        <f t="shared" si="10"/>
        <v>0</v>
      </c>
      <c r="BA39" s="616">
        <f t="shared" si="11"/>
        <v>78232.723903047852</v>
      </c>
      <c r="BB39" s="616"/>
      <c r="BC39" s="616">
        <f t="shared" si="12"/>
        <v>0</v>
      </c>
      <c r="BD39" s="616">
        <f t="shared" si="13"/>
        <v>980944.57528476208</v>
      </c>
      <c r="BE39" s="616">
        <f t="shared" si="14"/>
        <v>117217.42144286424</v>
      </c>
      <c r="BF39" s="886">
        <f t="shared" si="23"/>
        <v>1176394.7206306742</v>
      </c>
      <c r="BH39" s="607">
        <f t="shared" si="24"/>
        <v>0</v>
      </c>
      <c r="BI39" s="607">
        <f t="shared" si="25"/>
        <v>7.7503680000000008</v>
      </c>
      <c r="BJ39" s="607"/>
      <c r="BK39" s="607">
        <f t="shared" si="26"/>
        <v>0</v>
      </c>
      <c r="BL39" s="607">
        <f t="shared" si="27"/>
        <v>49.18954500000001</v>
      </c>
      <c r="BM39" s="607">
        <f t="shared" si="28"/>
        <v>17.785765080000001</v>
      </c>
      <c r="BN39" s="607">
        <f t="shared" si="29"/>
        <v>74.725678080000009</v>
      </c>
    </row>
    <row r="40" spans="2:66" x14ac:dyDescent="0.25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31"/>
        <v>645.63126673499971</v>
      </c>
      <c r="H40" s="595">
        <f t="shared" si="31"/>
        <v>9084.6591429907676</v>
      </c>
      <c r="I40" s="595">
        <f t="shared" si="31"/>
        <v>0</v>
      </c>
      <c r="J40" s="595">
        <f t="shared" si="31"/>
        <v>5844.3980122891362</v>
      </c>
      <c r="K40" s="595">
        <f t="shared" si="31"/>
        <v>17947.922017906159</v>
      </c>
      <c r="L40" s="638">
        <f t="shared" si="31"/>
        <v>5931.4670369287151</v>
      </c>
      <c r="N40" s="633" t="s">
        <v>385</v>
      </c>
      <c r="O40" s="637">
        <f>'3. EDU Calculation'!G34</f>
        <v>3</v>
      </c>
      <c r="P40" s="595">
        <f t="shared" si="1"/>
        <v>645.63126673499971</v>
      </c>
      <c r="Q40" s="595">
        <f t="shared" si="2"/>
        <v>9084.6591429907676</v>
      </c>
      <c r="R40" s="595">
        <f t="shared" si="3"/>
        <v>0</v>
      </c>
      <c r="S40" s="595">
        <f t="shared" si="4"/>
        <v>5844.3980122891362</v>
      </c>
      <c r="T40" s="595">
        <f t="shared" si="5"/>
        <v>17947.922017906159</v>
      </c>
      <c r="U40" s="638">
        <f t="shared" si="6"/>
        <v>5931.4670369287151</v>
      </c>
      <c r="X40" s="633" t="s">
        <v>385</v>
      </c>
      <c r="Y40" s="745">
        <f>'3. EDU Calculation'!E34</f>
        <v>0.9</v>
      </c>
      <c r="Z40" s="595">
        <f t="shared" si="16"/>
        <v>645.6312667349996</v>
      </c>
      <c r="AA40" s="595">
        <f t="shared" si="32"/>
        <v>9084.6591429907676</v>
      </c>
      <c r="AB40" s="595">
        <f t="shared" si="32"/>
        <v>0</v>
      </c>
      <c r="AC40" s="595">
        <f t="shared" si="32"/>
        <v>5844.3980122891362</v>
      </c>
      <c r="AD40" s="595">
        <f t="shared" si="32"/>
        <v>17947.922017906156</v>
      </c>
      <c r="AE40" s="638">
        <f t="shared" si="32"/>
        <v>5931.4670369287151</v>
      </c>
      <c r="AG40" s="633" t="s">
        <v>385</v>
      </c>
      <c r="AH40" s="640">
        <v>1</v>
      </c>
      <c r="AI40" s="595">
        <f t="shared" si="17"/>
        <v>645.6312667349996</v>
      </c>
      <c r="AJ40" s="595">
        <f t="shared" si="18"/>
        <v>9084.6591429907676</v>
      </c>
      <c r="AK40" s="595">
        <f t="shared" si="19"/>
        <v>0</v>
      </c>
      <c r="AL40" s="595">
        <f t="shared" si="20"/>
        <v>5844.3980122891362</v>
      </c>
      <c r="AM40" s="595">
        <f t="shared" si="21"/>
        <v>17947.922017906156</v>
      </c>
      <c r="AN40" s="638">
        <f t="shared" si="22"/>
        <v>5931.4670369287151</v>
      </c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6">
        <f t="shared" si="9"/>
        <v>8.086920000000001</v>
      </c>
      <c r="AZ40" s="616">
        <f t="shared" si="10"/>
        <v>0</v>
      </c>
      <c r="BA40" s="616">
        <f t="shared" si="11"/>
        <v>73466.911716634902</v>
      </c>
      <c r="BB40" s="616"/>
      <c r="BC40" s="616">
        <f t="shared" si="12"/>
        <v>0</v>
      </c>
      <c r="BD40" s="616">
        <f t="shared" si="13"/>
        <v>0</v>
      </c>
      <c r="BE40" s="616">
        <f t="shared" si="14"/>
        <v>0</v>
      </c>
      <c r="BF40" s="886">
        <f t="shared" si="23"/>
        <v>73466.911716634902</v>
      </c>
      <c r="BH40" s="607">
        <f t="shared" si="24"/>
        <v>0</v>
      </c>
      <c r="BI40" s="607">
        <f t="shared" si="25"/>
        <v>7.2782280000000013</v>
      </c>
      <c r="BJ40" s="607"/>
      <c r="BK40" s="607">
        <f t="shared" si="26"/>
        <v>0</v>
      </c>
      <c r="BL40" s="607">
        <f t="shared" si="27"/>
        <v>0</v>
      </c>
      <c r="BM40" s="607">
        <f t="shared" si="28"/>
        <v>0</v>
      </c>
      <c r="BN40" s="607">
        <f t="shared" si="29"/>
        <v>7.2782280000000013</v>
      </c>
    </row>
    <row r="41" spans="2:66" x14ac:dyDescent="0.25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31"/>
        <v>502.15765190499963</v>
      </c>
      <c r="H41" s="595">
        <f t="shared" si="31"/>
        <v>7065.8460001039293</v>
      </c>
      <c r="I41" s="595">
        <f t="shared" si="31"/>
        <v>0</v>
      </c>
      <c r="J41" s="595">
        <f t="shared" si="31"/>
        <v>4545.6428984471058</v>
      </c>
      <c r="K41" s="595">
        <f t="shared" si="31"/>
        <v>13959.494902815899</v>
      </c>
      <c r="L41" s="638">
        <f t="shared" si="31"/>
        <v>4613.3632509445551</v>
      </c>
      <c r="N41" s="633" t="s">
        <v>385</v>
      </c>
      <c r="O41" s="637">
        <f>'3. EDU Calculation'!G35</f>
        <v>2.3333333333333335</v>
      </c>
      <c r="P41" s="595">
        <f t="shared" si="1"/>
        <v>502.15765190499963</v>
      </c>
      <c r="Q41" s="595">
        <f t="shared" si="2"/>
        <v>7065.8460001039293</v>
      </c>
      <c r="R41" s="595">
        <f t="shared" si="3"/>
        <v>0</v>
      </c>
      <c r="S41" s="595">
        <f t="shared" si="4"/>
        <v>4545.6428984471058</v>
      </c>
      <c r="T41" s="595">
        <f t="shared" si="5"/>
        <v>13959.494902815899</v>
      </c>
      <c r="U41" s="638">
        <f t="shared" si="6"/>
        <v>4613.3632509445551</v>
      </c>
      <c r="X41" s="633" t="s">
        <v>385</v>
      </c>
      <c r="Y41" s="745">
        <f>'3. EDU Calculation'!E35</f>
        <v>0.7</v>
      </c>
      <c r="Z41" s="595">
        <f t="shared" si="16"/>
        <v>502.15765190499963</v>
      </c>
      <c r="AA41" s="595">
        <f t="shared" si="32"/>
        <v>7065.8460001039293</v>
      </c>
      <c r="AB41" s="595">
        <f t="shared" si="32"/>
        <v>0</v>
      </c>
      <c r="AC41" s="595">
        <f t="shared" si="32"/>
        <v>4545.6428984471049</v>
      </c>
      <c r="AD41" s="595">
        <f t="shared" si="32"/>
        <v>13959.494902815899</v>
      </c>
      <c r="AE41" s="638">
        <f t="shared" si="32"/>
        <v>4613.3632509445551</v>
      </c>
      <c r="AG41" s="633" t="s">
        <v>385</v>
      </c>
      <c r="AH41" s="640">
        <v>1</v>
      </c>
      <c r="AI41" s="595">
        <f t="shared" si="17"/>
        <v>502.15765190499963</v>
      </c>
      <c r="AJ41" s="595">
        <f t="shared" si="18"/>
        <v>7065.8460001039293</v>
      </c>
      <c r="AK41" s="595">
        <f t="shared" si="19"/>
        <v>0</v>
      </c>
      <c r="AL41" s="595">
        <f t="shared" si="20"/>
        <v>4545.6428984471049</v>
      </c>
      <c r="AM41" s="595">
        <f t="shared" si="21"/>
        <v>13959.494902815899</v>
      </c>
      <c r="AN41" s="638">
        <f t="shared" si="22"/>
        <v>4613.3632509445551</v>
      </c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6">
        <f t="shared" si="9"/>
        <v>22.889800000000001</v>
      </c>
      <c r="AZ41" s="616">
        <f t="shared" si="10"/>
        <v>11494.288220575061</v>
      </c>
      <c r="BA41" s="616">
        <f t="shared" si="11"/>
        <v>0</v>
      </c>
      <c r="BB41" s="616"/>
      <c r="BC41" s="616">
        <f t="shared" si="12"/>
        <v>0</v>
      </c>
      <c r="BD41" s="616">
        <f t="shared" si="13"/>
        <v>0</v>
      </c>
      <c r="BE41" s="616">
        <f t="shared" si="14"/>
        <v>0</v>
      </c>
      <c r="BF41" s="886">
        <f t="shared" si="23"/>
        <v>11494.288220575061</v>
      </c>
      <c r="BH41" s="607">
        <f t="shared" si="24"/>
        <v>16.022860000000001</v>
      </c>
      <c r="BI41" s="607">
        <f t="shared" si="25"/>
        <v>0</v>
      </c>
      <c r="BJ41" s="607"/>
      <c r="BK41" s="607">
        <f t="shared" si="26"/>
        <v>0</v>
      </c>
      <c r="BL41" s="607">
        <f t="shared" si="27"/>
        <v>0</v>
      </c>
      <c r="BM41" s="607">
        <f t="shared" si="28"/>
        <v>0</v>
      </c>
      <c r="BN41" s="607">
        <f t="shared" si="29"/>
        <v>16.022860000000001</v>
      </c>
    </row>
    <row r="42" spans="2:66" x14ac:dyDescent="0.25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5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5">
      <c r="AI44" s="615"/>
      <c r="AJ44" s="615"/>
      <c r="AK44" s="615"/>
      <c r="AL44" s="615"/>
      <c r="AM44" s="615"/>
      <c r="AN44" s="615"/>
      <c r="AS44" s="886">
        <f t="shared" ref="AS44:AW44" si="33">SUM(AS16:AS42)</f>
        <v>2304.4362925</v>
      </c>
      <c r="AT44" s="886">
        <f t="shared" si="33"/>
        <v>1336.0744675000001</v>
      </c>
      <c r="AU44" s="886">
        <f t="shared" si="33"/>
        <v>880.19897000000003</v>
      </c>
      <c r="AV44" s="886">
        <f t="shared" si="33"/>
        <v>2673.5710475000001</v>
      </c>
      <c r="AW44" s="886">
        <f t="shared" si="33"/>
        <v>1367.7109562000001</v>
      </c>
      <c r="AX44" s="886">
        <f t="shared" ref="AX44" si="34">SUM(AX16:AX42)</f>
        <v>8561.9917337000006</v>
      </c>
      <c r="AZ44" s="886">
        <f>SUM(AZ16:AZ42)</f>
        <v>571233.32990172878</v>
      </c>
      <c r="BA44" s="886">
        <f t="shared" ref="BA44:BF44" si="35">SUM(BA16:BA42)</f>
        <v>4948322.5444567502</v>
      </c>
      <c r="BB44" s="886">
        <f t="shared" si="35"/>
        <v>0</v>
      </c>
      <c r="BC44" s="886">
        <f t="shared" si="35"/>
        <v>3384173.473166815</v>
      </c>
      <c r="BD44" s="886">
        <f t="shared" si="35"/>
        <v>20940595.652471669</v>
      </c>
      <c r="BE44" s="886">
        <f t="shared" si="35"/>
        <v>3044110.8897061027</v>
      </c>
      <c r="BF44" s="886">
        <f t="shared" si="35"/>
        <v>32888435.889703069</v>
      </c>
      <c r="BH44" s="886">
        <f t="shared" ref="BH44:BN44" si="36">SUM(BH16:BH42)</f>
        <v>796.29042675000005</v>
      </c>
      <c r="BI44" s="886">
        <f t="shared" si="36"/>
        <v>490.22095599999983</v>
      </c>
      <c r="BJ44" s="886">
        <f t="shared" si="36"/>
        <v>0</v>
      </c>
      <c r="BK44" s="886">
        <f t="shared" si="36"/>
        <v>521.14112</v>
      </c>
      <c r="BL44" s="886">
        <f t="shared" si="36"/>
        <v>1050.0678612500001</v>
      </c>
      <c r="BM44" s="886">
        <f t="shared" si="36"/>
        <v>461.89244307999991</v>
      </c>
      <c r="BN44" s="886">
        <f t="shared" si="36"/>
        <v>3319.6128070800005</v>
      </c>
    </row>
    <row r="46" spans="2:66" x14ac:dyDescent="0.25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5">
      <c r="AS48" s="601">
        <f>AS44-AS46</f>
        <v>0</v>
      </c>
      <c r="AT48" s="601">
        <f t="shared" ref="AT48:AW48" si="37">AT44-AT46</f>
        <v>0</v>
      </c>
      <c r="AU48" s="601">
        <f t="shared" si="37"/>
        <v>0</v>
      </c>
      <c r="AV48" s="601">
        <f t="shared" si="37"/>
        <v>0</v>
      </c>
      <c r="AW48" s="601">
        <f t="shared" si="37"/>
        <v>0</v>
      </c>
      <c r="BH48" s="601">
        <f>BH44-BH46</f>
        <v>0</v>
      </c>
      <c r="BI48" s="601">
        <f t="shared" ref="BI48:BM48" si="38">BI44-BI46</f>
        <v>-799.35765275000017</v>
      </c>
      <c r="BJ48" s="601">
        <f t="shared" si="38"/>
        <v>0</v>
      </c>
      <c r="BK48" s="601">
        <f t="shared" si="38"/>
        <v>59.248676920000094</v>
      </c>
      <c r="BL48" s="601">
        <f t="shared" si="38"/>
        <v>1050.0678612500001</v>
      </c>
      <c r="BM48" s="601">
        <f t="shared" si="38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5" bestFit="1" customWidth="1"/>
    <col min="5" max="5" width="11.109375" bestFit="1" customWidth="1"/>
    <col min="6" max="6" width="11.109375" hidden="1" customWidth="1"/>
    <col min="8" max="8" width="6.109375" style="615" customWidth="1"/>
    <col min="9" max="9" width="11.33203125" bestFit="1" customWidth="1"/>
    <col min="11" max="11" width="11.21875" customWidth="1"/>
    <col min="12" max="12" width="10.77734375" hidden="1" customWidth="1"/>
    <col min="13" max="13" width="16.109375" bestFit="1" customWidth="1"/>
    <col min="14" max="14" width="6.88671875" bestFit="1" customWidth="1"/>
    <col min="15" max="15" width="13.5546875" hidden="1" customWidth="1"/>
    <col min="16" max="17" width="8.88671875" hidden="1" customWidth="1"/>
    <col min="18" max="18" width="14.5546875" hidden="1" customWidth="1"/>
    <col min="19" max="21" width="8.88671875" hidden="1" customWidth="1"/>
    <col min="22" max="26" width="0" hidden="1" customWidth="1"/>
    <col min="27" max="30" width="9.44140625" hidden="1" customWidth="1"/>
  </cols>
  <sheetData>
    <row r="1" spans="1:30" x14ac:dyDescent="0.25">
      <c r="A1" t="s">
        <v>429</v>
      </c>
      <c r="M1" s="648" t="str">
        <f>'1. Storm Drainage Fee Calc Sum'!$J$1</f>
        <v>Internal</v>
      </c>
    </row>
    <row r="2" spans="1:30" x14ac:dyDescent="0.25">
      <c r="A2" t="s">
        <v>406</v>
      </c>
      <c r="M2" s="649" t="str">
        <f>'1. Storm Drainage Fee Calc Sum'!$J$2</f>
        <v>Working Draft - v7</v>
      </c>
    </row>
    <row r="3" spans="1:30" x14ac:dyDescent="0.25">
      <c r="A3" t="s">
        <v>408</v>
      </c>
      <c r="M3" s="650">
        <f>'1. Storm Drainage Fee Calc Sum'!$J$3</f>
        <v>41248</v>
      </c>
    </row>
    <row r="4" spans="1:30" x14ac:dyDescent="0.25">
      <c r="A4" t="s">
        <v>430</v>
      </c>
    </row>
    <row r="5" spans="1:30" x14ac:dyDescent="0.25">
      <c r="E5" s="601"/>
      <c r="F5" s="601"/>
    </row>
    <row r="6" spans="1:30" ht="13.8" thickBot="1" x14ac:dyDescent="0.3">
      <c r="J6" s="601"/>
      <c r="O6" t="s">
        <v>422</v>
      </c>
    </row>
    <row r="7" spans="1:30" ht="13.8" thickBot="1" x14ac:dyDescent="0.3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423</v>
      </c>
      <c r="R7" s="926" t="s">
        <v>225</v>
      </c>
      <c r="S7" s="927"/>
      <c r="T7" s="927"/>
      <c r="U7" s="928"/>
      <c r="W7" t="s">
        <v>559</v>
      </c>
    </row>
    <row r="8" spans="1:30" ht="45" customHeight="1" x14ac:dyDescent="0.25">
      <c r="B8" s="719" t="s">
        <v>129</v>
      </c>
      <c r="C8" s="46"/>
      <c r="D8" s="629" t="s">
        <v>384</v>
      </c>
      <c r="E8" s="817" t="s">
        <v>568</v>
      </c>
      <c r="F8" s="728" t="s">
        <v>432</v>
      </c>
      <c r="G8" s="818" t="s">
        <v>387</v>
      </c>
      <c r="H8" s="720"/>
      <c r="I8" s="629" t="s">
        <v>384</v>
      </c>
      <c r="J8" s="728" t="s">
        <v>538</v>
      </c>
      <c r="K8" s="728" t="s">
        <v>386</v>
      </c>
      <c r="L8" s="728" t="s">
        <v>432</v>
      </c>
      <c r="M8" s="818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8" t="s">
        <v>551</v>
      </c>
      <c r="X8" s="808" t="s">
        <v>554</v>
      </c>
      <c r="Y8" s="808" t="s">
        <v>555</v>
      </c>
      <c r="Z8" s="808" t="s">
        <v>556</v>
      </c>
      <c r="AA8" s="808" t="s">
        <v>552</v>
      </c>
      <c r="AB8" s="808" t="s">
        <v>553</v>
      </c>
      <c r="AC8" s="808" t="s">
        <v>557</v>
      </c>
      <c r="AD8" s="808" t="s">
        <v>560</v>
      </c>
    </row>
    <row r="9" spans="1:30" x14ac:dyDescent="0.25">
      <c r="B9" s="721"/>
      <c r="C9" s="46"/>
      <c r="D9" s="633"/>
      <c r="E9" s="740"/>
      <c r="F9" s="741"/>
      <c r="G9" s="802"/>
      <c r="H9" s="720"/>
      <c r="I9" s="633"/>
      <c r="J9" s="741"/>
      <c r="K9" s="740"/>
      <c r="L9" s="741"/>
      <c r="M9" s="802"/>
      <c r="N9" s="743"/>
      <c r="O9" s="801"/>
      <c r="R9" s="221"/>
      <c r="S9" s="222"/>
      <c r="T9" s="223"/>
      <c r="U9" s="224"/>
    </row>
    <row r="10" spans="1:30" x14ac:dyDescent="0.25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9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0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5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0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5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5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5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5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5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2">
        <v>0.1</v>
      </c>
      <c r="T16" s="233"/>
      <c r="U16" s="225">
        <v>1</v>
      </c>
      <c r="V16" s="592"/>
    </row>
    <row r="17" spans="2:30" x14ac:dyDescent="0.25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5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1">
        <f>F18</f>
        <v>0</v>
      </c>
      <c r="AA18" s="601">
        <f>IF(F18=0,W18*G18,W18*Z18*G18)</f>
        <v>54</v>
      </c>
      <c r="AB18" s="810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5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1">
        <f>F19</f>
        <v>0</v>
      </c>
      <c r="AA19" s="601">
        <f>IF(F19=0,W19*G19,W19*Z19*G19)</f>
        <v>36</v>
      </c>
      <c r="AB19" s="810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5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5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5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5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5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5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5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5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5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5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5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3"/>
      <c r="M30" s="726">
        <v>0</v>
      </c>
      <c r="O30" s="672">
        <f t="shared" si="3"/>
        <v>1</v>
      </c>
      <c r="Q30" s="601"/>
      <c r="R30" s="671" t="s">
        <v>156</v>
      </c>
      <c r="S30" s="812">
        <v>0.1</v>
      </c>
      <c r="T30" s="233"/>
      <c r="U30" s="225">
        <v>1</v>
      </c>
      <c r="V30" s="592"/>
    </row>
    <row r="31" spans="2:30" x14ac:dyDescent="0.25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5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5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5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8" thickBot="1" x14ac:dyDescent="0.3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5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5">
      <c r="A39" t="s">
        <v>510</v>
      </c>
      <c r="Y39" t="s">
        <v>558</v>
      </c>
      <c r="AA39" s="616">
        <v>2500</v>
      </c>
      <c r="AB39" s="616">
        <v>2500</v>
      </c>
    </row>
    <row r="42" spans="1:30" x14ac:dyDescent="0.25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11.109375" bestFit="1" customWidth="1"/>
    <col min="5" max="5" width="11.109375" customWidth="1"/>
    <col min="7" max="7" width="6.109375" style="615" customWidth="1"/>
    <col min="8" max="8" width="11.33203125" bestFit="1" customWidth="1"/>
    <col min="10" max="10" width="9.88671875" customWidth="1"/>
    <col min="11" max="11" width="10.77734375" customWidth="1"/>
    <col min="13" max="13" width="6.88671875" bestFit="1" customWidth="1"/>
    <col min="14" max="14" width="13.5546875" hidden="1" customWidth="1"/>
    <col min="15" max="15" width="0" hidden="1" customWidth="1"/>
    <col min="16" max="16" width="8.88671875" hidden="1" customWidth="1"/>
    <col min="17" max="17" width="14.5546875" hidden="1" customWidth="1"/>
    <col min="18" max="20" width="8.88671875" hidden="1" customWidth="1"/>
    <col min="26" max="29" width="9.44140625" bestFit="1" customWidth="1"/>
  </cols>
  <sheetData>
    <row r="1" spans="1:29" x14ac:dyDescent="0.25">
      <c r="A1" t="s">
        <v>562</v>
      </c>
      <c r="K1" s="975" t="str">
        <f>'1. Storm Drainage Fee Calc Sum'!$J$1</f>
        <v>Internal</v>
      </c>
      <c r="L1" s="976"/>
    </row>
    <row r="2" spans="1:29" x14ac:dyDescent="0.25">
      <c r="A2" t="s">
        <v>406</v>
      </c>
      <c r="K2" s="977" t="str">
        <f>'1. Storm Drainage Fee Calc Sum'!$J$2</f>
        <v>Working Draft - v7</v>
      </c>
      <c r="L2" s="978"/>
    </row>
    <row r="3" spans="1:29" x14ac:dyDescent="0.25">
      <c r="A3" t="s">
        <v>408</v>
      </c>
      <c r="K3" s="979">
        <f>'1. Storm Drainage Fee Calc Sum'!$J$3</f>
        <v>41248</v>
      </c>
      <c r="L3" s="980"/>
    </row>
    <row r="4" spans="1:29" x14ac:dyDescent="0.25">
      <c r="A4" t="s">
        <v>430</v>
      </c>
    </row>
    <row r="6" spans="1:29" ht="13.8" thickBot="1" x14ac:dyDescent="0.3">
      <c r="I6" s="601">
        <f>IF(E21&gt;0,(D21/D11)*I11*(1/E21),(D21/D11)*I11)</f>
        <v>17.647058823529413</v>
      </c>
      <c r="N6" t="s">
        <v>422</v>
      </c>
    </row>
    <row r="7" spans="1:29" ht="13.8" thickBot="1" x14ac:dyDescent="0.3">
      <c r="C7" s="46"/>
      <c r="D7" s="46"/>
      <c r="E7" s="46"/>
      <c r="N7" t="s">
        <v>423</v>
      </c>
      <c r="Q7" s="926" t="s">
        <v>225</v>
      </c>
      <c r="R7" s="927"/>
      <c r="S7" s="927"/>
      <c r="T7" s="928"/>
      <c r="V7" t="s">
        <v>561</v>
      </c>
    </row>
    <row r="8" spans="1:29" ht="45" customHeight="1" x14ac:dyDescent="0.25">
      <c r="B8" s="719" t="s">
        <v>129</v>
      </c>
      <c r="C8" s="46"/>
      <c r="D8" s="723" t="s">
        <v>389</v>
      </c>
      <c r="E8" s="728" t="s">
        <v>432</v>
      </c>
      <c r="F8" s="626" t="s">
        <v>383</v>
      </c>
      <c r="G8" s="720"/>
      <c r="H8" s="629" t="s">
        <v>384</v>
      </c>
      <c r="I8" s="728" t="s">
        <v>538</v>
      </c>
      <c r="J8" s="729" t="s">
        <v>386</v>
      </c>
      <c r="K8" s="728" t="s">
        <v>432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8" t="s">
        <v>551</v>
      </c>
      <c r="W8" s="808" t="s">
        <v>554</v>
      </c>
      <c r="X8" s="808" t="s">
        <v>555</v>
      </c>
      <c r="Y8" s="808" t="s">
        <v>556</v>
      </c>
      <c r="Z8" s="808" t="s">
        <v>552</v>
      </c>
      <c r="AA8" s="808" t="s">
        <v>553</v>
      </c>
      <c r="AB8" s="808" t="s">
        <v>557</v>
      </c>
      <c r="AC8" s="808" t="s">
        <v>560</v>
      </c>
    </row>
    <row r="9" spans="1:29" x14ac:dyDescent="0.25">
      <c r="B9" s="721"/>
      <c r="C9" s="46"/>
      <c r="D9" s="800"/>
      <c r="E9" s="741"/>
      <c r="F9" s="802"/>
      <c r="G9" s="720"/>
      <c r="H9" s="633"/>
      <c r="I9" s="741"/>
      <c r="J9" s="740"/>
      <c r="K9" s="741"/>
      <c r="L9" s="802"/>
      <c r="M9" s="743"/>
      <c r="N9" s="801"/>
      <c r="Q9" s="221"/>
      <c r="R9" s="222"/>
      <c r="S9" s="223"/>
      <c r="T9" s="224"/>
    </row>
    <row r="10" spans="1:29" x14ac:dyDescent="0.25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9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0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5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0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5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5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5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5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5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5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5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1">
        <f>E18</f>
        <v>0.85</v>
      </c>
      <c r="Z18" s="601">
        <f>IF(E18=0,V18*F18,V18*Y18*F18)</f>
        <v>53.999999999999993</v>
      </c>
      <c r="AA18" s="810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5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1">
        <f>E19</f>
        <v>0.85</v>
      </c>
      <c r="Z19" s="601">
        <f>IF(E19=0,V19*F19,V19*Y19*F19)</f>
        <v>35.999999999999993</v>
      </c>
      <c r="AA19" s="810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5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5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5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5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5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5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5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5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5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5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5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5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5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5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5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8" thickBot="1" x14ac:dyDescent="0.3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5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5">
      <c r="A39" t="s">
        <v>510</v>
      </c>
      <c r="X39" t="s">
        <v>558</v>
      </c>
      <c r="Z39" s="616">
        <v>2500</v>
      </c>
      <c r="AA39" s="616">
        <v>2500</v>
      </c>
    </row>
    <row r="42" spans="1:29" x14ac:dyDescent="0.25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103" activePane="bottomRight" state="frozen"/>
      <selection pane="topRight" activeCell="D1" sqref="D1"/>
      <selection pane="bottomLeft" activeCell="A10" sqref="A10"/>
      <selection pane="bottomRight" activeCell="H103" sqref="H103"/>
    </sheetView>
  </sheetViews>
  <sheetFormatPr defaultRowHeight="13.2" x14ac:dyDescent="0.25"/>
  <cols>
    <col min="1" max="1" width="5.88671875" customWidth="1"/>
    <col min="2" max="2" width="13.6640625" bestFit="1" customWidth="1"/>
    <col min="3" max="3" width="35" bestFit="1" customWidth="1"/>
    <col min="4" max="4" width="12.44140625" bestFit="1" customWidth="1"/>
    <col min="5" max="5" width="11.77734375" customWidth="1"/>
    <col min="6" max="7" width="12.44140625" bestFit="1" customWidth="1"/>
    <col min="8" max="8" width="11.44140625" bestFit="1" customWidth="1"/>
    <col min="9" max="9" width="12.44140625" bestFit="1" customWidth="1"/>
    <col min="10" max="10" width="11.44140625" bestFit="1" customWidth="1"/>
    <col min="11" max="11" width="12.44140625" bestFit="1" customWidth="1"/>
    <col min="12" max="12" width="11.44140625" bestFit="1" customWidth="1"/>
    <col min="13" max="13" width="14.109375" bestFit="1" customWidth="1"/>
    <col min="14" max="14" width="14.5546875" customWidth="1"/>
    <col min="15" max="15" width="16.109375" customWidth="1"/>
    <col min="16" max="16" width="14.21875" bestFit="1" customWidth="1"/>
  </cols>
  <sheetData>
    <row r="1" spans="1:16" x14ac:dyDescent="0.25">
      <c r="A1" t="s">
        <v>424</v>
      </c>
      <c r="O1" s="648" t="str">
        <f>'1. Storm Drainage Fee Calc Sum'!$J$1</f>
        <v>Internal</v>
      </c>
    </row>
    <row r="2" spans="1:16" x14ac:dyDescent="0.25">
      <c r="A2" t="s">
        <v>406</v>
      </c>
      <c r="B2" s="581" t="s">
        <v>354</v>
      </c>
      <c r="O2" s="649" t="str">
        <f>'1. Storm Drainage Fee Calc Sum'!$J$2</f>
        <v>Working Draft - v7</v>
      </c>
    </row>
    <row r="3" spans="1:16" x14ac:dyDescent="0.25">
      <c r="A3" t="s">
        <v>408</v>
      </c>
      <c r="O3" s="650">
        <f>'1. Storm Drainage Fee Calc Sum'!$J$3</f>
        <v>41248</v>
      </c>
    </row>
    <row r="4" spans="1:16" x14ac:dyDescent="0.25">
      <c r="A4" t="s">
        <v>431</v>
      </c>
    </row>
    <row r="6" spans="1:16" x14ac:dyDescent="0.25">
      <c r="G6" s="981" t="s">
        <v>427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5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5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428</v>
      </c>
    </row>
    <row r="10" spans="1:16" x14ac:dyDescent="0.25">
      <c r="G10" s="585"/>
      <c r="H10" s="585"/>
      <c r="I10" s="585"/>
      <c r="J10" s="585"/>
      <c r="K10" s="585"/>
      <c r="L10" s="585"/>
      <c r="M10" s="585"/>
      <c r="N10" s="585"/>
    </row>
    <row r="11" spans="1:16" x14ac:dyDescent="0.25">
      <c r="C11" t="s">
        <v>426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425</v>
      </c>
    </row>
    <row r="12" spans="1:16" x14ac:dyDescent="0.25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5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5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5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5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5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5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5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5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5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5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5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5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5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5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5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5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5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5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5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5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5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5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5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5">
      <c r="G40" s="585"/>
      <c r="H40" s="585"/>
      <c r="I40" s="585"/>
      <c r="J40" s="585"/>
      <c r="K40" s="585"/>
      <c r="L40" s="585"/>
      <c r="M40" s="585"/>
      <c r="N40" s="585"/>
    </row>
    <row r="42" spans="2:15" x14ac:dyDescent="0.25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5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5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5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5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5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5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5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5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5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5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5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5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5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5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5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5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5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5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5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5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5">
      <c r="F66" s="582" t="s">
        <v>360</v>
      </c>
    </row>
    <row r="67" spans="2:16" x14ac:dyDescent="0.25">
      <c r="D67" t="s">
        <v>119</v>
      </c>
      <c r="E67" s="716" t="s">
        <v>508</v>
      </c>
      <c r="F67" s="582" t="s">
        <v>507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5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5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5">
      <c r="C70" s="588" t="s">
        <v>376</v>
      </c>
      <c r="D70" s="711"/>
      <c r="E70" s="711"/>
    </row>
    <row r="71" spans="2:16" x14ac:dyDescent="0.25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5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5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5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5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5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5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5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5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5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5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5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5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5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5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5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5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5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2240236.3694192879</v>
      </c>
      <c r="E88" s="713">
        <v>0</v>
      </c>
      <c r="F88" s="595">
        <f>'Future Improve'!D19</f>
        <v>2240236.3694192879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2240236.3694192879</v>
      </c>
      <c r="N88" s="593" t="str">
        <f t="shared" si="24"/>
        <v/>
      </c>
      <c r="O88" s="593">
        <f t="shared" si="25"/>
        <v>2240236.3694192879</v>
      </c>
      <c r="P88" s="600" t="s">
        <v>362</v>
      </c>
    </row>
    <row r="89" spans="2:16" x14ac:dyDescent="0.25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5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5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5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5">
      <c r="C93" t="s">
        <v>367</v>
      </c>
      <c r="D93" s="714">
        <f>SUM(D85:D92)</f>
        <v>6967510.0440263152</v>
      </c>
      <c r="E93" s="714">
        <f>SUM(E85:E92)</f>
        <v>412500</v>
      </c>
      <c r="F93" s="595">
        <f>SUM(F85:F92)</f>
        <v>6555010.0440263152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6555010.0440263152</v>
      </c>
      <c r="N93" s="595">
        <f t="shared" si="27"/>
        <v>0</v>
      </c>
      <c r="O93" s="595">
        <f t="shared" si="27"/>
        <v>6555010.0440263152</v>
      </c>
    </row>
    <row r="94" spans="2:16" x14ac:dyDescent="0.25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5">
      <c r="C95" s="588" t="s">
        <v>371</v>
      </c>
      <c r="D95" s="711"/>
      <c r="E95" s="711"/>
      <c r="O95" s="593"/>
    </row>
    <row r="96" spans="2:16" x14ac:dyDescent="0.25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5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5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5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5">
      <c r="B100" t="s">
        <v>377</v>
      </c>
      <c r="D100" s="596">
        <f>D78+D83+D93+D96</f>
        <v>15017510.044026315</v>
      </c>
      <c r="E100" s="596">
        <f>E78+E83+E93+E96</f>
        <v>2612500</v>
      </c>
      <c r="F100" s="596">
        <f>F78+F83+F93+F96</f>
        <v>12405010.044026315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9462537.7354723737</v>
      </c>
      <c r="N100" s="596">
        <f t="shared" si="28"/>
        <v>40000</v>
      </c>
      <c r="O100" s="596">
        <f t="shared" si="28"/>
        <v>12405010.044026315</v>
      </c>
    </row>
    <row r="101" spans="2:16" x14ac:dyDescent="0.25">
      <c r="D101" s="608"/>
      <c r="E101" s="608"/>
      <c r="F101" s="597"/>
      <c r="M101" s="597"/>
    </row>
    <row r="102" spans="2:16" x14ac:dyDescent="0.25">
      <c r="D102" s="608"/>
      <c r="E102" s="608"/>
      <c r="M102" s="597"/>
    </row>
    <row r="103" spans="2:16" x14ac:dyDescent="0.25">
      <c r="C103" s="588" t="s">
        <v>113</v>
      </c>
      <c r="D103" s="711"/>
      <c r="E103" s="711"/>
      <c r="O103" s="593"/>
    </row>
    <row r="104" spans="2:16" x14ac:dyDescent="0.25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5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5">
      <c r="D106" s="608"/>
      <c r="E106" s="608"/>
    </row>
    <row r="107" spans="2:16" x14ac:dyDescent="0.25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5">
      <c r="D108" s="608"/>
      <c r="E108" s="608"/>
    </row>
    <row r="109" spans="2:16" x14ac:dyDescent="0.25">
      <c r="C109" s="588" t="s">
        <v>369</v>
      </c>
      <c r="D109" s="711"/>
      <c r="E109" s="711"/>
      <c r="O109" s="593"/>
    </row>
    <row r="110" spans="2:16" x14ac:dyDescent="0.25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5">
      <c r="D111" s="593"/>
      <c r="F111" s="593"/>
      <c r="H111" s="597"/>
      <c r="O111" s="593"/>
    </row>
    <row r="112" spans="2:16" x14ac:dyDescent="0.25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5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5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5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5">
      <c r="C119" t="s">
        <v>0</v>
      </c>
      <c r="D119" s="598">
        <f t="shared" ref="D119:E119" si="33">D100+D107+D114</f>
        <v>17529810.044026315</v>
      </c>
      <c r="E119" s="598">
        <f t="shared" si="33"/>
        <v>2612500</v>
      </c>
      <c r="F119" s="598">
        <f t="shared" ref="F119:O119" si="34">F100+F107+F114</f>
        <v>14917310.044026315</v>
      </c>
      <c r="G119" s="598">
        <f t="shared" si="34"/>
        <v>288983.99563019664</v>
      </c>
      <c r="H119" s="598">
        <f t="shared" si="34"/>
        <v>1485903.7794213572</v>
      </c>
      <c r="I119" s="598">
        <f t="shared" si="34"/>
        <v>673956.34942505672</v>
      </c>
      <c r="J119" s="598">
        <f t="shared" si="34"/>
        <v>189310.92999763519</v>
      </c>
      <c r="K119" s="598">
        <f t="shared" si="34"/>
        <v>889090.43238858541</v>
      </c>
      <c r="L119" s="598">
        <f t="shared" si="34"/>
        <v>387526.82169111073</v>
      </c>
      <c r="M119" s="598">
        <f t="shared" si="34"/>
        <v>9462537.7354723737</v>
      </c>
      <c r="N119" s="598">
        <f t="shared" si="34"/>
        <v>1540000</v>
      </c>
      <c r="O119" s="598">
        <f t="shared" si="34"/>
        <v>14917310.044026315</v>
      </c>
    </row>
    <row r="121" spans="2:15" x14ac:dyDescent="0.25">
      <c r="E121" s="616"/>
    </row>
    <row r="126" spans="2:15" x14ac:dyDescent="0.25">
      <c r="C126" t="s">
        <v>374</v>
      </c>
    </row>
    <row r="127" spans="2:15" x14ac:dyDescent="0.25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6" width="9.44140625" bestFit="1" customWidth="1"/>
    <col min="7" max="9" width="7.88671875" bestFit="1" customWidth="1"/>
    <col min="10" max="10" width="9.44140625" bestFit="1" customWidth="1"/>
    <col min="11" max="12" width="5" bestFit="1" customWidth="1"/>
    <col min="13" max="13" width="9.44140625" bestFit="1" customWidth="1"/>
    <col min="14" max="14" width="3.6640625" customWidth="1"/>
    <col min="15" max="16" width="7.21875" bestFit="1" customWidth="1"/>
    <col min="17" max="21" width="6.88671875" bestFit="1" customWidth="1"/>
    <col min="22" max="23" width="5" bestFit="1" customWidth="1"/>
    <col min="24" max="24" width="6.88671875" bestFit="1" customWidth="1"/>
    <col min="25" max="25" width="4.21875" customWidth="1"/>
    <col min="26" max="27" width="9.44140625" bestFit="1" customWidth="1"/>
    <col min="28" max="31" width="7.88671875" bestFit="1" customWidth="1"/>
    <col min="32" max="32" width="9.44140625" bestFit="1" customWidth="1"/>
    <col min="33" max="33" width="5" bestFit="1" customWidth="1"/>
    <col min="34" max="34" width="5.77734375" customWidth="1"/>
    <col min="35" max="35" width="9.44140625" bestFit="1" customWidth="1"/>
    <col min="36" max="36" width="2.33203125" customWidth="1"/>
    <col min="38" max="38" width="9.44140625" bestFit="1" customWidth="1"/>
    <col min="44" max="44" width="9.44140625" bestFit="1" customWidth="1"/>
    <col min="45" max="46" width="5" bestFit="1" customWidth="1"/>
    <col min="48" max="48" width="1.33203125" customWidth="1"/>
    <col min="49" max="49" width="2.109375" customWidth="1"/>
    <col min="50" max="50" width="12.6640625" hidden="1" customWidth="1"/>
    <col min="51" max="51" width="9.6640625" hidden="1" customWidth="1"/>
    <col min="52" max="54" width="8.44140625" hidden="1" customWidth="1"/>
    <col min="55" max="57" width="6.88671875" hidden="1" customWidth="1"/>
    <col min="58" max="58" width="8.44140625" hidden="1" customWidth="1"/>
    <col min="59" max="60" width="5" hidden="1" customWidth="1"/>
    <col min="61" max="61" width="8.44140625" hidden="1" customWidth="1"/>
    <col min="62" max="62" width="2.6640625" hidden="1" customWidth="1"/>
    <col min="63" max="69" width="6.88671875" hidden="1" customWidth="1"/>
    <col min="70" max="71" width="5" hidden="1" customWidth="1"/>
    <col min="72" max="72" width="6.88671875" hidden="1" customWidth="1"/>
    <col min="73" max="73" width="5" hidden="1" customWidth="1"/>
    <col min="74" max="83" width="10.33203125" hidden="1" customWidth="1"/>
  </cols>
  <sheetData>
    <row r="1" spans="1:83" x14ac:dyDescent="0.25">
      <c r="A1" s="581" t="s">
        <v>425</v>
      </c>
      <c r="V1" s="975" t="str">
        <f>'1. Storm Drainage Fee Calc Sum'!$J$1</f>
        <v>Internal</v>
      </c>
      <c r="W1" s="982"/>
      <c r="X1" s="976"/>
      <c r="AS1" s="975" t="str">
        <f>'1. Storm Drainage Fee Calc Sum'!$J$1</f>
        <v>Internal</v>
      </c>
      <c r="AT1" s="982"/>
      <c r="AU1" s="976"/>
      <c r="BR1" s="975" t="str">
        <f>'1. Storm Drainage Fee Calc Sum'!$J$1</f>
        <v>Internal</v>
      </c>
      <c r="BS1" s="982"/>
      <c r="BT1" s="976"/>
      <c r="CC1" s="975" t="str">
        <f>'1. Storm Drainage Fee Calc Sum'!$J$1</f>
        <v>Internal</v>
      </c>
      <c r="CD1" s="982"/>
      <c r="CE1" s="976"/>
    </row>
    <row r="2" spans="1:83" x14ac:dyDescent="0.25">
      <c r="A2" s="581" t="s">
        <v>406</v>
      </c>
      <c r="V2" s="977" t="str">
        <f>'1. Storm Drainage Fee Calc Sum'!$J$2</f>
        <v>Working Draft - v7</v>
      </c>
      <c r="W2" s="983"/>
      <c r="X2" s="978"/>
      <c r="AS2" s="977" t="str">
        <f>'1. Storm Drainage Fee Calc Sum'!$J$2</f>
        <v>Working Draft - v7</v>
      </c>
      <c r="AT2" s="983"/>
      <c r="AU2" s="978"/>
      <c r="BR2" s="977" t="str">
        <f>'1. Storm Drainage Fee Calc Sum'!$J$2</f>
        <v>Working Draft - v7</v>
      </c>
      <c r="BS2" s="983"/>
      <c r="BT2" s="978"/>
      <c r="CC2" s="977" t="str">
        <f>'1. Storm Drainage Fee Calc Sum'!$J$2</f>
        <v>Working Draft - v7</v>
      </c>
      <c r="CD2" s="983"/>
      <c r="CE2" s="978"/>
    </row>
    <row r="3" spans="1:83" x14ac:dyDescent="0.25">
      <c r="A3" s="581" t="s">
        <v>438</v>
      </c>
      <c r="V3" s="979">
        <f>'1. Storm Drainage Fee Calc Sum'!$J$3</f>
        <v>41248</v>
      </c>
      <c r="W3" s="984"/>
      <c r="X3" s="980"/>
      <c r="AS3" s="979">
        <f>'1. Storm Drainage Fee Calc Sum'!$J$3</f>
        <v>41248</v>
      </c>
      <c r="AT3" s="984"/>
      <c r="AU3" s="980"/>
      <c r="BR3" s="979">
        <f>'1. Storm Drainage Fee Calc Sum'!$J$3</f>
        <v>41248</v>
      </c>
      <c r="BS3" s="984"/>
      <c r="BT3" s="980"/>
      <c r="CC3" s="979">
        <f>'1. Storm Drainage Fee Calc Sum'!$J$3</f>
        <v>41248</v>
      </c>
      <c r="CD3" s="984"/>
      <c r="CE3" s="980"/>
    </row>
    <row r="4" spans="1:83" x14ac:dyDescent="0.25">
      <c r="A4" s="581" t="s">
        <v>541</v>
      </c>
    </row>
    <row r="8" spans="1:83" x14ac:dyDescent="0.25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5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5">
      <c r="D10" s="583"/>
      <c r="E10" s="583"/>
    </row>
    <row r="11" spans="1:83" x14ac:dyDescent="0.25">
      <c r="N11" s="608"/>
    </row>
    <row r="12" spans="1:83" ht="26.4" x14ac:dyDescent="0.25">
      <c r="B12" s="781" t="s">
        <v>129</v>
      </c>
      <c r="D12" s="969" t="s">
        <v>549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512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513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6" t="s">
        <v>538</v>
      </c>
      <c r="AZ12" s="969" t="s">
        <v>540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539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5">
      <c r="N13" s="608"/>
      <c r="X13" s="814"/>
    </row>
    <row r="14" spans="1:83" x14ac:dyDescent="0.25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90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5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90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5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5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5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5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5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5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5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5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5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5">
      <c r="B25" s="870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9">
        <f>IF(ISNA(VLOOKUP($B25,'PFF-Zones (Combined)'!$B$3:$W$11,21,FALSE)),0,VLOOKUP($B25,'PFF-Zones (Combined)'!$B$3:$W$11,21,FALSE))</f>
        <v>0</v>
      </c>
      <c r="P25" s="858">
        <f>IF(ISNA(VLOOKUP($B25,'PFF-Zones (Combined)'!$B$15:$W$31,21,FALSE)),0,VLOOKUP($B25,'PFF-Zones (Combined)'!$B$15:$W$31,21,FALSE))</f>
        <v>0.85</v>
      </c>
      <c r="Q25" s="858">
        <f>IF(ISNA(VLOOKUP($B25,'PFF-Zones (Combined)'!$B$34:$W$47,21,FALSE)),0,VLOOKUP($B25,'PFF-Zones (Combined)'!$B$34:$W$47,21,FALSE))</f>
        <v>0.85</v>
      </c>
      <c r="R25" s="859">
        <f>IF(ISNA(VLOOKUP($B25,'PFF-Zones (Combined)'!$B$50:$W$56,21,FALSE)),0,VLOOKUP($B25,'PFF-Zones (Combined)'!$B$50:$W$56,21,FALSE))</f>
        <v>0</v>
      </c>
      <c r="S25" s="859">
        <f>IF(ISNA(VLOOKUP($B25,'PFF-Zones (Combined)'!$B$61:$W$71,21,FALSE)),0,VLOOKUP($B25,'PFF-Zones (Combined)'!$B$61:$W$71,21,FALSE))</f>
        <v>0</v>
      </c>
      <c r="T25" s="859">
        <f>IF(ISNA(VLOOKUP($B25,'PFF-Zones (Combined)'!$B$75:$W$81,21,FALSE)),0,VLOOKUP($B25,'PFF-Zones (Combined)'!$B$75:$W$81,21,FALSE))</f>
        <v>0</v>
      </c>
      <c r="U25" s="859">
        <f>IF(ISNA(VLOOKUP($B25,'PFF-Zones (Combined)'!$B$87:$W$105,21,FALSE)),0,VLOOKUP($B25,'PFF-Zones (Combined)'!$B$87:$W$105,21,FALSE))</f>
        <v>0</v>
      </c>
      <c r="V25" s="859"/>
      <c r="W25" s="859"/>
      <c r="X25" s="862">
        <f>IF(ISNA(VLOOKUP($B25,'PFF-Zones (Combined)'!$B$109:$W$120,21,FALSE)),0,VLOOKUP($B25,'PFF-Zones (Combined)'!$B$109:$W$120,21,FALSE))</f>
        <v>0.85</v>
      </c>
      <c r="Z25" s="872">
        <f t="shared" si="6"/>
        <v>0</v>
      </c>
      <c r="AA25" s="872">
        <f t="shared" si="7"/>
        <v>12.587479999999999</v>
      </c>
      <c r="AB25" s="872">
        <f t="shared" si="8"/>
        <v>0.84370999999999996</v>
      </c>
      <c r="AC25" s="872">
        <f t="shared" si="9"/>
        <v>0</v>
      </c>
      <c r="AD25" s="872">
        <f t="shared" si="10"/>
        <v>0</v>
      </c>
      <c r="AE25" s="872">
        <f t="shared" si="11"/>
        <v>0</v>
      </c>
      <c r="AF25" s="872">
        <f t="shared" si="12"/>
        <v>0</v>
      </c>
      <c r="AG25" s="873"/>
      <c r="AH25" s="873"/>
      <c r="AI25" s="872">
        <f t="shared" si="13"/>
        <v>364.61438499999997</v>
      </c>
      <c r="AK25" s="889">
        <v>0</v>
      </c>
      <c r="AL25" s="872">
        <f t="shared" si="14"/>
        <v>0</v>
      </c>
      <c r="AM25" s="872">
        <f t="shared" si="15"/>
        <v>0</v>
      </c>
      <c r="AN25" s="872">
        <f t="shared" si="16"/>
        <v>0</v>
      </c>
      <c r="AO25" s="872">
        <f t="shared" si="17"/>
        <v>0</v>
      </c>
      <c r="AP25" s="872">
        <f t="shared" si="18"/>
        <v>0</v>
      </c>
      <c r="AQ25" s="872">
        <f t="shared" si="19"/>
        <v>0</v>
      </c>
      <c r="AR25" s="872">
        <f t="shared" si="20"/>
        <v>0</v>
      </c>
      <c r="AS25" s="872"/>
      <c r="AT25" s="872"/>
      <c r="AU25" s="872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1">
        <f t="shared" ref="AZ25" si="38">Z25*$AY25</f>
        <v>0</v>
      </c>
      <c r="BA25" s="871">
        <f t="shared" ref="BA25" si="39">AA25*$AY25</f>
        <v>12.587479999999999</v>
      </c>
      <c r="BB25" s="871">
        <f t="shared" ref="BB25" si="40">AB25*$AY25</f>
        <v>0.84370999999999996</v>
      </c>
      <c r="BC25" s="871">
        <f t="shared" ref="BC25" si="41">AC25*$AY25</f>
        <v>0</v>
      </c>
      <c r="BD25" s="871">
        <f t="shared" ref="BD25" si="42">AD25*$AY25</f>
        <v>0</v>
      </c>
      <c r="BE25" s="871">
        <f t="shared" ref="BE25" si="43">AE25*$AY25</f>
        <v>0</v>
      </c>
      <c r="BF25" s="871">
        <f t="shared" ref="BF25" si="44">AF25*$AY25</f>
        <v>0</v>
      </c>
      <c r="BG25" s="871"/>
      <c r="BH25" s="871"/>
      <c r="BI25" s="871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5">
      <c r="B26" s="870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8">
        <f>IF(ISNA(VLOOKUP($B26,'PFF-Zones (Combined)'!$B$3:$W$11,21,FALSE)),0,VLOOKUP($B26,'PFF-Zones (Combined)'!$B$3:$W$11,21,FALSE))</f>
        <v>0.85</v>
      </c>
      <c r="P26" s="858">
        <f>IF(ISNA(VLOOKUP($B26,'PFF-Zones (Combined)'!$B$15:$W$31,21,FALSE)),0,VLOOKUP($B26,'PFF-Zones (Combined)'!$B$15:$W$31,21,FALSE))</f>
        <v>0.85</v>
      </c>
      <c r="Q26" s="858">
        <f>IF(ISNA(VLOOKUP($B26,'PFF-Zones (Combined)'!$B$34:$W$47,21,FALSE)),0,VLOOKUP($B26,'PFF-Zones (Combined)'!$B$34:$W$47,21,FALSE))</f>
        <v>0.85</v>
      </c>
      <c r="R26" s="859">
        <f>IF(ISNA(VLOOKUP($B26,'PFF-Zones (Combined)'!$B$50:$W$56,21,FALSE)),0,VLOOKUP($B26,'PFF-Zones (Combined)'!$B$50:$W$56,21,FALSE))</f>
        <v>0</v>
      </c>
      <c r="S26" s="858">
        <f>IF(ISNA(VLOOKUP($B26,'PFF-Zones (Combined)'!$B$61:$W$71,21,FALSE)),0,VLOOKUP($B26,'PFF-Zones (Combined)'!$B$61:$W$71,21,FALSE))</f>
        <v>0.85</v>
      </c>
      <c r="T26" s="859">
        <f>IF(ISNA(VLOOKUP($B26,'PFF-Zones (Combined)'!$B$75:$W$81,21,FALSE)),0,VLOOKUP($B26,'PFF-Zones (Combined)'!$B$75:$W$81,21,FALSE))</f>
        <v>0</v>
      </c>
      <c r="U26" s="858">
        <f>IF(ISNA(VLOOKUP($B26,'PFF-Zones (Combined)'!$B$87:$W$105,21,FALSE)),0,VLOOKUP($B26,'PFF-Zones (Combined)'!$B$87:$W$105,21,FALSE))</f>
        <v>0.85</v>
      </c>
      <c r="V26" s="859"/>
      <c r="W26" s="859"/>
      <c r="X26" s="859">
        <f>IF(ISNA(VLOOKUP($B26,'PFF-Zones (Combined)'!$B$109:$W$120,21,FALSE)),0,VLOOKUP($B26,'PFF-Zones (Combined)'!$B$109:$W$120,21,FALSE))</f>
        <v>0</v>
      </c>
      <c r="Z26" s="872">
        <f t="shared" si="6"/>
        <v>6.9663450000000005</v>
      </c>
      <c r="AA26" s="872">
        <f t="shared" si="7"/>
        <v>5.0022500000000001</v>
      </c>
      <c r="AB26" s="872">
        <f t="shared" si="8"/>
        <v>22.453939999999999</v>
      </c>
      <c r="AC26" s="872">
        <f t="shared" si="9"/>
        <v>0</v>
      </c>
      <c r="AD26" s="872">
        <f t="shared" si="10"/>
        <v>12.081474999999999</v>
      </c>
      <c r="AE26" s="872">
        <f t="shared" si="11"/>
        <v>0</v>
      </c>
      <c r="AF26" s="872">
        <f t="shared" si="12"/>
        <v>34.042415000000005</v>
      </c>
      <c r="AG26" s="873"/>
      <c r="AH26" s="873"/>
      <c r="AI26" s="872">
        <f t="shared" si="13"/>
        <v>0</v>
      </c>
      <c r="AK26" s="889">
        <v>0</v>
      </c>
      <c r="AL26" s="872">
        <f t="shared" si="14"/>
        <v>0</v>
      </c>
      <c r="AM26" s="872">
        <f t="shared" si="15"/>
        <v>0</v>
      </c>
      <c r="AN26" s="872">
        <f t="shared" si="16"/>
        <v>0</v>
      </c>
      <c r="AO26" s="872">
        <f t="shared" si="17"/>
        <v>0</v>
      </c>
      <c r="AP26" s="872">
        <f t="shared" si="18"/>
        <v>0</v>
      </c>
      <c r="AQ26" s="872">
        <f t="shared" si="19"/>
        <v>0</v>
      </c>
      <c r="AR26" s="872">
        <f t="shared" si="20"/>
        <v>0</v>
      </c>
      <c r="AS26" s="872"/>
      <c r="AT26" s="872"/>
      <c r="AU26" s="872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1">
        <f t="shared" si="22"/>
        <v>6.9663450000000005</v>
      </c>
      <c r="BA26" s="871">
        <f t="shared" si="23"/>
        <v>5.0022500000000001</v>
      </c>
      <c r="BB26" s="871">
        <f t="shared" si="24"/>
        <v>22.453939999999999</v>
      </c>
      <c r="BC26" s="871">
        <f t="shared" si="25"/>
        <v>0</v>
      </c>
      <c r="BD26" s="871">
        <f t="shared" si="26"/>
        <v>12.081474999999999</v>
      </c>
      <c r="BE26" s="871">
        <f t="shared" si="27"/>
        <v>0</v>
      </c>
      <c r="BF26" s="871">
        <f t="shared" si="28"/>
        <v>34.042415000000005</v>
      </c>
      <c r="BG26" s="871"/>
      <c r="BH26" s="871"/>
      <c r="BI26" s="871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5">
      <c r="B27" s="870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8">
        <f>IF(ISNA(VLOOKUP($B27,'PFF-Zones (Combined)'!$B$3:$W$11,21,FALSE)),0,VLOOKUP($B27,'PFF-Zones (Combined)'!$B$3:$W$11,21,FALSE))</f>
        <v>0.85</v>
      </c>
      <c r="P27" s="858">
        <f>IF(ISNA(VLOOKUP($B27,'PFF-Zones (Combined)'!$B$15:$W$31,21,FALSE)),0,VLOOKUP($B27,'PFF-Zones (Combined)'!$B$15:$W$31,21,FALSE))</f>
        <v>0.85</v>
      </c>
      <c r="Q27" s="859">
        <f>IF(ISNA(VLOOKUP($B27,'PFF-Zones (Combined)'!$B$34:$W$47,21,FALSE)),0,VLOOKUP($B27,'PFF-Zones (Combined)'!$B$34:$W$47,21,FALSE))</f>
        <v>0</v>
      </c>
      <c r="R27" s="859">
        <f>IF(ISNA(VLOOKUP($B27,'PFF-Zones (Combined)'!$B$50:$W$56,21,FALSE)),0,VLOOKUP($B27,'PFF-Zones (Combined)'!$B$50:$W$56,21,FALSE))</f>
        <v>0</v>
      </c>
      <c r="S27" s="858">
        <f>IF(ISNA(VLOOKUP($B27,'PFF-Zones (Combined)'!$B$61:$W$71,21,FALSE)),0,VLOOKUP($B27,'PFF-Zones (Combined)'!$B$61:$W$71,21,FALSE))</f>
        <v>0.85</v>
      </c>
      <c r="T27" s="858">
        <f>IF(ISNA(VLOOKUP($B27,'PFF-Zones (Combined)'!$B$75:$W$81,21,FALSE)),0,VLOOKUP($B27,'PFF-Zones (Combined)'!$B$75:$W$81,21,FALSE))</f>
        <v>0.85</v>
      </c>
      <c r="U27" s="858">
        <f>IF(ISNA(VLOOKUP($B27,'PFF-Zones (Combined)'!$B$87:$W$105,21,FALSE)),0,VLOOKUP($B27,'PFF-Zones (Combined)'!$B$87:$W$105,21,FALSE))</f>
        <v>0.85</v>
      </c>
      <c r="V27" s="859"/>
      <c r="W27" s="859"/>
      <c r="X27" s="859">
        <f>IF(ISNA(VLOOKUP($B27,'PFF-Zones (Combined)'!$B$109:$W$120,21,FALSE)),0,VLOOKUP($B27,'PFF-Zones (Combined)'!$B$109:$W$120,21,FALSE))</f>
        <v>0</v>
      </c>
      <c r="Z27" s="872">
        <f t="shared" si="6"/>
        <v>37.247425</v>
      </c>
      <c r="AA27" s="872">
        <f t="shared" si="7"/>
        <v>95.643614999999997</v>
      </c>
      <c r="AB27" s="872">
        <f t="shared" si="8"/>
        <v>0</v>
      </c>
      <c r="AC27" s="872">
        <f t="shared" si="9"/>
        <v>0</v>
      </c>
      <c r="AD27" s="872">
        <f t="shared" si="10"/>
        <v>0.70779499999999995</v>
      </c>
      <c r="AE27" s="872">
        <f t="shared" si="11"/>
        <v>43.858555000000003</v>
      </c>
      <c r="AF27" s="872">
        <f t="shared" si="12"/>
        <v>6.1572300000000029</v>
      </c>
      <c r="AG27" s="873"/>
      <c r="AH27" s="873"/>
      <c r="AI27" s="872">
        <f t="shared" si="13"/>
        <v>0</v>
      </c>
      <c r="AK27" s="889">
        <v>0</v>
      </c>
      <c r="AL27" s="872">
        <f t="shared" si="14"/>
        <v>0</v>
      </c>
      <c r="AM27" s="872">
        <f t="shared" si="15"/>
        <v>0</v>
      </c>
      <c r="AN27" s="872">
        <f t="shared" si="16"/>
        <v>0</v>
      </c>
      <c r="AO27" s="872">
        <f t="shared" si="17"/>
        <v>0</v>
      </c>
      <c r="AP27" s="872">
        <f t="shared" si="18"/>
        <v>0</v>
      </c>
      <c r="AQ27" s="872">
        <f t="shared" si="19"/>
        <v>0</v>
      </c>
      <c r="AR27" s="872">
        <f t="shared" si="20"/>
        <v>0</v>
      </c>
      <c r="AS27" s="872"/>
      <c r="AT27" s="872"/>
      <c r="AU27" s="872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1">
        <f t="shared" si="22"/>
        <v>37.247425</v>
      </c>
      <c r="BA27" s="871">
        <f t="shared" si="23"/>
        <v>95.643614999999997</v>
      </c>
      <c r="BB27" s="871">
        <f t="shared" si="24"/>
        <v>0</v>
      </c>
      <c r="BC27" s="871">
        <f t="shared" si="25"/>
        <v>0</v>
      </c>
      <c r="BD27" s="871">
        <f t="shared" si="26"/>
        <v>0.70779499999999995</v>
      </c>
      <c r="BE27" s="871">
        <f t="shared" si="27"/>
        <v>43.858555000000003</v>
      </c>
      <c r="BF27" s="871">
        <f t="shared" si="28"/>
        <v>6.1572300000000029</v>
      </c>
      <c r="BG27" s="871"/>
      <c r="BH27" s="871"/>
      <c r="BI27" s="871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5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5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5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5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5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5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5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5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5">
      <c r="B36" s="870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9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8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8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9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9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9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8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9"/>
      <c r="W36" s="859"/>
      <c r="X36" s="859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2">
        <f t="shared" si="6"/>
        <v>0</v>
      </c>
      <c r="AA36" s="872">
        <f t="shared" si="7"/>
        <v>6.7083200000000005</v>
      </c>
      <c r="AB36" s="872">
        <f t="shared" si="8"/>
        <v>0.80266000000000004</v>
      </c>
      <c r="AC36" s="872">
        <f t="shared" si="9"/>
        <v>0</v>
      </c>
      <c r="AD36" s="872">
        <f t="shared" si="10"/>
        <v>0</v>
      </c>
      <c r="AE36" s="872">
        <f t="shared" si="11"/>
        <v>0</v>
      </c>
      <c r="AF36" s="872">
        <f t="shared" si="12"/>
        <v>5.9921000000000006</v>
      </c>
      <c r="AG36" s="873"/>
      <c r="AH36" s="873"/>
      <c r="AI36" s="872">
        <f t="shared" si="13"/>
        <v>0</v>
      </c>
      <c r="AK36" s="889">
        <v>0</v>
      </c>
      <c r="AL36" s="872">
        <f t="shared" si="14"/>
        <v>0</v>
      </c>
      <c r="AM36" s="872">
        <f t="shared" si="15"/>
        <v>0</v>
      </c>
      <c r="AN36" s="872">
        <f t="shared" si="16"/>
        <v>0</v>
      </c>
      <c r="AO36" s="872">
        <f t="shared" si="17"/>
        <v>0</v>
      </c>
      <c r="AP36" s="872">
        <f t="shared" si="18"/>
        <v>0</v>
      </c>
      <c r="AQ36" s="872">
        <f t="shared" si="19"/>
        <v>0</v>
      </c>
      <c r="AR36" s="872">
        <f t="shared" si="20"/>
        <v>0</v>
      </c>
      <c r="AS36" s="872"/>
      <c r="AT36" s="872"/>
      <c r="AU36" s="872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1">
        <f t="shared" si="22"/>
        <v>0</v>
      </c>
      <c r="BA36" s="871">
        <f t="shared" si="23"/>
        <v>6.7083200000000005</v>
      </c>
      <c r="BB36" s="871">
        <f t="shared" si="24"/>
        <v>0.80266000000000004</v>
      </c>
      <c r="BC36" s="871">
        <f t="shared" si="25"/>
        <v>0</v>
      </c>
      <c r="BD36" s="871">
        <f t="shared" si="26"/>
        <v>0</v>
      </c>
      <c r="BE36" s="871">
        <f t="shared" si="27"/>
        <v>0</v>
      </c>
      <c r="BF36" s="871">
        <f t="shared" si="28"/>
        <v>5.9921000000000006</v>
      </c>
      <c r="BG36" s="871"/>
      <c r="BH36" s="871"/>
      <c r="BI36" s="871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5">
      <c r="B37" s="870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9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8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9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9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9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9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9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9"/>
      <c r="W37" s="859"/>
      <c r="X37" s="859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2">
        <f t="shared" si="6"/>
        <v>0</v>
      </c>
      <c r="AA37" s="872">
        <f t="shared" si="7"/>
        <v>2.3305599999999997</v>
      </c>
      <c r="AB37" s="872">
        <f t="shared" si="8"/>
        <v>0</v>
      </c>
      <c r="AC37" s="872">
        <f t="shared" si="9"/>
        <v>0</v>
      </c>
      <c r="AD37" s="872">
        <f t="shared" si="10"/>
        <v>0</v>
      </c>
      <c r="AE37" s="872">
        <f t="shared" si="11"/>
        <v>0</v>
      </c>
      <c r="AF37" s="872">
        <f t="shared" si="12"/>
        <v>0</v>
      </c>
      <c r="AG37" s="873"/>
      <c r="AH37" s="873"/>
      <c r="AI37" s="872">
        <f t="shared" si="13"/>
        <v>0</v>
      </c>
      <c r="AK37" s="889">
        <v>0</v>
      </c>
      <c r="AL37" s="872">
        <f t="shared" si="14"/>
        <v>0</v>
      </c>
      <c r="AM37" s="872">
        <f t="shared" si="15"/>
        <v>0</v>
      </c>
      <c r="AN37" s="872">
        <f t="shared" si="16"/>
        <v>0</v>
      </c>
      <c r="AO37" s="872">
        <f t="shared" si="17"/>
        <v>0</v>
      </c>
      <c r="AP37" s="872">
        <f t="shared" si="18"/>
        <v>0</v>
      </c>
      <c r="AQ37" s="872">
        <f t="shared" si="19"/>
        <v>0</v>
      </c>
      <c r="AR37" s="872">
        <f t="shared" si="20"/>
        <v>0</v>
      </c>
      <c r="AS37" s="872"/>
      <c r="AT37" s="872"/>
      <c r="AU37" s="872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1">
        <f t="shared" si="22"/>
        <v>0</v>
      </c>
      <c r="BA37" s="871">
        <f t="shared" si="23"/>
        <v>2.3305599999999997</v>
      </c>
      <c r="BB37" s="871">
        <f t="shared" si="24"/>
        <v>0</v>
      </c>
      <c r="BC37" s="871">
        <f t="shared" si="25"/>
        <v>0</v>
      </c>
      <c r="BD37" s="871">
        <f t="shared" si="26"/>
        <v>0</v>
      </c>
      <c r="BE37" s="871">
        <f t="shared" si="27"/>
        <v>0</v>
      </c>
      <c r="BF37" s="871">
        <f t="shared" si="28"/>
        <v>0</v>
      </c>
      <c r="BG37" s="871"/>
      <c r="BH37" s="871"/>
      <c r="BI37" s="871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5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5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5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5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5">
      <c r="N42" s="608"/>
    </row>
    <row r="43" spans="2:83" x14ac:dyDescent="0.25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5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5">
      <c r="N45" s="608"/>
      <c r="BV45" s="803">
        <f>AL44</f>
        <v>0.23987448929335636</v>
      </c>
      <c r="BW45" s="803">
        <f t="shared" ref="BW45:CE45" si="52">AM44</f>
        <v>5.5836363462232273E-2</v>
      </c>
      <c r="BX45" s="803">
        <f t="shared" si="52"/>
        <v>9.1837773399291805E-2</v>
      </c>
      <c r="BY45" s="803">
        <f t="shared" si="52"/>
        <v>4.2461986138675321E-2</v>
      </c>
      <c r="BZ45" s="803">
        <f t="shared" si="52"/>
        <v>4.2376333529011455E-2</v>
      </c>
      <c r="CA45" s="803">
        <f t="shared" si="52"/>
        <v>7.2150205888221824E-2</v>
      </c>
      <c r="CB45" s="803">
        <f t="shared" si="52"/>
        <v>0.3163223912772109</v>
      </c>
      <c r="CC45" s="803">
        <f t="shared" si="52"/>
        <v>0</v>
      </c>
      <c r="CD45" s="803">
        <f t="shared" si="52"/>
        <v>0</v>
      </c>
      <c r="CE45" s="803">
        <f t="shared" si="52"/>
        <v>0.13914045701200017</v>
      </c>
    </row>
    <row r="46" spans="2:83" x14ac:dyDescent="0.25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4">
        <f>BV44-BV45</f>
        <v>0</v>
      </c>
      <c r="BW46" s="804">
        <f t="shared" ref="BW46:CE46" si="53">BW44-BW45</f>
        <v>0</v>
      </c>
      <c r="BX46" s="804">
        <f t="shared" si="53"/>
        <v>0</v>
      </c>
      <c r="BY46" s="804">
        <f t="shared" si="53"/>
        <v>0</v>
      </c>
      <c r="BZ46" s="804">
        <f t="shared" si="53"/>
        <v>0</v>
      </c>
      <c r="CA46" s="804">
        <f t="shared" si="53"/>
        <v>0</v>
      </c>
      <c r="CB46" s="804">
        <f t="shared" si="53"/>
        <v>0</v>
      </c>
      <c r="CC46" s="804">
        <f t="shared" si="53"/>
        <v>0</v>
      </c>
      <c r="CD46" s="804">
        <f t="shared" si="53"/>
        <v>0</v>
      </c>
      <c r="CE46" s="804">
        <f t="shared" si="53"/>
        <v>0</v>
      </c>
    </row>
    <row r="47" spans="2:83" x14ac:dyDescent="0.25">
      <c r="BV47" s="744" t="s">
        <v>563</v>
      </c>
      <c r="BW47" s="774"/>
      <c r="BX47" s="774"/>
      <c r="BY47" s="774"/>
      <c r="BZ47" s="774"/>
      <c r="CA47" s="774"/>
      <c r="CB47" s="774"/>
      <c r="CC47" s="774"/>
      <c r="CD47" s="774"/>
      <c r="CE47" s="774"/>
    </row>
    <row r="48" spans="2:83" x14ac:dyDescent="0.25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5">
      <c r="BV49" s="775"/>
      <c r="BW49" s="775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5">
      <c r="BX50" s="608"/>
      <c r="BY50" s="608"/>
      <c r="BZ50" s="608"/>
      <c r="CA50" s="608"/>
      <c r="CB50" s="608"/>
    </row>
    <row r="51" spans="74:83" x14ac:dyDescent="0.25">
      <c r="BX51" s="608"/>
      <c r="BY51" s="608"/>
      <c r="BZ51" s="608"/>
      <c r="CA51" s="608"/>
      <c r="CB51" s="608"/>
    </row>
    <row r="52" spans="74:83" x14ac:dyDescent="0.25">
      <c r="BX52" s="608"/>
      <c r="BY52" s="608"/>
      <c r="BZ52" s="608"/>
      <c r="CA52" s="608"/>
      <c r="CB52" s="608"/>
    </row>
    <row r="53" spans="74:83" x14ac:dyDescent="0.25">
      <c r="BX53" s="608"/>
      <c r="BY53" s="608"/>
      <c r="BZ53" s="608"/>
      <c r="CA53" s="608"/>
      <c r="CB53" s="608"/>
    </row>
    <row r="54" spans="74:83" x14ac:dyDescent="0.25">
      <c r="BX54" s="608"/>
      <c r="BY54" s="608"/>
      <c r="BZ54" s="608"/>
      <c r="CA54" s="608"/>
      <c r="CB54" s="608"/>
    </row>
    <row r="55" spans="74:83" x14ac:dyDescent="0.25">
      <c r="BX55" s="608"/>
      <c r="BY55" s="608"/>
      <c r="BZ55" s="608"/>
      <c r="CA55" s="608"/>
      <c r="CB55" s="608"/>
    </row>
    <row r="56" spans="74:83" x14ac:dyDescent="0.25">
      <c r="BX56" s="608"/>
      <c r="BY56" s="608"/>
      <c r="BZ56" s="608"/>
      <c r="CA56" s="608"/>
      <c r="CB56" s="608"/>
    </row>
    <row r="57" spans="74:83" x14ac:dyDescent="0.25">
      <c r="BX57" s="608"/>
      <c r="BY57" s="608"/>
      <c r="BZ57" s="608"/>
      <c r="CA57" s="608"/>
      <c r="CB57" s="608"/>
    </row>
    <row r="58" spans="74:83" x14ac:dyDescent="0.25">
      <c r="BX58" s="608"/>
      <c r="BY58" s="608"/>
      <c r="BZ58" s="608"/>
      <c r="CA58" s="608"/>
      <c r="CB58" s="608"/>
    </row>
    <row r="59" spans="74:83" x14ac:dyDescent="0.25">
      <c r="BX59" s="608"/>
      <c r="BY59" s="608"/>
      <c r="BZ59" s="608"/>
      <c r="CA59" s="608"/>
      <c r="CB59" s="608"/>
    </row>
    <row r="60" spans="74:83" x14ac:dyDescent="0.25">
      <c r="BX60" s="608"/>
      <c r="BY60" s="608"/>
      <c r="BZ60" s="608"/>
      <c r="CA60" s="608"/>
      <c r="CB60" s="608"/>
    </row>
    <row r="61" spans="74:83" x14ac:dyDescent="0.25">
      <c r="BX61" s="608"/>
      <c r="BY61" s="608"/>
      <c r="BZ61" s="608"/>
      <c r="CA61" s="608"/>
      <c r="CB61" s="608"/>
    </row>
  </sheetData>
  <mergeCells count="19">
    <mergeCell ref="BK12:BT12"/>
    <mergeCell ref="CC1:CE1"/>
    <mergeCell ref="CC2:CE2"/>
    <mergeCell ref="CC3:CE3"/>
    <mergeCell ref="BR1:BT1"/>
    <mergeCell ref="BR2:BT2"/>
    <mergeCell ref="BR3:BT3"/>
    <mergeCell ref="BV12:CE12"/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QD2UCF5UJE4V-699202894-390</_dlc_DocId>
    <_dlc_DocIdUrl xmlns="7184055b-e5ea-4162-8b19-ace5c644b73a">
      <Url>http://intranet2/pw/_layouts/15/DocIdRedir.aspx?ID=QD2UCF5UJE4V-699202894-390</Url>
      <Description>QD2UCF5UJE4V-699202894-390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24F792-FB96-452B-B0C3-6EA4F26418C6}"/>
</file>

<file path=customXml/itemProps2.xml><?xml version="1.0" encoding="utf-8"?>
<ds:datastoreItem xmlns:ds="http://schemas.openxmlformats.org/officeDocument/2006/customXml" ds:itemID="{9D07A29E-1F64-47F1-84AA-1FB7759ADECE}"/>
</file>

<file path=customXml/itemProps3.xml><?xml version="1.0" encoding="utf-8"?>
<ds:datastoreItem xmlns:ds="http://schemas.openxmlformats.org/officeDocument/2006/customXml" ds:itemID="{491FCAC5-D133-420C-B634-D0D9CF478D9B}"/>
</file>

<file path=customXml/itemProps4.xml><?xml version="1.0" encoding="utf-8"?>
<ds:datastoreItem xmlns:ds="http://schemas.openxmlformats.org/officeDocument/2006/customXml" ds:itemID="{C17D7BFF-3589-4347-8EC1-91C4CA8576AE}"/>
</file>

<file path=customXml/itemProps5.xml><?xml version="1.0" encoding="utf-8"?>
<ds:datastoreItem xmlns:ds="http://schemas.openxmlformats.org/officeDocument/2006/customXml" ds:itemID="{2EB4BC79-CFCF-46B9-AEF2-15B252F230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BT</cp:lastModifiedBy>
  <cp:lastPrinted>2012-12-05T19:08:42Z</cp:lastPrinted>
  <dcterms:created xsi:type="dcterms:W3CDTF">2007-09-04T17:19:10Z</dcterms:created>
  <dcterms:modified xsi:type="dcterms:W3CDTF">2012-12-06T04:12:56Z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60a2f2db-6572-4660-8270-5f420f560864</vt:lpwstr>
  </property>
  <property fmtid="{D5CDD505-2E9C-101B-9397-08002B2CF9AE}" pid="4" name="Order">
    <vt:r8>12300</vt:r8>
  </property>
  <property fmtid="{D5CDD505-2E9C-101B-9397-08002B2CF9AE}" pid="5" name="TemplateUrl">
    <vt:lpwstr/>
  </property>
  <property fmtid="{D5CDD505-2E9C-101B-9397-08002B2CF9AE}" pid="6" name="_dlc_DocId">
    <vt:lpwstr>DS6S4WKU732Q-3-123</vt:lpwstr>
  </property>
  <property fmtid="{D5CDD505-2E9C-101B-9397-08002B2CF9AE}" pid="7" name="_dlc_DocIdUrl">
    <vt:lpwstr>http://intranet:12013/_layouts/DocIdRedir.aspx?ID=DS6S4WKU732Q-3-123, DS6S4WKU732Q-3-123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