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activeTab="1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1.3 Total EDUs Developed w23" sheetId="17" state="hidden" r:id="rId6"/>
    <sheet name="2. CIP From Master Plan" sheetId="12" r:id="rId7"/>
    <sheet name="2. Zone 24 CIP Costs" sheetId="2" state="hidden" r:id="rId8"/>
    <sheet name="3. Fund Balance Sewer" sheetId="6" r:id="rId9"/>
    <sheet name="4. Und Land Sewer Zones" sheetId="9" r:id="rId10"/>
    <sheet name="5. Financing Assumptions" sheetId="8" r:id="rId11"/>
    <sheet name="Sum 1. City Admin Costs Summary" sheetId="13" r:id="rId12"/>
    <sheet name="Sum 2. City Admin Costs Ongoing" sheetId="10" r:id="rId13"/>
    <sheet name="DEBT_SERVICE_V" sheetId="7" state="hidden" r:id="rId14"/>
    <sheet name="Sum 3. PFF Update Costs" sheetId="11" r:id="rId15"/>
    <sheet name="Fund Alloc" sheetId="3" state="hidden" r:id="rId16"/>
  </sheets>
  <externalReferences>
    <externalReference r:id="rId17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 localSheetId="5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6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AD12" i="16" l="1"/>
  <c r="AC12" i="16"/>
  <c r="AB12" i="16"/>
  <c r="Z12" i="16"/>
  <c r="Y12" i="16"/>
  <c r="D57" i="1"/>
  <c r="H57" i="1"/>
  <c r="G58" i="1"/>
  <c r="F58" i="1"/>
  <c r="E58" i="1"/>
  <c r="C58" i="1"/>
  <c r="D58" i="1"/>
  <c r="B58" i="1"/>
  <c r="B51" i="1" l="1"/>
  <c r="C51" i="1" s="1"/>
  <c r="D51" i="1" s="1"/>
  <c r="E51" i="1" s="1"/>
  <c r="F51" i="1" s="1"/>
  <c r="G51" i="1" s="1"/>
  <c r="D31" i="11"/>
  <c r="D30" i="11"/>
  <c r="E93" i="14" l="1"/>
  <c r="E94" i="14" s="1"/>
  <c r="E66" i="14"/>
  <c r="E67" i="14" s="1"/>
  <c r="L37" i="12" l="1"/>
  <c r="M37" i="12" s="1"/>
  <c r="N37" i="12" s="1"/>
  <c r="L99" i="12"/>
  <c r="M99" i="12" s="1"/>
  <c r="N99" i="12" s="1"/>
  <c r="L102" i="12"/>
  <c r="M102" i="12" s="1"/>
  <c r="N102" i="12" s="1"/>
  <c r="L101" i="12"/>
  <c r="M101" i="12" s="1"/>
  <c r="N101" i="12" s="1"/>
  <c r="CE38" i="16" l="1"/>
  <c r="CD38" i="16"/>
  <c r="CE37" i="16"/>
  <c r="BZ37" i="16"/>
  <c r="CE36" i="16"/>
  <c r="CD36" i="16"/>
  <c r="CC36" i="16"/>
  <c r="BZ36" i="16"/>
  <c r="CE35" i="16"/>
  <c r="CD35" i="16"/>
  <c r="BZ35" i="16"/>
  <c r="CE34" i="16"/>
  <c r="CD34" i="16"/>
  <c r="CC34" i="16"/>
  <c r="BZ34" i="16"/>
  <c r="CE33" i="16"/>
  <c r="CD33" i="16"/>
  <c r="CC33" i="16"/>
  <c r="BZ33" i="16"/>
  <c r="CE32" i="16"/>
  <c r="BZ32" i="16"/>
  <c r="CE31" i="16"/>
  <c r="CD31" i="16"/>
  <c r="CC31" i="16"/>
  <c r="BZ31" i="16"/>
  <c r="CE30" i="16"/>
  <c r="BZ30" i="16"/>
  <c r="CE29" i="16"/>
  <c r="CA29" i="16"/>
  <c r="BZ29" i="16"/>
  <c r="CE28" i="16"/>
  <c r="CD28" i="16"/>
  <c r="BZ28" i="16"/>
  <c r="CE27" i="16"/>
  <c r="CD27" i="16"/>
  <c r="BZ27" i="16"/>
  <c r="CE26" i="16"/>
  <c r="CD26" i="16"/>
  <c r="BZ26" i="16"/>
  <c r="CE25" i="16"/>
  <c r="CD25" i="16"/>
  <c r="CE24" i="16"/>
  <c r="CC24" i="16"/>
  <c r="BZ24" i="16"/>
  <c r="CE23" i="16"/>
  <c r="CD23" i="16"/>
  <c r="CE22" i="16"/>
  <c r="CE21" i="16"/>
  <c r="CD21" i="16"/>
  <c r="CE19" i="16"/>
  <c r="CD19" i="16"/>
  <c r="BZ19" i="16"/>
  <c r="CE18" i="16"/>
  <c r="CE16" i="16"/>
  <c r="CD16" i="16"/>
  <c r="CE15" i="16"/>
  <c r="CA15" i="16"/>
  <c r="BZ15" i="16"/>
  <c r="CE14" i="16"/>
  <c r="BZ14" i="16"/>
  <c r="CJ41" i="16"/>
  <c r="CB41" i="16"/>
  <c r="AH38" i="16"/>
  <c r="AH37" i="16"/>
  <c r="AH36" i="16"/>
  <c r="AH35" i="16"/>
  <c r="AH34" i="16"/>
  <c r="AH33" i="16"/>
  <c r="AH32" i="16"/>
  <c r="AH31" i="16"/>
  <c r="AH30" i="16"/>
  <c r="AH29" i="16"/>
  <c r="AH28" i="16"/>
  <c r="AM28" i="16" s="1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M14" i="16" s="1"/>
  <c r="X38" i="16"/>
  <c r="X37" i="16"/>
  <c r="X36" i="16"/>
  <c r="X35" i="16"/>
  <c r="X34" i="16"/>
  <c r="X33" i="16"/>
  <c r="X32" i="16"/>
  <c r="X31" i="16"/>
  <c r="X30" i="16"/>
  <c r="X29" i="16"/>
  <c r="X28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AS14" i="16"/>
  <c r="AT14" i="16"/>
  <c r="AV14" i="16"/>
  <c r="AS15" i="16"/>
  <c r="AT15" i="16"/>
  <c r="AV15" i="16"/>
  <c r="AS16" i="16"/>
  <c r="AT16" i="16"/>
  <c r="AV16" i="16"/>
  <c r="AS17" i="16"/>
  <c r="AT17" i="16"/>
  <c r="AV17" i="16"/>
  <c r="AS18" i="16"/>
  <c r="AT18" i="16"/>
  <c r="AV18" i="16"/>
  <c r="AS19" i="16"/>
  <c r="AT19" i="16"/>
  <c r="AV19" i="16"/>
  <c r="AS20" i="16"/>
  <c r="AT20" i="16"/>
  <c r="AV20" i="16"/>
  <c r="AS21" i="16"/>
  <c r="AT21" i="16"/>
  <c r="AV21" i="16"/>
  <c r="AS22" i="16"/>
  <c r="AT22" i="16"/>
  <c r="AV22" i="16"/>
  <c r="AS23" i="16"/>
  <c r="AT23" i="16"/>
  <c r="AV23" i="16"/>
  <c r="AS24" i="16"/>
  <c r="AT24" i="16"/>
  <c r="AV24" i="16"/>
  <c r="AS25" i="16"/>
  <c r="AT25" i="16"/>
  <c r="AV25" i="16"/>
  <c r="AS26" i="16"/>
  <c r="AT26" i="16"/>
  <c r="AV26" i="16"/>
  <c r="AS27" i="16"/>
  <c r="AT27" i="16"/>
  <c r="AV27" i="16"/>
  <c r="AS28" i="16"/>
  <c r="AT28" i="16"/>
  <c r="AV28" i="16"/>
  <c r="AS29" i="16"/>
  <c r="AT29" i="16"/>
  <c r="AV29" i="16"/>
  <c r="AS30" i="16"/>
  <c r="AT30" i="16"/>
  <c r="AV30" i="16"/>
  <c r="AS31" i="16"/>
  <c r="AT31" i="16"/>
  <c r="AV31" i="16"/>
  <c r="AS32" i="16"/>
  <c r="AT32" i="16"/>
  <c r="AV32" i="16"/>
  <c r="AS33" i="16"/>
  <c r="AT33" i="16"/>
  <c r="AV33" i="16"/>
  <c r="AS34" i="16"/>
  <c r="AT34" i="16"/>
  <c r="AV34" i="16"/>
  <c r="AS35" i="16"/>
  <c r="AT35" i="16"/>
  <c r="AV35" i="16"/>
  <c r="AS36" i="16"/>
  <c r="AT36" i="16"/>
  <c r="AV36" i="16"/>
  <c r="AS37" i="16"/>
  <c r="AT37" i="16"/>
  <c r="AV37" i="16"/>
  <c r="AS38" i="16"/>
  <c r="AT38" i="16"/>
  <c r="AV38" i="16"/>
  <c r="R116" i="14"/>
  <c r="Q116" i="14"/>
  <c r="R115" i="14"/>
  <c r="Q115" i="14"/>
  <c r="R107" i="14"/>
  <c r="Q107" i="14"/>
  <c r="R106" i="14"/>
  <c r="Q106" i="14"/>
  <c r="R105" i="14"/>
  <c r="Q105" i="14"/>
  <c r="R104" i="14"/>
  <c r="Q104" i="14"/>
  <c r="R103" i="14"/>
  <c r="Q103" i="14"/>
  <c r="R102" i="14"/>
  <c r="Q102" i="14"/>
  <c r="R101" i="14"/>
  <c r="Q101" i="14"/>
  <c r="R100" i="14"/>
  <c r="Q100" i="14"/>
  <c r="R99" i="14"/>
  <c r="Q99" i="14"/>
  <c r="R98" i="14"/>
  <c r="Q98" i="14"/>
  <c r="R97" i="14"/>
  <c r="Q97" i="14"/>
  <c r="R89" i="14"/>
  <c r="Q89" i="14"/>
  <c r="R88" i="14"/>
  <c r="Q88" i="14"/>
  <c r="R87" i="14"/>
  <c r="Q87" i="14"/>
  <c r="R86" i="14"/>
  <c r="Q86" i="14"/>
  <c r="R85" i="14"/>
  <c r="Q85" i="14"/>
  <c r="R84" i="14"/>
  <c r="Q84" i="14"/>
  <c r="R83" i="14"/>
  <c r="Q83" i="14"/>
  <c r="R82" i="14"/>
  <c r="Q82" i="14"/>
  <c r="R81" i="14"/>
  <c r="Q81" i="14"/>
  <c r="R80" i="14"/>
  <c r="Q80" i="14"/>
  <c r="R79" i="14"/>
  <c r="Q79" i="14"/>
  <c r="R78" i="14"/>
  <c r="Q78" i="14"/>
  <c r="R77" i="14"/>
  <c r="Q77" i="14"/>
  <c r="R76" i="14"/>
  <c r="Q76" i="14"/>
  <c r="R75" i="14"/>
  <c r="Q75" i="14"/>
  <c r="R74" i="14"/>
  <c r="Q74" i="14"/>
  <c r="R73" i="14"/>
  <c r="Q73" i="14"/>
  <c r="R72" i="14"/>
  <c r="Q72" i="14"/>
  <c r="R71" i="14"/>
  <c r="Q71" i="14"/>
  <c r="R70" i="14"/>
  <c r="Q70" i="14"/>
  <c r="R62" i="14"/>
  <c r="Q62" i="14"/>
  <c r="R61" i="14"/>
  <c r="Q61" i="14"/>
  <c r="R60" i="14"/>
  <c r="Q60" i="14"/>
  <c r="R59" i="14"/>
  <c r="Q59" i="14"/>
  <c r="R58" i="14"/>
  <c r="Q58" i="14"/>
  <c r="R57" i="14"/>
  <c r="Q57" i="14"/>
  <c r="R56" i="14"/>
  <c r="Q56" i="14"/>
  <c r="R55" i="14"/>
  <c r="Q55" i="14"/>
  <c r="R54" i="14"/>
  <c r="Q54" i="14"/>
  <c r="R53" i="14"/>
  <c r="Q53" i="14"/>
  <c r="R52" i="14"/>
  <c r="Q52" i="14"/>
  <c r="R51" i="14"/>
  <c r="Q51" i="14"/>
  <c r="R50" i="14"/>
  <c r="Q50" i="14"/>
  <c r="R49" i="14"/>
  <c r="Q49" i="14"/>
  <c r="R48" i="14"/>
  <c r="Q48" i="14"/>
  <c r="R47" i="14"/>
  <c r="Q47" i="14"/>
  <c r="R46" i="14"/>
  <c r="Q46" i="14"/>
  <c r="R45" i="14"/>
  <c r="Q45" i="14"/>
  <c r="R44" i="14"/>
  <c r="Q44" i="14"/>
  <c r="R43" i="14"/>
  <c r="Q43" i="14"/>
  <c r="R42" i="14"/>
  <c r="Q42" i="14"/>
  <c r="R41" i="14"/>
  <c r="Q41" i="14"/>
  <c r="R40" i="14"/>
  <c r="Q40" i="14"/>
  <c r="R19" i="14"/>
  <c r="Q19" i="14"/>
  <c r="R18" i="14"/>
  <c r="Q18" i="14"/>
  <c r="R17" i="14"/>
  <c r="Q17" i="14"/>
  <c r="R16" i="14"/>
  <c r="Q16" i="14"/>
  <c r="R15" i="14"/>
  <c r="Q15" i="14"/>
  <c r="R14" i="14"/>
  <c r="Q14" i="14"/>
  <c r="R13" i="14"/>
  <c r="Q13" i="14"/>
  <c r="R12" i="14"/>
  <c r="Q12" i="14"/>
  <c r="Q11" i="14"/>
  <c r="R11" i="14"/>
  <c r="R28" i="14"/>
  <c r="R27" i="14"/>
  <c r="R26" i="14"/>
  <c r="D116" i="14"/>
  <c r="D115" i="14"/>
  <c r="D107" i="14"/>
  <c r="D106" i="14"/>
  <c r="D105" i="14"/>
  <c r="D104" i="14"/>
  <c r="D103" i="14"/>
  <c r="D102" i="14"/>
  <c r="D101" i="14"/>
  <c r="D100" i="14"/>
  <c r="D99" i="14"/>
  <c r="D98" i="14"/>
  <c r="D97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BN38" i="16"/>
  <c r="BM38" i="16"/>
  <c r="BN37" i="16"/>
  <c r="BI37" i="16"/>
  <c r="BN36" i="16"/>
  <c r="BM36" i="16"/>
  <c r="BL36" i="16"/>
  <c r="BI36" i="16"/>
  <c r="BN35" i="16"/>
  <c r="BM35" i="16"/>
  <c r="BI35" i="16"/>
  <c r="BN34" i="16"/>
  <c r="BM34" i="16"/>
  <c r="BL34" i="16"/>
  <c r="BI34" i="16"/>
  <c r="BN33" i="16"/>
  <c r="BM33" i="16"/>
  <c r="BL33" i="16"/>
  <c r="BI33" i="16"/>
  <c r="BN32" i="16"/>
  <c r="BI32" i="16"/>
  <c r="BN31" i="16"/>
  <c r="BM31" i="16"/>
  <c r="BL31" i="16"/>
  <c r="BI31" i="16"/>
  <c r="BN30" i="16"/>
  <c r="BI30" i="16"/>
  <c r="BN29" i="16"/>
  <c r="BJ29" i="16"/>
  <c r="BI29" i="16"/>
  <c r="BN28" i="16"/>
  <c r="BM28" i="16"/>
  <c r="BI28" i="16"/>
  <c r="BN27" i="16"/>
  <c r="BM27" i="16"/>
  <c r="BI27" i="16"/>
  <c r="BN26" i="16"/>
  <c r="BM26" i="16"/>
  <c r="BI26" i="16"/>
  <c r="BN25" i="16"/>
  <c r="BM25" i="16"/>
  <c r="BN24" i="16"/>
  <c r="BL24" i="16"/>
  <c r="BI24" i="16"/>
  <c r="BN23" i="16"/>
  <c r="BM23" i="16"/>
  <c r="BN22" i="16"/>
  <c r="BN21" i="16"/>
  <c r="BM21" i="16"/>
  <c r="BN19" i="16"/>
  <c r="BM19" i="16"/>
  <c r="BI19" i="16"/>
  <c r="BN18" i="16"/>
  <c r="BN16" i="16"/>
  <c r="BM16" i="16"/>
  <c r="BN15" i="16"/>
  <c r="BJ15" i="16"/>
  <c r="BI15" i="16"/>
  <c r="BN14" i="16"/>
  <c r="BI14" i="16"/>
  <c r="BS41" i="16"/>
  <c r="BK41" i="16"/>
  <c r="BC41" i="16"/>
  <c r="AU41" i="16"/>
  <c r="AX15" i="16"/>
  <c r="AW16" i="16"/>
  <c r="AX16" i="16"/>
  <c r="AX18" i="16"/>
  <c r="AW19" i="16"/>
  <c r="AX19" i="16"/>
  <c r="AW21" i="16"/>
  <c r="AX21" i="16"/>
  <c r="AX22" i="16"/>
  <c r="AW23" i="16"/>
  <c r="AX23" i="16"/>
  <c r="AX24" i="16"/>
  <c r="AW25" i="16"/>
  <c r="AX25" i="16"/>
  <c r="AW26" i="16"/>
  <c r="AX26" i="16"/>
  <c r="AW27" i="16"/>
  <c r="AX27" i="16"/>
  <c r="AW28" i="16"/>
  <c r="AX28" i="16"/>
  <c r="AX29" i="16"/>
  <c r="AX30" i="16"/>
  <c r="AW31" i="16"/>
  <c r="AX31" i="16"/>
  <c r="AX32" i="16"/>
  <c r="AW33" i="16"/>
  <c r="AX33" i="16"/>
  <c r="AW34" i="16"/>
  <c r="AX34" i="16"/>
  <c r="AW35" i="16"/>
  <c r="AX35" i="16"/>
  <c r="AW36" i="16"/>
  <c r="AX36" i="16"/>
  <c r="AX37" i="16"/>
  <c r="AW38" i="16"/>
  <c r="AX38" i="16"/>
  <c r="AX14" i="16"/>
  <c r="E116" i="14"/>
  <c r="AX20" i="16" s="1"/>
  <c r="E115" i="14"/>
  <c r="AX17" i="16" s="1"/>
  <c r="E107" i="14"/>
  <c r="AW37" i="16" s="1"/>
  <c r="E106" i="14"/>
  <c r="AW32" i="16" s="1"/>
  <c r="E105" i="14"/>
  <c r="AW30" i="16" s="1"/>
  <c r="E104" i="14"/>
  <c r="AW29" i="16" s="1"/>
  <c r="E103" i="14"/>
  <c r="AW24" i="16" s="1"/>
  <c r="E102" i="14"/>
  <c r="AW22" i="16" s="1"/>
  <c r="E101" i="14"/>
  <c r="AW20" i="16" s="1"/>
  <c r="E100" i="14"/>
  <c r="AW18" i="16" s="1"/>
  <c r="E99" i="14"/>
  <c r="AW17" i="16" s="1"/>
  <c r="E98" i="14"/>
  <c r="AW15" i="16" s="1"/>
  <c r="E97" i="14"/>
  <c r="AW14" i="16" s="1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18" i="14"/>
  <c r="E16" i="14"/>
  <c r="D19" i="14"/>
  <c r="E19" i="14" s="1"/>
  <c r="D18" i="14"/>
  <c r="D17" i="14"/>
  <c r="E17" i="14" s="1"/>
  <c r="D16" i="14"/>
  <c r="D15" i="14"/>
  <c r="D14" i="14"/>
  <c r="D13" i="14"/>
  <c r="E13" i="14" s="1"/>
  <c r="D12" i="14"/>
  <c r="D11" i="14"/>
  <c r="C119" i="14"/>
  <c r="C110" i="14"/>
  <c r="C92" i="14"/>
  <c r="C65" i="14"/>
  <c r="C32" i="14"/>
  <c r="C15" i="14"/>
  <c r="E15" i="14" s="1"/>
  <c r="C14" i="14"/>
  <c r="E14" i="14" s="1"/>
  <c r="C12" i="14"/>
  <c r="E12" i="14" s="1"/>
  <c r="C11" i="14"/>
  <c r="AI14" i="16" l="1"/>
  <c r="AI28" i="16"/>
  <c r="AL14" i="16"/>
  <c r="AL28" i="16"/>
  <c r="AN14" i="16"/>
  <c r="AJ14" i="16"/>
  <c r="AJ28" i="16"/>
  <c r="AN28" i="16"/>
  <c r="C22" i="14"/>
  <c r="E11" i="14"/>
  <c r="S12" i="14"/>
  <c r="BZ17" i="16" s="1"/>
  <c r="S13" i="14"/>
  <c r="BZ18" i="16" s="1"/>
  <c r="S14" i="14"/>
  <c r="BZ20" i="16" s="1"/>
  <c r="S15" i="14"/>
  <c r="BZ21" i="16" s="1"/>
  <c r="S16" i="14"/>
  <c r="BZ22" i="16" s="1"/>
  <c r="S17" i="14"/>
  <c r="BZ23" i="16" s="1"/>
  <c r="S18" i="14"/>
  <c r="BZ25" i="16" s="1"/>
  <c r="S19" i="14"/>
  <c r="BZ38" i="16" s="1"/>
  <c r="S40" i="14"/>
  <c r="CA14" i="16" s="1"/>
  <c r="S41" i="14"/>
  <c r="S42" i="14"/>
  <c r="CA17" i="16" s="1"/>
  <c r="S43" i="14"/>
  <c r="CA18" i="16" s="1"/>
  <c r="S44" i="14"/>
  <c r="CA19" i="16" s="1"/>
  <c r="S45" i="14"/>
  <c r="CA20" i="16" s="1"/>
  <c r="S46" i="14"/>
  <c r="CA21" i="16" s="1"/>
  <c r="S47" i="14"/>
  <c r="CA22" i="16" s="1"/>
  <c r="S48" i="14"/>
  <c r="CA23" i="16" s="1"/>
  <c r="S49" i="14"/>
  <c r="CA24" i="16" s="1"/>
  <c r="S50" i="14"/>
  <c r="CA25" i="16" s="1"/>
  <c r="S51" i="14"/>
  <c r="CA26" i="16" s="1"/>
  <c r="S52" i="14"/>
  <c r="CA27" i="16" s="1"/>
  <c r="S53" i="14"/>
  <c r="CA28" i="16" s="1"/>
  <c r="S54" i="14"/>
  <c r="CA30" i="16" s="1"/>
  <c r="S55" i="14"/>
  <c r="CA31" i="16" s="1"/>
  <c r="CF31" i="16" s="1"/>
  <c r="S56" i="14"/>
  <c r="CA32" i="16" s="1"/>
  <c r="S57" i="14"/>
  <c r="CA33" i="16" s="1"/>
  <c r="CF33" i="16" s="1"/>
  <c r="S58" i="14"/>
  <c r="CA34" i="16" s="1"/>
  <c r="CF34" i="16" s="1"/>
  <c r="S59" i="14"/>
  <c r="CA35" i="16" s="1"/>
  <c r="S60" i="14"/>
  <c r="CA36" i="16" s="1"/>
  <c r="CF36" i="16" s="1"/>
  <c r="S61" i="14"/>
  <c r="CA37" i="16" s="1"/>
  <c r="S62" i="14"/>
  <c r="CA38" i="16" s="1"/>
  <c r="S70" i="14"/>
  <c r="CC14" i="16" s="1"/>
  <c r="S71" i="14"/>
  <c r="CC15" i="16" s="1"/>
  <c r="S72" i="14"/>
  <c r="CC16" i="16" s="1"/>
  <c r="S73" i="14"/>
  <c r="CC17" i="16" s="1"/>
  <c r="S74" i="14"/>
  <c r="CC18" i="16" s="1"/>
  <c r="S75" i="14"/>
  <c r="CC19" i="16" s="1"/>
  <c r="S76" i="14"/>
  <c r="CC20" i="16" s="1"/>
  <c r="S77" i="14"/>
  <c r="CC21" i="16" s="1"/>
  <c r="S78" i="14"/>
  <c r="CC22" i="16" s="1"/>
  <c r="S79" i="14"/>
  <c r="CC23" i="16" s="1"/>
  <c r="S80" i="14"/>
  <c r="CC25" i="16" s="1"/>
  <c r="S81" i="14"/>
  <c r="CC26" i="16" s="1"/>
  <c r="S82" i="14"/>
  <c r="CC27" i="16" s="1"/>
  <c r="S83" i="14"/>
  <c r="CC28" i="16" s="1"/>
  <c r="S84" i="14"/>
  <c r="CC29" i="16" s="1"/>
  <c r="S85" i="14"/>
  <c r="CC30" i="16" s="1"/>
  <c r="S86" i="14"/>
  <c r="CC32" i="16" s="1"/>
  <c r="S87" i="14"/>
  <c r="CC35" i="16" s="1"/>
  <c r="S88" i="14"/>
  <c r="CC37" i="16" s="1"/>
  <c r="S89" i="14"/>
  <c r="CC38" i="16" s="1"/>
  <c r="S97" i="14"/>
  <c r="CD14" i="16" s="1"/>
  <c r="S98" i="14"/>
  <c r="CD15" i="16" s="1"/>
  <c r="S99" i="14"/>
  <c r="CD17" i="16" s="1"/>
  <c r="S100" i="14"/>
  <c r="CD18" i="16" s="1"/>
  <c r="S101" i="14"/>
  <c r="CD20" i="16" s="1"/>
  <c r="S102" i="14"/>
  <c r="CD22" i="16" s="1"/>
  <c r="S103" i="14"/>
  <c r="CD24" i="16" s="1"/>
  <c r="S104" i="14"/>
  <c r="CD29" i="16" s="1"/>
  <c r="S105" i="14"/>
  <c r="CD30" i="16" s="1"/>
  <c r="S106" i="14"/>
  <c r="CD32" i="16" s="1"/>
  <c r="S107" i="14"/>
  <c r="CD37" i="16" s="1"/>
  <c r="S115" i="14"/>
  <c r="CE17" i="16" s="1"/>
  <c r="S116" i="14"/>
  <c r="CE20" i="16" s="1"/>
  <c r="S92" i="14"/>
  <c r="AS41" i="16"/>
  <c r="AY18" i="16"/>
  <c r="AT41" i="16"/>
  <c r="AY14" i="16"/>
  <c r="AY17" i="16"/>
  <c r="AY19" i="16"/>
  <c r="AY21" i="16"/>
  <c r="AY23" i="16"/>
  <c r="AY25" i="16"/>
  <c r="AY27" i="16"/>
  <c r="AY30" i="16"/>
  <c r="AY32" i="16"/>
  <c r="AY34" i="16"/>
  <c r="AY36" i="16"/>
  <c r="AY38" i="16"/>
  <c r="AY16" i="16"/>
  <c r="AY20" i="16"/>
  <c r="AY22" i="16"/>
  <c r="AY24" i="16"/>
  <c r="AY26" i="16"/>
  <c r="AY28" i="16"/>
  <c r="AY31" i="16"/>
  <c r="AY33" i="16"/>
  <c r="AY37" i="16"/>
  <c r="AV41" i="16"/>
  <c r="AW41" i="16"/>
  <c r="AX41" i="16"/>
  <c r="AY35" i="16"/>
  <c r="AY29" i="16"/>
  <c r="AY15" i="16"/>
  <c r="C125" i="14"/>
  <c r="CE41" i="16" l="1"/>
  <c r="CF15" i="16"/>
  <c r="CF32" i="16"/>
  <c r="CF30" i="16"/>
  <c r="CF27" i="16"/>
  <c r="CF19" i="16"/>
  <c r="CF14" i="16"/>
  <c r="CF25" i="16"/>
  <c r="CF22" i="16"/>
  <c r="CF20" i="16"/>
  <c r="CF17" i="16"/>
  <c r="CD41" i="16"/>
  <c r="CF29" i="16"/>
  <c r="CC41" i="16"/>
  <c r="CF37" i="16"/>
  <c r="CF35" i="16"/>
  <c r="CF28" i="16"/>
  <c r="CF26" i="16"/>
  <c r="CF24" i="16"/>
  <c r="S65" i="14"/>
  <c r="CA16" i="16"/>
  <c r="CA41" i="16" s="1"/>
  <c r="CF38" i="16"/>
  <c r="CF23" i="16"/>
  <c r="CF21" i="16"/>
  <c r="CF18" i="16"/>
  <c r="S119" i="14"/>
  <c r="S110" i="14"/>
  <c r="S11" i="14"/>
  <c r="AY41" i="16"/>
  <c r="M125" i="17"/>
  <c r="G125" i="17"/>
  <c r="M118" i="17"/>
  <c r="G118" i="17"/>
  <c r="C117" i="17"/>
  <c r="I114" i="17"/>
  <c r="E114" i="17"/>
  <c r="J113" i="17"/>
  <c r="K113" i="17" s="1"/>
  <c r="I113" i="17"/>
  <c r="M109" i="17"/>
  <c r="G109" i="17"/>
  <c r="C108" i="17"/>
  <c r="I105" i="17"/>
  <c r="E105" i="17"/>
  <c r="I104" i="17"/>
  <c r="E104" i="17"/>
  <c r="J103" i="17"/>
  <c r="K103" i="17" s="1"/>
  <c r="I103" i="17"/>
  <c r="E103" i="17"/>
  <c r="J102" i="17"/>
  <c r="K102" i="17" s="1"/>
  <c r="I102" i="17"/>
  <c r="E102" i="17"/>
  <c r="J101" i="17"/>
  <c r="K101" i="17" s="1"/>
  <c r="I101" i="17"/>
  <c r="E101" i="17"/>
  <c r="I100" i="17"/>
  <c r="E100" i="17"/>
  <c r="I99" i="17"/>
  <c r="E99" i="17"/>
  <c r="I98" i="17"/>
  <c r="E98" i="17"/>
  <c r="J97" i="17"/>
  <c r="K97" i="17" s="1"/>
  <c r="I97" i="17"/>
  <c r="E97" i="17"/>
  <c r="J96" i="17"/>
  <c r="K96" i="17" s="1"/>
  <c r="I96" i="17"/>
  <c r="E96" i="17"/>
  <c r="J95" i="17"/>
  <c r="K95" i="17" s="1"/>
  <c r="I95" i="17"/>
  <c r="M91" i="17"/>
  <c r="G91" i="17"/>
  <c r="C90" i="17"/>
  <c r="I87" i="17"/>
  <c r="E87" i="17"/>
  <c r="I86" i="17"/>
  <c r="E86" i="17"/>
  <c r="I85" i="17"/>
  <c r="E85" i="17"/>
  <c r="I84" i="17"/>
  <c r="E84" i="17"/>
  <c r="J83" i="17"/>
  <c r="K83" i="17" s="1"/>
  <c r="I83" i="17"/>
  <c r="E83" i="17"/>
  <c r="J82" i="17"/>
  <c r="K82" i="17" s="1"/>
  <c r="I82" i="17"/>
  <c r="E82" i="17"/>
  <c r="J81" i="17"/>
  <c r="K81" i="17" s="1"/>
  <c r="I81" i="17"/>
  <c r="E81" i="17"/>
  <c r="J80" i="17"/>
  <c r="K80" i="17" s="1"/>
  <c r="I80" i="17"/>
  <c r="E80" i="17"/>
  <c r="J79" i="17"/>
  <c r="K79" i="17" s="1"/>
  <c r="I79" i="17"/>
  <c r="E79" i="17"/>
  <c r="J78" i="17"/>
  <c r="K78" i="17" s="1"/>
  <c r="I78" i="17"/>
  <c r="E78" i="17"/>
  <c r="J77" i="17"/>
  <c r="K77" i="17" s="1"/>
  <c r="I77" i="17"/>
  <c r="E77" i="17"/>
  <c r="I76" i="17"/>
  <c r="E76" i="17"/>
  <c r="J75" i="17"/>
  <c r="K75" i="17" s="1"/>
  <c r="I75" i="17"/>
  <c r="E75" i="17"/>
  <c r="I74" i="17"/>
  <c r="E74" i="17"/>
  <c r="J73" i="17"/>
  <c r="K73" i="17" s="1"/>
  <c r="I73" i="17"/>
  <c r="E73" i="17"/>
  <c r="I72" i="17"/>
  <c r="E72" i="17"/>
  <c r="J71" i="17"/>
  <c r="K71" i="17" s="1"/>
  <c r="I71" i="17"/>
  <c r="E71" i="17"/>
  <c r="J70" i="17"/>
  <c r="K70" i="17" s="1"/>
  <c r="I70" i="17"/>
  <c r="E70" i="17"/>
  <c r="J69" i="17"/>
  <c r="K69" i="17" s="1"/>
  <c r="I69" i="17"/>
  <c r="E69" i="17"/>
  <c r="J68" i="17"/>
  <c r="K68" i="17" s="1"/>
  <c r="I68" i="17"/>
  <c r="G68" i="17"/>
  <c r="E68" i="17"/>
  <c r="M64" i="17"/>
  <c r="G64" i="17"/>
  <c r="C63" i="17"/>
  <c r="J60" i="17"/>
  <c r="K60" i="17" s="1"/>
  <c r="I60" i="17"/>
  <c r="E60" i="17"/>
  <c r="I59" i="17"/>
  <c r="E59" i="17"/>
  <c r="J58" i="17"/>
  <c r="K58" i="17" s="1"/>
  <c r="I58" i="17"/>
  <c r="E58" i="17"/>
  <c r="J57" i="17"/>
  <c r="K57" i="17" s="1"/>
  <c r="I57" i="17"/>
  <c r="E57" i="17"/>
  <c r="M53" i="17"/>
  <c r="G53" i="17"/>
  <c r="C52" i="17"/>
  <c r="I49" i="17"/>
  <c r="E49" i="17"/>
  <c r="I48" i="17"/>
  <c r="E48" i="17"/>
  <c r="J47" i="17"/>
  <c r="K47" i="17" s="1"/>
  <c r="I47" i="17"/>
  <c r="E47" i="17"/>
  <c r="I46" i="17"/>
  <c r="E46" i="17"/>
  <c r="I45" i="17"/>
  <c r="E45" i="17"/>
  <c r="J44" i="17"/>
  <c r="K44" i="17" s="1"/>
  <c r="I44" i="17"/>
  <c r="E44" i="17"/>
  <c r="I43" i="17"/>
  <c r="E43" i="17"/>
  <c r="J42" i="17"/>
  <c r="K42" i="17" s="1"/>
  <c r="I42" i="17"/>
  <c r="E42" i="17"/>
  <c r="J41" i="17"/>
  <c r="K41" i="17" s="1"/>
  <c r="I41" i="17"/>
  <c r="E41" i="17"/>
  <c r="J40" i="17"/>
  <c r="K40" i="17" s="1"/>
  <c r="I40" i="17"/>
  <c r="E40" i="17"/>
  <c r="J39" i="17"/>
  <c r="K39" i="17" s="1"/>
  <c r="I39" i="17"/>
  <c r="E39" i="17"/>
  <c r="J38" i="17"/>
  <c r="K38" i="17" s="1"/>
  <c r="I38" i="17"/>
  <c r="E38" i="17"/>
  <c r="J37" i="17"/>
  <c r="K37" i="17" s="1"/>
  <c r="I37" i="17"/>
  <c r="E37" i="17"/>
  <c r="J36" i="17"/>
  <c r="K36" i="17" s="1"/>
  <c r="I36" i="17"/>
  <c r="E36" i="17"/>
  <c r="J35" i="17"/>
  <c r="K35" i="17" s="1"/>
  <c r="I35" i="17"/>
  <c r="E35" i="17"/>
  <c r="I34" i="17"/>
  <c r="E34" i="17"/>
  <c r="J33" i="17"/>
  <c r="K33" i="17" s="1"/>
  <c r="I33" i="17"/>
  <c r="E33" i="17"/>
  <c r="I32" i="17"/>
  <c r="E32" i="17"/>
  <c r="J31" i="17"/>
  <c r="K31" i="17" s="1"/>
  <c r="I31" i="17"/>
  <c r="E31" i="17"/>
  <c r="I30" i="17"/>
  <c r="E30" i="17"/>
  <c r="J29" i="17"/>
  <c r="K29" i="17" s="1"/>
  <c r="I29" i="17"/>
  <c r="E29" i="17"/>
  <c r="J28" i="17"/>
  <c r="K28" i="17" s="1"/>
  <c r="I28" i="17"/>
  <c r="E28" i="17"/>
  <c r="J27" i="17"/>
  <c r="K27" i="17" s="1"/>
  <c r="I27" i="17"/>
  <c r="E27" i="17"/>
  <c r="M23" i="17"/>
  <c r="G23" i="17"/>
  <c r="C22" i="17"/>
  <c r="I19" i="17"/>
  <c r="E19" i="17"/>
  <c r="J18" i="17"/>
  <c r="K18" i="17" s="1"/>
  <c r="I18" i="17"/>
  <c r="E18" i="17"/>
  <c r="J17" i="17"/>
  <c r="K17" i="17" s="1"/>
  <c r="I17" i="17"/>
  <c r="E17" i="17"/>
  <c r="I16" i="17"/>
  <c r="E16" i="17"/>
  <c r="J15" i="17"/>
  <c r="K15" i="17" s="1"/>
  <c r="I15" i="17"/>
  <c r="E15" i="17"/>
  <c r="I14" i="17"/>
  <c r="E14" i="17"/>
  <c r="I13" i="17"/>
  <c r="E13" i="17"/>
  <c r="J12" i="17"/>
  <c r="K12" i="17" s="1"/>
  <c r="I12" i="17"/>
  <c r="E12" i="17"/>
  <c r="J11" i="17"/>
  <c r="K11" i="17" s="1"/>
  <c r="I11" i="17"/>
  <c r="E11" i="17"/>
  <c r="M3" i="17"/>
  <c r="A3" i="17"/>
  <c r="M2" i="17"/>
  <c r="A2" i="17"/>
  <c r="M1" i="17"/>
  <c r="S22" i="14" l="1"/>
  <c r="BZ16" i="16"/>
  <c r="S125" i="14"/>
  <c r="C123" i="17"/>
  <c r="L36" i="12"/>
  <c r="M36" i="12" s="1"/>
  <c r="N36" i="12" s="1"/>
  <c r="CF16" i="16" l="1"/>
  <c r="CF41" i="16" s="1"/>
  <c r="BZ41" i="16"/>
  <c r="D64" i="11"/>
  <c r="D63" i="11"/>
  <c r="E119" i="14" l="1"/>
  <c r="K116" i="14"/>
  <c r="G116" i="14"/>
  <c r="L115" i="14"/>
  <c r="M115" i="14" s="1"/>
  <c r="K115" i="14"/>
  <c r="AN3" i="16" l="1"/>
  <c r="A3" i="16"/>
  <c r="AN2" i="16"/>
  <c r="A2" i="16"/>
  <c r="AN1" i="16"/>
  <c r="H65" i="1"/>
  <c r="K12" i="16" s="1"/>
  <c r="U12" i="16"/>
  <c r="H50" i="1"/>
  <c r="AE12" i="16" s="1"/>
  <c r="S1" i="14"/>
  <c r="S3" i="14"/>
  <c r="A3" i="14"/>
  <c r="S2" i="14"/>
  <c r="A2" i="14"/>
  <c r="E92" i="14"/>
  <c r="E32" i="14"/>
  <c r="E65" i="14"/>
  <c r="E22" i="14"/>
  <c r="E110" i="14"/>
  <c r="J3" i="15"/>
  <c r="A3" i="15"/>
  <c r="J2" i="15"/>
  <c r="A2" i="15"/>
  <c r="J1" i="15"/>
  <c r="E12" i="15"/>
  <c r="I12" i="15"/>
  <c r="J12" i="15"/>
  <c r="E13" i="15"/>
  <c r="I13" i="15"/>
  <c r="J13" i="15" s="1"/>
  <c r="E14" i="15"/>
  <c r="I14" i="15"/>
  <c r="J14" i="15" s="1"/>
  <c r="E15" i="15"/>
  <c r="I15" i="15"/>
  <c r="J15" i="15" s="1"/>
  <c r="E16" i="15"/>
  <c r="H16" i="15"/>
  <c r="J16" i="15"/>
  <c r="E17" i="15"/>
  <c r="I17" i="15"/>
  <c r="J17" i="15"/>
  <c r="E18" i="15"/>
  <c r="H18" i="15"/>
  <c r="J18" i="15"/>
  <c r="E19" i="15"/>
  <c r="R29" i="14" s="1"/>
  <c r="I19" i="15"/>
  <c r="J19" i="15"/>
  <c r="E20" i="15"/>
  <c r="H20" i="15"/>
  <c r="J20" i="15"/>
  <c r="E21" i="15"/>
  <c r="I21" i="15"/>
  <c r="J21" i="15"/>
  <c r="E22" i="15"/>
  <c r="I22" i="15"/>
  <c r="J22" i="15" s="1"/>
  <c r="E23" i="15"/>
  <c r="I23" i="15"/>
  <c r="J23" i="15" s="1"/>
  <c r="E24" i="15"/>
  <c r="I24" i="15"/>
  <c r="J24" i="15" s="1"/>
  <c r="E25" i="15"/>
  <c r="I25" i="15"/>
  <c r="J25" i="15" s="1"/>
  <c r="E26" i="15"/>
  <c r="I26" i="15"/>
  <c r="J26" i="15" s="1"/>
  <c r="E27" i="15"/>
  <c r="I27" i="15"/>
  <c r="J27" i="15" s="1"/>
  <c r="E28" i="15"/>
  <c r="I28" i="15"/>
  <c r="J28" i="15" s="1"/>
  <c r="E29" i="15"/>
  <c r="I29" i="15"/>
  <c r="J29" i="15" s="1"/>
  <c r="E30" i="15"/>
  <c r="H30" i="15"/>
  <c r="J30" i="15"/>
  <c r="E31" i="15"/>
  <c r="I31" i="15"/>
  <c r="J31" i="15" s="1"/>
  <c r="E32" i="15"/>
  <c r="H32" i="15"/>
  <c r="J32" i="15"/>
  <c r="E33" i="15"/>
  <c r="I33" i="15"/>
  <c r="J33" i="15" s="1"/>
  <c r="N35" i="16" s="1"/>
  <c r="E34" i="15"/>
  <c r="I34" i="15"/>
  <c r="J34" i="15" s="1"/>
  <c r="L47" i="17" s="1"/>
  <c r="M47" i="17" s="1"/>
  <c r="E35" i="15"/>
  <c r="H35" i="15"/>
  <c r="J35" i="15"/>
  <c r="E36" i="15"/>
  <c r="H36" i="15"/>
  <c r="J36" i="15"/>
  <c r="G107" i="14"/>
  <c r="G106" i="14"/>
  <c r="G105" i="14"/>
  <c r="G104" i="14"/>
  <c r="G103" i="14"/>
  <c r="G102" i="14"/>
  <c r="G101" i="14"/>
  <c r="G100" i="14"/>
  <c r="G99" i="14"/>
  <c r="G98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29" i="14"/>
  <c r="G28" i="14"/>
  <c r="G27" i="14"/>
  <c r="G26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12" i="14"/>
  <c r="G13" i="14"/>
  <c r="G14" i="14"/>
  <c r="G15" i="14"/>
  <c r="G16" i="14"/>
  <c r="G17" i="14"/>
  <c r="G18" i="14"/>
  <c r="G19" i="14"/>
  <c r="G11" i="14"/>
  <c r="K107" i="14"/>
  <c r="K106" i="14"/>
  <c r="L105" i="14"/>
  <c r="M105" i="14" s="1"/>
  <c r="K105" i="14"/>
  <c r="L104" i="14"/>
  <c r="M104" i="14" s="1"/>
  <c r="K104" i="14"/>
  <c r="L103" i="14"/>
  <c r="M103" i="14" s="1"/>
  <c r="K103" i="14"/>
  <c r="K102" i="14"/>
  <c r="K101" i="14"/>
  <c r="K100" i="14"/>
  <c r="L99" i="14"/>
  <c r="M99" i="14" s="1"/>
  <c r="K99" i="14"/>
  <c r="L98" i="14"/>
  <c r="M98" i="14" s="1"/>
  <c r="K98" i="14"/>
  <c r="L97" i="14"/>
  <c r="M97" i="14" s="1"/>
  <c r="K97" i="14"/>
  <c r="K89" i="14"/>
  <c r="K88" i="14"/>
  <c r="K87" i="14"/>
  <c r="K86" i="14"/>
  <c r="L85" i="14"/>
  <c r="M85" i="14" s="1"/>
  <c r="K85" i="14"/>
  <c r="L84" i="14"/>
  <c r="M84" i="14" s="1"/>
  <c r="K84" i="14"/>
  <c r="L83" i="14"/>
  <c r="M83" i="14" s="1"/>
  <c r="K83" i="14"/>
  <c r="L82" i="14"/>
  <c r="M82" i="14" s="1"/>
  <c r="K82" i="14"/>
  <c r="L81" i="14"/>
  <c r="M81" i="14" s="1"/>
  <c r="K81" i="14"/>
  <c r="L80" i="14"/>
  <c r="M80" i="14" s="1"/>
  <c r="K80" i="14"/>
  <c r="L79" i="14"/>
  <c r="M79" i="14" s="1"/>
  <c r="K79" i="14"/>
  <c r="K78" i="14"/>
  <c r="L77" i="14"/>
  <c r="M77" i="14" s="1"/>
  <c r="K77" i="14"/>
  <c r="K76" i="14"/>
  <c r="L75" i="14"/>
  <c r="M75" i="14" s="1"/>
  <c r="K75" i="14"/>
  <c r="K74" i="14"/>
  <c r="L73" i="14"/>
  <c r="M73" i="14" s="1"/>
  <c r="K73" i="14"/>
  <c r="L72" i="14"/>
  <c r="M72" i="14" s="1"/>
  <c r="K72" i="14"/>
  <c r="L71" i="14"/>
  <c r="M71" i="14" s="1"/>
  <c r="K71" i="14"/>
  <c r="L70" i="14"/>
  <c r="M70" i="14" s="1"/>
  <c r="K70" i="14"/>
  <c r="L29" i="14"/>
  <c r="K29" i="14"/>
  <c r="K28" i="14"/>
  <c r="L27" i="14"/>
  <c r="K27" i="14"/>
  <c r="L26" i="14"/>
  <c r="K26" i="14"/>
  <c r="K62" i="14"/>
  <c r="K61" i="14"/>
  <c r="L60" i="14"/>
  <c r="M60" i="14" s="1"/>
  <c r="K60" i="14"/>
  <c r="K59" i="14"/>
  <c r="K58" i="14"/>
  <c r="L57" i="14"/>
  <c r="M57" i="14" s="1"/>
  <c r="K57" i="14"/>
  <c r="K56" i="14"/>
  <c r="L55" i="14"/>
  <c r="M55" i="14" s="1"/>
  <c r="K55" i="14"/>
  <c r="L54" i="14"/>
  <c r="M54" i="14" s="1"/>
  <c r="K54" i="14"/>
  <c r="L53" i="14"/>
  <c r="M53" i="14" s="1"/>
  <c r="K53" i="14"/>
  <c r="L52" i="14"/>
  <c r="M52" i="14" s="1"/>
  <c r="K52" i="14"/>
  <c r="L51" i="14"/>
  <c r="M51" i="14" s="1"/>
  <c r="K51" i="14"/>
  <c r="L50" i="14"/>
  <c r="M50" i="14" s="1"/>
  <c r="K50" i="14"/>
  <c r="L49" i="14"/>
  <c r="M49" i="14" s="1"/>
  <c r="K49" i="14"/>
  <c r="L48" i="14"/>
  <c r="M48" i="14" s="1"/>
  <c r="K48" i="14"/>
  <c r="K47" i="14"/>
  <c r="L46" i="14"/>
  <c r="M46" i="14" s="1"/>
  <c r="K46" i="14"/>
  <c r="K45" i="14"/>
  <c r="L44" i="14"/>
  <c r="M44" i="14" s="1"/>
  <c r="K44" i="14"/>
  <c r="K43" i="14"/>
  <c r="L42" i="14"/>
  <c r="M42" i="14" s="1"/>
  <c r="K42" i="14"/>
  <c r="L41" i="14"/>
  <c r="M41" i="14" s="1"/>
  <c r="K41" i="14"/>
  <c r="L40" i="14"/>
  <c r="M40" i="14" s="1"/>
  <c r="K40" i="14"/>
  <c r="K19" i="14"/>
  <c r="L18" i="14"/>
  <c r="M18" i="14" s="1"/>
  <c r="K18" i="14"/>
  <c r="L17" i="14"/>
  <c r="M17" i="14" s="1"/>
  <c r="K17" i="14"/>
  <c r="K16" i="14"/>
  <c r="L15" i="14"/>
  <c r="M15" i="14" s="1"/>
  <c r="K15" i="14"/>
  <c r="K14" i="14"/>
  <c r="K13" i="14"/>
  <c r="L12" i="14"/>
  <c r="M12" i="14" s="1"/>
  <c r="K12" i="14"/>
  <c r="K11" i="14"/>
  <c r="L11" i="14"/>
  <c r="M11" i="14" s="1"/>
  <c r="O127" i="14"/>
  <c r="I127" i="14"/>
  <c r="S33" i="14" s="1"/>
  <c r="I70" i="14"/>
  <c r="H75" i="14"/>
  <c r="H43" i="14"/>
  <c r="H41" i="14"/>
  <c r="H97" i="14"/>
  <c r="H60" i="14"/>
  <c r="H87" i="14"/>
  <c r="H57" i="14"/>
  <c r="H55" i="14"/>
  <c r="AO38" i="16" l="1"/>
  <c r="AO15" i="16"/>
  <c r="AO19" i="16"/>
  <c r="AO23" i="16"/>
  <c r="AO27" i="16"/>
  <c r="AO31" i="16"/>
  <c r="AO35" i="16"/>
  <c r="AO17" i="16"/>
  <c r="AO21" i="16"/>
  <c r="AO25" i="16"/>
  <c r="AO29" i="16"/>
  <c r="AO33" i="16"/>
  <c r="AO37" i="16"/>
  <c r="AO14" i="16"/>
  <c r="AO18" i="16"/>
  <c r="AO22" i="16"/>
  <c r="AO26" i="16"/>
  <c r="AO30" i="16"/>
  <c r="AO34" i="16"/>
  <c r="AO16" i="16"/>
  <c r="AO20" i="16"/>
  <c r="AO24" i="16"/>
  <c r="AO28" i="16"/>
  <c r="AO32" i="16"/>
  <c r="AO36" i="16"/>
  <c r="M26" i="14"/>
  <c r="Q26" i="14"/>
  <c r="M27" i="14"/>
  <c r="Q27" i="14"/>
  <c r="E125" i="14"/>
  <c r="M29" i="14"/>
  <c r="Q29" i="14"/>
  <c r="N29" i="16"/>
  <c r="L102" i="17"/>
  <c r="M102" i="17" s="1"/>
  <c r="L82" i="17"/>
  <c r="M82" i="17" s="1"/>
  <c r="N38" i="16"/>
  <c r="L19" i="17"/>
  <c r="L87" i="17"/>
  <c r="L49" i="17"/>
  <c r="D38" i="16"/>
  <c r="F19" i="17"/>
  <c r="G19" i="17" s="1"/>
  <c r="F87" i="17"/>
  <c r="G87" i="17" s="1"/>
  <c r="F49" i="17"/>
  <c r="G49" i="17" s="1"/>
  <c r="J86" i="17"/>
  <c r="K86" i="17" s="1"/>
  <c r="J48" i="17"/>
  <c r="K48" i="17" s="1"/>
  <c r="J105" i="17"/>
  <c r="K105" i="17" s="1"/>
  <c r="N34" i="16"/>
  <c r="L85" i="17"/>
  <c r="L46" i="17"/>
  <c r="L45" i="17"/>
  <c r="D34" i="16"/>
  <c r="F85" i="17"/>
  <c r="G85" i="17" s="1"/>
  <c r="F46" i="17"/>
  <c r="G46" i="17" s="1"/>
  <c r="F45" i="17"/>
  <c r="G45" i="17" s="1"/>
  <c r="D33" i="16"/>
  <c r="F44" i="17"/>
  <c r="G44" i="17" s="1"/>
  <c r="J104" i="17"/>
  <c r="K104" i="17" s="1"/>
  <c r="J84" i="17"/>
  <c r="K84" i="17" s="1"/>
  <c r="J43" i="17"/>
  <c r="K43" i="17" s="1"/>
  <c r="N55" i="14"/>
  <c r="L42" i="17"/>
  <c r="M42" i="17" s="1"/>
  <c r="N30" i="16"/>
  <c r="L103" i="17"/>
  <c r="M103" i="17" s="1"/>
  <c r="L83" i="17"/>
  <c r="M83" i="17" s="1"/>
  <c r="L41" i="17"/>
  <c r="M41" i="17" s="1"/>
  <c r="D29" i="16"/>
  <c r="F102" i="17"/>
  <c r="G102" i="17" s="1"/>
  <c r="F82" i="17"/>
  <c r="G82" i="17" s="1"/>
  <c r="D28" i="16"/>
  <c r="F81" i="17"/>
  <c r="G81" i="17" s="1"/>
  <c r="F40" i="17"/>
  <c r="G40" i="17" s="1"/>
  <c r="D27" i="16"/>
  <c r="F80" i="17"/>
  <c r="G80" i="17" s="1"/>
  <c r="F39" i="17"/>
  <c r="G39" i="17" s="1"/>
  <c r="D26" i="16"/>
  <c r="F79" i="17"/>
  <c r="G79" i="17" s="1"/>
  <c r="F38" i="17"/>
  <c r="G38" i="17" s="1"/>
  <c r="D25" i="16"/>
  <c r="F78" i="17"/>
  <c r="G78" i="17" s="1"/>
  <c r="F37" i="17"/>
  <c r="G37" i="17" s="1"/>
  <c r="F18" i="17"/>
  <c r="G18" i="17" s="1"/>
  <c r="D24" i="16"/>
  <c r="F101" i="17"/>
  <c r="G101" i="17" s="1"/>
  <c r="F36" i="17"/>
  <c r="G36" i="17" s="1"/>
  <c r="N22" i="16"/>
  <c r="L100" i="17"/>
  <c r="L76" i="17"/>
  <c r="L34" i="17"/>
  <c r="L16" i="17"/>
  <c r="D22" i="16"/>
  <c r="F100" i="17"/>
  <c r="G100" i="17" s="1"/>
  <c r="F76" i="17"/>
  <c r="G76" i="17" s="1"/>
  <c r="F34" i="17"/>
  <c r="G34" i="17" s="1"/>
  <c r="F16" i="17"/>
  <c r="G16" i="17" s="1"/>
  <c r="N20" i="16"/>
  <c r="L114" i="17"/>
  <c r="L99" i="17"/>
  <c r="L74" i="17"/>
  <c r="L59" i="17"/>
  <c r="L32" i="17"/>
  <c r="L14" i="17"/>
  <c r="N116" i="14"/>
  <c r="D20" i="16"/>
  <c r="F114" i="17"/>
  <c r="G114" i="17" s="1"/>
  <c r="F99" i="17"/>
  <c r="G99" i="17" s="1"/>
  <c r="F74" i="17"/>
  <c r="G74" i="17" s="1"/>
  <c r="F59" i="17"/>
  <c r="G59" i="17" s="1"/>
  <c r="F32" i="17"/>
  <c r="G32" i="17" s="1"/>
  <c r="F14" i="17"/>
  <c r="G14" i="17" s="1"/>
  <c r="H116" i="14"/>
  <c r="I116" i="14" s="1"/>
  <c r="N18" i="16"/>
  <c r="L98" i="17"/>
  <c r="L72" i="17"/>
  <c r="L30" i="17"/>
  <c r="L13" i="17"/>
  <c r="D18" i="16"/>
  <c r="F98" i="17"/>
  <c r="G98" i="17" s="1"/>
  <c r="F72" i="17"/>
  <c r="G72" i="17" s="1"/>
  <c r="F30" i="17"/>
  <c r="G30" i="17" s="1"/>
  <c r="F13" i="17"/>
  <c r="G13" i="17" s="1"/>
  <c r="D17" i="16"/>
  <c r="F113" i="17"/>
  <c r="G113" i="17" s="1"/>
  <c r="G117" i="17" s="1"/>
  <c r="G119" i="17" s="1"/>
  <c r="F97" i="17"/>
  <c r="G97" i="17" s="1"/>
  <c r="F71" i="17"/>
  <c r="G71" i="17" s="1"/>
  <c r="F58" i="17"/>
  <c r="G58" i="17" s="1"/>
  <c r="F29" i="17"/>
  <c r="G29" i="17" s="1"/>
  <c r="F12" i="17"/>
  <c r="G12" i="17" s="1"/>
  <c r="H115" i="14"/>
  <c r="I115" i="14" s="1"/>
  <c r="I119" i="14" s="1"/>
  <c r="G64" i="1" s="1"/>
  <c r="D16" i="16"/>
  <c r="F57" i="17"/>
  <c r="G57" i="17" s="1"/>
  <c r="F70" i="17"/>
  <c r="G70" i="17" s="1"/>
  <c r="F28" i="17"/>
  <c r="G28" i="17" s="1"/>
  <c r="F11" i="17"/>
  <c r="G11" i="17" s="1"/>
  <c r="D15" i="16"/>
  <c r="F96" i="17"/>
  <c r="G96" i="17" s="1"/>
  <c r="F69" i="17"/>
  <c r="G69" i="17" s="1"/>
  <c r="J87" i="17"/>
  <c r="K87" i="17" s="1"/>
  <c r="J49" i="17"/>
  <c r="K49" i="17" s="1"/>
  <c r="J19" i="17"/>
  <c r="K19" i="17" s="1"/>
  <c r="M19" i="17" s="1"/>
  <c r="N37" i="16"/>
  <c r="L105" i="17"/>
  <c r="M105" i="17" s="1"/>
  <c r="L86" i="17"/>
  <c r="M86" i="17" s="1"/>
  <c r="L48" i="17"/>
  <c r="M48" i="17" s="1"/>
  <c r="D37" i="16"/>
  <c r="F105" i="17"/>
  <c r="G105" i="17" s="1"/>
  <c r="F86" i="17"/>
  <c r="G86" i="17" s="1"/>
  <c r="F48" i="17"/>
  <c r="G48" i="17" s="1"/>
  <c r="D36" i="16"/>
  <c r="F47" i="17"/>
  <c r="G47" i="17" s="1"/>
  <c r="D35" i="16"/>
  <c r="J85" i="17"/>
  <c r="K85" i="17" s="1"/>
  <c r="J46" i="17"/>
  <c r="K46" i="17" s="1"/>
  <c r="J45" i="17"/>
  <c r="K45" i="17" s="1"/>
  <c r="N57" i="14"/>
  <c r="O57" i="14" s="1"/>
  <c r="BJ33" i="16" s="1"/>
  <c r="L44" i="17"/>
  <c r="M44" i="17" s="1"/>
  <c r="N32" i="16"/>
  <c r="L104" i="17"/>
  <c r="M104" i="17" s="1"/>
  <c r="L84" i="17"/>
  <c r="M84" i="17" s="1"/>
  <c r="L43" i="17"/>
  <c r="M43" i="17" s="1"/>
  <c r="D32" i="16"/>
  <c r="F104" i="17"/>
  <c r="G104" i="17" s="1"/>
  <c r="F84" i="17"/>
  <c r="G84" i="17" s="1"/>
  <c r="F43" i="17"/>
  <c r="G43" i="17" s="1"/>
  <c r="D31" i="16"/>
  <c r="F42" i="17"/>
  <c r="G42" i="17" s="1"/>
  <c r="D30" i="16"/>
  <c r="F103" i="17"/>
  <c r="G103" i="17" s="1"/>
  <c r="F83" i="17"/>
  <c r="G83" i="17" s="1"/>
  <c r="F41" i="17"/>
  <c r="G41" i="17" s="1"/>
  <c r="N28" i="16"/>
  <c r="L81" i="17"/>
  <c r="M81" i="17" s="1"/>
  <c r="L40" i="17"/>
  <c r="M40" i="17" s="1"/>
  <c r="N27" i="16"/>
  <c r="L80" i="17"/>
  <c r="M80" i="17" s="1"/>
  <c r="L39" i="17"/>
  <c r="M39" i="17" s="1"/>
  <c r="N26" i="16"/>
  <c r="L79" i="17"/>
  <c r="M79" i="17" s="1"/>
  <c r="L38" i="17"/>
  <c r="M38" i="17" s="1"/>
  <c r="N25" i="16"/>
  <c r="L18" i="17"/>
  <c r="M18" i="17" s="1"/>
  <c r="L78" i="17"/>
  <c r="M78" i="17" s="1"/>
  <c r="L37" i="17"/>
  <c r="M37" i="17" s="1"/>
  <c r="N24" i="16"/>
  <c r="L101" i="17"/>
  <c r="M101" i="17" s="1"/>
  <c r="L36" i="17"/>
  <c r="M36" i="17" s="1"/>
  <c r="N23" i="16"/>
  <c r="L77" i="17"/>
  <c r="M77" i="17" s="1"/>
  <c r="L35" i="17"/>
  <c r="M35" i="17" s="1"/>
  <c r="L17" i="17"/>
  <c r="M17" i="17" s="1"/>
  <c r="D23" i="16"/>
  <c r="F77" i="17"/>
  <c r="G77" i="17" s="1"/>
  <c r="F35" i="17"/>
  <c r="G35" i="17" s="1"/>
  <c r="F17" i="17"/>
  <c r="G17" i="17" s="1"/>
  <c r="J100" i="17"/>
  <c r="K100" i="17" s="1"/>
  <c r="J76" i="17"/>
  <c r="K76" i="17" s="1"/>
  <c r="J34" i="17"/>
  <c r="K34" i="17" s="1"/>
  <c r="J16" i="17"/>
  <c r="K16" i="17" s="1"/>
  <c r="M16" i="17" s="1"/>
  <c r="N21" i="16"/>
  <c r="L75" i="17"/>
  <c r="M75" i="17" s="1"/>
  <c r="L60" i="17"/>
  <c r="M60" i="17" s="1"/>
  <c r="L33" i="17"/>
  <c r="M33" i="17" s="1"/>
  <c r="L15" i="17"/>
  <c r="M15" i="17" s="1"/>
  <c r="D21" i="16"/>
  <c r="F75" i="17"/>
  <c r="G75" i="17" s="1"/>
  <c r="F60" i="17"/>
  <c r="G60" i="17" s="1"/>
  <c r="F33" i="17"/>
  <c r="G33" i="17" s="1"/>
  <c r="F15" i="17"/>
  <c r="G15" i="17" s="1"/>
  <c r="J99" i="17"/>
  <c r="K99" i="17" s="1"/>
  <c r="J74" i="17"/>
  <c r="K74" i="17" s="1"/>
  <c r="J59" i="17"/>
  <c r="K59" i="17" s="1"/>
  <c r="J32" i="17"/>
  <c r="K32" i="17" s="1"/>
  <c r="J114" i="17"/>
  <c r="K114" i="17" s="1"/>
  <c r="J14" i="17"/>
  <c r="K14" i="17" s="1"/>
  <c r="M14" i="17" s="1"/>
  <c r="L116" i="14"/>
  <c r="M116" i="14" s="1"/>
  <c r="N19" i="16"/>
  <c r="L73" i="17"/>
  <c r="M73" i="17" s="1"/>
  <c r="L31" i="17"/>
  <c r="M31" i="17" s="1"/>
  <c r="D19" i="16"/>
  <c r="F73" i="17"/>
  <c r="G73" i="17" s="1"/>
  <c r="F31" i="17"/>
  <c r="G31" i="17" s="1"/>
  <c r="J98" i="17"/>
  <c r="K98" i="17" s="1"/>
  <c r="J72" i="17"/>
  <c r="K72" i="17" s="1"/>
  <c r="J30" i="17"/>
  <c r="K30" i="17" s="1"/>
  <c r="J13" i="17"/>
  <c r="K13" i="17" s="1"/>
  <c r="M13" i="17" s="1"/>
  <c r="N17" i="16"/>
  <c r="L113" i="17"/>
  <c r="M113" i="17" s="1"/>
  <c r="L97" i="17"/>
  <c r="M97" i="17" s="1"/>
  <c r="L71" i="17"/>
  <c r="M71" i="17" s="1"/>
  <c r="L58" i="17"/>
  <c r="M58" i="17" s="1"/>
  <c r="L29" i="17"/>
  <c r="M29" i="17" s="1"/>
  <c r="L12" i="17"/>
  <c r="M12" i="17" s="1"/>
  <c r="N115" i="14"/>
  <c r="O115" i="14" s="1"/>
  <c r="BN17" i="16" s="1"/>
  <c r="N16" i="16"/>
  <c r="L70" i="17"/>
  <c r="M70" i="17" s="1"/>
  <c r="L57" i="17"/>
  <c r="M57" i="17" s="1"/>
  <c r="L28" i="17"/>
  <c r="M28" i="17" s="1"/>
  <c r="L11" i="17"/>
  <c r="M11" i="17" s="1"/>
  <c r="N15" i="16"/>
  <c r="L96" i="17"/>
  <c r="M96" i="17" s="1"/>
  <c r="L69" i="17"/>
  <c r="M69" i="17" s="1"/>
  <c r="N14" i="16"/>
  <c r="L95" i="17"/>
  <c r="M95" i="17" s="1"/>
  <c r="L68" i="17"/>
  <c r="M68" i="17" s="1"/>
  <c r="L27" i="17"/>
  <c r="M27" i="17" s="1"/>
  <c r="D14" i="16"/>
  <c r="F95" i="17"/>
  <c r="G95" i="17" s="1"/>
  <c r="G108" i="17" s="1"/>
  <c r="F27" i="17"/>
  <c r="G27" i="17" s="1"/>
  <c r="U37" i="16"/>
  <c r="U35" i="16"/>
  <c r="U33" i="16"/>
  <c r="U31" i="16"/>
  <c r="U29" i="16"/>
  <c r="U27" i="16"/>
  <c r="U25" i="16"/>
  <c r="U23" i="16"/>
  <c r="U21" i="16"/>
  <c r="U19" i="16"/>
  <c r="U17" i="16"/>
  <c r="U15" i="16"/>
  <c r="U38" i="16"/>
  <c r="U36" i="16"/>
  <c r="U34" i="16"/>
  <c r="U32" i="16"/>
  <c r="U30" i="16"/>
  <c r="U28" i="16"/>
  <c r="U26" i="16"/>
  <c r="U24" i="16"/>
  <c r="U22" i="16"/>
  <c r="U20" i="16"/>
  <c r="U18" i="16"/>
  <c r="U16" i="16"/>
  <c r="U14" i="16"/>
  <c r="K38" i="16"/>
  <c r="K36" i="16"/>
  <c r="K34" i="16"/>
  <c r="K32" i="16"/>
  <c r="K30" i="16"/>
  <c r="K28" i="16"/>
  <c r="K26" i="16"/>
  <c r="K24" i="16"/>
  <c r="K22" i="16"/>
  <c r="K20" i="16"/>
  <c r="K18" i="16"/>
  <c r="K16" i="16"/>
  <c r="K14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O23" i="14"/>
  <c r="O120" i="14"/>
  <c r="I23" i="14"/>
  <c r="I120" i="14"/>
  <c r="N36" i="16"/>
  <c r="N60" i="14"/>
  <c r="N33" i="16"/>
  <c r="N31" i="16"/>
  <c r="I111" i="14"/>
  <c r="I93" i="14"/>
  <c r="I33" i="14"/>
  <c r="I66" i="14"/>
  <c r="O111" i="14"/>
  <c r="O93" i="14"/>
  <c r="O33" i="14"/>
  <c r="O66" i="14"/>
  <c r="O55" i="14"/>
  <c r="BJ31" i="16" s="1"/>
  <c r="H17" i="14"/>
  <c r="I17" i="14" s="1"/>
  <c r="H79" i="14"/>
  <c r="I79" i="14" s="1"/>
  <c r="H48" i="14"/>
  <c r="I48" i="14" s="1"/>
  <c r="H101" i="14"/>
  <c r="I101" i="14" s="1"/>
  <c r="H76" i="14"/>
  <c r="I76" i="14" s="1"/>
  <c r="H28" i="14"/>
  <c r="I28" i="14" s="1"/>
  <c r="H14" i="14"/>
  <c r="I14" i="14" s="1"/>
  <c r="H78" i="14"/>
  <c r="I78" i="14" s="1"/>
  <c r="H47" i="14"/>
  <c r="I47" i="14" s="1"/>
  <c r="H102" i="14"/>
  <c r="I102" i="14" s="1"/>
  <c r="H16" i="14"/>
  <c r="I16" i="14" s="1"/>
  <c r="H103" i="14"/>
  <c r="H49" i="14"/>
  <c r="I49" i="14" s="1"/>
  <c r="H51" i="14"/>
  <c r="I51" i="14" s="1"/>
  <c r="H81" i="14"/>
  <c r="H53" i="14"/>
  <c r="I53" i="14" s="1"/>
  <c r="H83" i="14"/>
  <c r="I83" i="14" s="1"/>
  <c r="H105" i="14"/>
  <c r="I105" i="14" s="1"/>
  <c r="H85" i="14"/>
  <c r="I85" i="14" s="1"/>
  <c r="H54" i="14"/>
  <c r="I54" i="14" s="1"/>
  <c r="H86" i="14"/>
  <c r="I86" i="14" s="1"/>
  <c r="H106" i="14"/>
  <c r="I106" i="14" s="1"/>
  <c r="H19" i="14"/>
  <c r="I19" i="14" s="1"/>
  <c r="H89" i="14"/>
  <c r="I89" i="14" s="1"/>
  <c r="H98" i="14"/>
  <c r="I98" i="14" s="1"/>
  <c r="H71" i="14"/>
  <c r="I71" i="14" s="1"/>
  <c r="H99" i="14"/>
  <c r="I99" i="14" s="1"/>
  <c r="H27" i="14"/>
  <c r="I27" i="14" s="1"/>
  <c r="H73" i="14"/>
  <c r="H12" i="14"/>
  <c r="I12" i="14" s="1"/>
  <c r="N72" i="14"/>
  <c r="O72" i="14" s="1"/>
  <c r="BL16" i="16" s="1"/>
  <c r="N26" i="14"/>
  <c r="O26" i="14" s="1"/>
  <c r="S26" i="14" s="1"/>
  <c r="N11" i="14"/>
  <c r="O11" i="14" s="1"/>
  <c r="BI16" i="16" s="1"/>
  <c r="N41" i="14"/>
  <c r="O41" i="14" s="1"/>
  <c r="BJ16" i="16" s="1"/>
  <c r="N74" i="14"/>
  <c r="N13" i="14"/>
  <c r="N100" i="14"/>
  <c r="N43" i="14"/>
  <c r="N101" i="14"/>
  <c r="N76" i="14"/>
  <c r="N28" i="14"/>
  <c r="N45" i="14"/>
  <c r="N14" i="14"/>
  <c r="N78" i="14"/>
  <c r="N102" i="14"/>
  <c r="N47" i="14"/>
  <c r="N16" i="14"/>
  <c r="N103" i="14"/>
  <c r="O103" i="14" s="1"/>
  <c r="BM24" i="16" s="1"/>
  <c r="N49" i="14"/>
  <c r="N81" i="14"/>
  <c r="O81" i="14" s="1"/>
  <c r="BL26" i="16" s="1"/>
  <c r="N51" i="14"/>
  <c r="O51" i="14" s="1"/>
  <c r="BJ26" i="16" s="1"/>
  <c r="N83" i="14"/>
  <c r="N53" i="14"/>
  <c r="O53" i="14" s="1"/>
  <c r="BJ28" i="16" s="1"/>
  <c r="N105" i="14"/>
  <c r="O105" i="14" s="1"/>
  <c r="BM30" i="16" s="1"/>
  <c r="N54" i="14"/>
  <c r="O54" i="14" s="1"/>
  <c r="BJ30" i="16" s="1"/>
  <c r="N85" i="14"/>
  <c r="O85" i="14" s="1"/>
  <c r="BL30" i="16" s="1"/>
  <c r="N86" i="14"/>
  <c r="N56" i="14"/>
  <c r="N106" i="14"/>
  <c r="N59" i="14"/>
  <c r="N87" i="14"/>
  <c r="N58" i="14"/>
  <c r="N19" i="14"/>
  <c r="N89" i="14"/>
  <c r="N62" i="14"/>
  <c r="L45" i="14"/>
  <c r="M45" i="14" s="1"/>
  <c r="L14" i="14"/>
  <c r="M14" i="14" s="1"/>
  <c r="L101" i="14"/>
  <c r="M101" i="14" s="1"/>
  <c r="L76" i="14"/>
  <c r="M76" i="14" s="1"/>
  <c r="L28" i="14"/>
  <c r="L106" i="14"/>
  <c r="M106" i="14" s="1"/>
  <c r="O106" i="14" s="1"/>
  <c r="BM32" i="16" s="1"/>
  <c r="L86" i="14"/>
  <c r="M86" i="14" s="1"/>
  <c r="L56" i="14"/>
  <c r="M56" i="14" s="1"/>
  <c r="L107" i="14"/>
  <c r="M107" i="14" s="1"/>
  <c r="L88" i="14"/>
  <c r="M88" i="14" s="1"/>
  <c r="L61" i="14"/>
  <c r="M61" i="14" s="1"/>
  <c r="H45" i="14"/>
  <c r="H62" i="14"/>
  <c r="I62" i="14" s="1"/>
  <c r="H58" i="14"/>
  <c r="I58" i="14" s="1"/>
  <c r="H56" i="14"/>
  <c r="I56" i="14" s="1"/>
  <c r="H29" i="14"/>
  <c r="I29" i="14" s="1"/>
  <c r="H15" i="14"/>
  <c r="I15" i="14" s="1"/>
  <c r="H77" i="14"/>
  <c r="H46" i="14"/>
  <c r="I46" i="14" s="1"/>
  <c r="H80" i="14"/>
  <c r="H18" i="14"/>
  <c r="I18" i="14" s="1"/>
  <c r="H50" i="14"/>
  <c r="I50" i="14" s="1"/>
  <c r="H82" i="14"/>
  <c r="I82" i="14" s="1"/>
  <c r="H52" i="14"/>
  <c r="H84" i="14"/>
  <c r="I84" i="14" s="1"/>
  <c r="H104" i="14"/>
  <c r="H107" i="14"/>
  <c r="I107" i="14" s="1"/>
  <c r="H88" i="14"/>
  <c r="I88" i="14" s="1"/>
  <c r="H72" i="14"/>
  <c r="I72" i="14" s="1"/>
  <c r="H11" i="14"/>
  <c r="I11" i="14" s="1"/>
  <c r="H26" i="14"/>
  <c r="I26" i="14" s="1"/>
  <c r="H74" i="14"/>
  <c r="I74" i="14" s="1"/>
  <c r="H13" i="14"/>
  <c r="I13" i="14" s="1"/>
  <c r="H100" i="14"/>
  <c r="I100" i="14" s="1"/>
  <c r="N97" i="14"/>
  <c r="O97" i="14" s="1"/>
  <c r="BM14" i="16" s="1"/>
  <c r="N70" i="14"/>
  <c r="O70" i="14" s="1"/>
  <c r="BL14" i="16" s="1"/>
  <c r="N40" i="14"/>
  <c r="O40" i="14" s="1"/>
  <c r="BJ14" i="16" s="1"/>
  <c r="N99" i="14"/>
  <c r="O99" i="14" s="1"/>
  <c r="BM17" i="16" s="1"/>
  <c r="N42" i="14"/>
  <c r="N73" i="14"/>
  <c r="N27" i="14"/>
  <c r="O27" i="14" s="1"/>
  <c r="S27" i="14" s="1"/>
  <c r="N12" i="14"/>
  <c r="O12" i="14" s="1"/>
  <c r="BI17" i="16" s="1"/>
  <c r="N44" i="14"/>
  <c r="O44" i="14" s="1"/>
  <c r="BJ19" i="16" s="1"/>
  <c r="N75" i="14"/>
  <c r="O75" i="14" s="1"/>
  <c r="BL19" i="16" s="1"/>
  <c r="N46" i="14"/>
  <c r="O46" i="14" s="1"/>
  <c r="BJ21" i="16" s="1"/>
  <c r="N15" i="14"/>
  <c r="O15" i="14" s="1"/>
  <c r="BI21" i="16" s="1"/>
  <c r="N77" i="14"/>
  <c r="O77" i="14" s="1"/>
  <c r="BL21" i="16" s="1"/>
  <c r="N29" i="14"/>
  <c r="O29" i="14" s="1"/>
  <c r="S29" i="14" s="1"/>
  <c r="N48" i="14"/>
  <c r="O48" i="14" s="1"/>
  <c r="BJ23" i="16" s="1"/>
  <c r="N17" i="14"/>
  <c r="O17" i="14" s="1"/>
  <c r="BI23" i="16" s="1"/>
  <c r="N79" i="14"/>
  <c r="O79" i="14" s="1"/>
  <c r="BL23" i="16" s="1"/>
  <c r="N80" i="14"/>
  <c r="N50" i="14"/>
  <c r="O50" i="14" s="1"/>
  <c r="BJ25" i="16" s="1"/>
  <c r="N18" i="14"/>
  <c r="O18" i="14" s="1"/>
  <c r="BI25" i="16" s="1"/>
  <c r="N82" i="14"/>
  <c r="O82" i="14" s="1"/>
  <c r="BL27" i="16" s="1"/>
  <c r="N52" i="14"/>
  <c r="N84" i="14"/>
  <c r="O84" i="14" s="1"/>
  <c r="BL29" i="16" s="1"/>
  <c r="N104" i="14"/>
  <c r="N107" i="14"/>
  <c r="O107" i="14" s="1"/>
  <c r="BM37" i="16" s="1"/>
  <c r="N88" i="14"/>
  <c r="O88" i="14" s="1"/>
  <c r="BL37" i="16" s="1"/>
  <c r="N61" i="14"/>
  <c r="O61" i="14" s="1"/>
  <c r="BJ37" i="16" s="1"/>
  <c r="L100" i="14"/>
  <c r="M100" i="14" s="1"/>
  <c r="O100" i="14" s="1"/>
  <c r="BM18" i="16" s="1"/>
  <c r="L43" i="14"/>
  <c r="M43" i="14" s="1"/>
  <c r="L74" i="14"/>
  <c r="M74" i="14" s="1"/>
  <c r="L13" i="14"/>
  <c r="M13" i="14" s="1"/>
  <c r="L102" i="14"/>
  <c r="M102" i="14" s="1"/>
  <c r="O102" i="14" s="1"/>
  <c r="BM22" i="16" s="1"/>
  <c r="L47" i="14"/>
  <c r="M47" i="14" s="1"/>
  <c r="L16" i="14"/>
  <c r="M16" i="14" s="1"/>
  <c r="L78" i="14"/>
  <c r="M78" i="14" s="1"/>
  <c r="L87" i="14"/>
  <c r="M87" i="14" s="1"/>
  <c r="O87" i="14" s="1"/>
  <c r="BL35" i="16" s="1"/>
  <c r="L59" i="14"/>
  <c r="M59" i="14" s="1"/>
  <c r="L58" i="14"/>
  <c r="M58" i="14" s="1"/>
  <c r="L89" i="14"/>
  <c r="M89" i="14" s="1"/>
  <c r="O89" i="14" s="1"/>
  <c r="BL38" i="16" s="1"/>
  <c r="L62" i="14"/>
  <c r="M62" i="14" s="1"/>
  <c r="O62" i="14" s="1"/>
  <c r="BJ38" i="16" s="1"/>
  <c r="L19" i="14"/>
  <c r="M19" i="14" s="1"/>
  <c r="N98" i="14"/>
  <c r="O98" i="14" s="1"/>
  <c r="BM15" i="16" s="1"/>
  <c r="N71" i="14"/>
  <c r="O71" i="14" s="1"/>
  <c r="BL15" i="16" s="1"/>
  <c r="H44" i="14"/>
  <c r="I44" i="14" s="1"/>
  <c r="H42" i="14"/>
  <c r="I42" i="14" s="1"/>
  <c r="H40" i="14"/>
  <c r="H61" i="14"/>
  <c r="I61" i="14" s="1"/>
  <c r="H59" i="14"/>
  <c r="I59" i="14" s="1"/>
  <c r="O42" i="14"/>
  <c r="BJ17" i="16" s="1"/>
  <c r="O52" i="14"/>
  <c r="BJ27" i="16" s="1"/>
  <c r="O60" i="14"/>
  <c r="BJ36" i="16" s="1"/>
  <c r="O73" i="14"/>
  <c r="BL17" i="16" s="1"/>
  <c r="O83" i="14"/>
  <c r="BL28" i="16" s="1"/>
  <c r="O104" i="14"/>
  <c r="BM29" i="16" s="1"/>
  <c r="O49" i="14"/>
  <c r="BJ24" i="16" s="1"/>
  <c r="O80" i="14"/>
  <c r="BL25" i="16" s="1"/>
  <c r="O14" i="14"/>
  <c r="BI20" i="16" s="1"/>
  <c r="I104" i="14"/>
  <c r="I87" i="14"/>
  <c r="I81" i="14"/>
  <c r="I77" i="14"/>
  <c r="I75" i="14"/>
  <c r="I73" i="14"/>
  <c r="I60" i="14"/>
  <c r="I52" i="14"/>
  <c r="I40" i="14"/>
  <c r="I103" i="14"/>
  <c r="I97" i="14"/>
  <c r="I80" i="14"/>
  <c r="I57" i="14"/>
  <c r="I55" i="14"/>
  <c r="I45" i="14"/>
  <c r="I43" i="14"/>
  <c r="I41" i="14"/>
  <c r="I121" i="14" l="1"/>
  <c r="G52" i="17"/>
  <c r="G54" i="17" s="1"/>
  <c r="M22" i="17"/>
  <c r="M24" i="17" s="1"/>
  <c r="AE30" i="16"/>
  <c r="AE32" i="16"/>
  <c r="AE36" i="16"/>
  <c r="AE15" i="16"/>
  <c r="AE16" i="16"/>
  <c r="AE24" i="16"/>
  <c r="AE34" i="16"/>
  <c r="AE38" i="16"/>
  <c r="AE14" i="16"/>
  <c r="AE19" i="16"/>
  <c r="AE21" i="16"/>
  <c r="AE23" i="16"/>
  <c r="AE31" i="16"/>
  <c r="AE35" i="16"/>
  <c r="AE37" i="16"/>
  <c r="AE17" i="16"/>
  <c r="AE18" i="16"/>
  <c r="AE20" i="16"/>
  <c r="AE22" i="16"/>
  <c r="AE25" i="16"/>
  <c r="AE26" i="16"/>
  <c r="AE27" i="16"/>
  <c r="AE28" i="16"/>
  <c r="AE29" i="16"/>
  <c r="AE33" i="16"/>
  <c r="M28" i="14"/>
  <c r="Q28" i="14"/>
  <c r="BO36" i="16"/>
  <c r="BO15" i="16"/>
  <c r="BO37" i="16"/>
  <c r="BO29" i="16"/>
  <c r="BO19" i="16"/>
  <c r="BO14" i="16"/>
  <c r="BO31" i="16"/>
  <c r="G63" i="17"/>
  <c r="G65" i="17" s="1"/>
  <c r="M72" i="17"/>
  <c r="O116" i="14"/>
  <c r="M32" i="17"/>
  <c r="M74" i="17"/>
  <c r="M114" i="17"/>
  <c r="M117" i="17" s="1"/>
  <c r="M119" i="17" s="1"/>
  <c r="M76" i="17"/>
  <c r="M46" i="17"/>
  <c r="M87" i="17"/>
  <c r="BO24" i="16"/>
  <c r="BO33" i="16"/>
  <c r="BO27" i="16"/>
  <c r="BO25" i="16"/>
  <c r="BO23" i="16"/>
  <c r="BO21" i="16"/>
  <c r="BO17" i="16"/>
  <c r="BO30" i="16"/>
  <c r="BO28" i="16"/>
  <c r="BO26" i="16"/>
  <c r="BO16" i="16"/>
  <c r="G110" i="17"/>
  <c r="G90" i="17"/>
  <c r="G92" i="17" s="1"/>
  <c r="G22" i="17"/>
  <c r="G24" i="17" s="1"/>
  <c r="M30" i="17"/>
  <c r="M98" i="17"/>
  <c r="M59" i="17"/>
  <c r="M63" i="17" s="1"/>
  <c r="M65" i="17" s="1"/>
  <c r="M99" i="17"/>
  <c r="M34" i="17"/>
  <c r="M100" i="17"/>
  <c r="M45" i="17"/>
  <c r="M85" i="17"/>
  <c r="M90" i="17" s="1"/>
  <c r="M92" i="17" s="1"/>
  <c r="M49" i="17"/>
  <c r="O16" i="14"/>
  <c r="BI22" i="16" s="1"/>
  <c r="O19" i="14"/>
  <c r="BI38" i="16" s="1"/>
  <c r="O86" i="14"/>
  <c r="BL32" i="16" s="1"/>
  <c r="O28" i="14"/>
  <c r="O45" i="14"/>
  <c r="BJ20" i="16" s="1"/>
  <c r="I32" i="14"/>
  <c r="I65" i="14"/>
  <c r="I22" i="14"/>
  <c r="B64" i="1" s="1"/>
  <c r="I92" i="14"/>
  <c r="I110" i="14"/>
  <c r="O76" i="14"/>
  <c r="BL20" i="16" s="1"/>
  <c r="O13" i="14"/>
  <c r="BI18" i="16" s="1"/>
  <c r="O58" i="14"/>
  <c r="BJ34" i="16" s="1"/>
  <c r="O56" i="14"/>
  <c r="BJ32" i="16" s="1"/>
  <c r="O59" i="14"/>
  <c r="BJ35" i="16" s="1"/>
  <c r="O47" i="14"/>
  <c r="BJ22" i="16" s="1"/>
  <c r="O78" i="14"/>
  <c r="BL22" i="16" s="1"/>
  <c r="O43" i="14"/>
  <c r="BJ18" i="16" s="1"/>
  <c r="O101" i="14"/>
  <c r="O74" i="14"/>
  <c r="BL18" i="16" s="1"/>
  <c r="O32" i="14" l="1"/>
  <c r="O34" i="14" s="1"/>
  <c r="S28" i="14"/>
  <c r="S32" i="14" s="1"/>
  <c r="S34" i="14" s="1"/>
  <c r="M52" i="17"/>
  <c r="M54" i="17" s="1"/>
  <c r="M108" i="17"/>
  <c r="M110" i="17"/>
  <c r="O110" i="14"/>
  <c r="BM20" i="16"/>
  <c r="BO35" i="16"/>
  <c r="BO32" i="16"/>
  <c r="BO18" i="16"/>
  <c r="BO38" i="16"/>
  <c r="BO34" i="16"/>
  <c r="BO22" i="16"/>
  <c r="G123" i="17"/>
  <c r="G126" i="17" s="1"/>
  <c r="BI41" i="16"/>
  <c r="BL41" i="16"/>
  <c r="BN20" i="16"/>
  <c r="O119" i="14"/>
  <c r="BJ41" i="16"/>
  <c r="I125" i="14"/>
  <c r="I128" i="14" s="1"/>
  <c r="O22" i="14"/>
  <c r="B56" i="1" s="1"/>
  <c r="I94" i="14"/>
  <c r="E64" i="1"/>
  <c r="I24" i="14"/>
  <c r="I34" i="14"/>
  <c r="I112" i="14"/>
  <c r="F64" i="1"/>
  <c r="I67" i="14"/>
  <c r="C64" i="1"/>
  <c r="O112" i="14"/>
  <c r="F49" i="1" s="1"/>
  <c r="F56" i="1"/>
  <c r="O92" i="14"/>
  <c r="O94" i="14" s="1"/>
  <c r="E49" i="1" s="1"/>
  <c r="O65" i="14"/>
  <c r="M123" i="17" l="1"/>
  <c r="M126" i="17" s="1"/>
  <c r="BN41" i="16"/>
  <c r="O24" i="14"/>
  <c r="B49" i="1" s="1"/>
  <c r="O125" i="14"/>
  <c r="O128" i="14" s="1"/>
  <c r="G56" i="1"/>
  <c r="O121" i="14"/>
  <c r="G49" i="1" s="1"/>
  <c r="BO20" i="16"/>
  <c r="BO41" i="16" s="1"/>
  <c r="BM41" i="16"/>
  <c r="I64" i="1"/>
  <c r="E56" i="1"/>
  <c r="O67" i="14"/>
  <c r="C49" i="1" s="1"/>
  <c r="C56" i="1"/>
  <c r="I56" i="1" s="1"/>
  <c r="D72" i="11" l="1"/>
  <c r="D71" i="11"/>
  <c r="D56" i="11"/>
  <c r="D55" i="11"/>
  <c r="D48" i="11"/>
  <c r="D47" i="11"/>
  <c r="E3" i="13"/>
  <c r="A3" i="13"/>
  <c r="E2" i="13"/>
  <c r="A2" i="13"/>
  <c r="E1" i="13"/>
  <c r="E17" i="11" l="1"/>
  <c r="E34" i="11"/>
  <c r="E73" i="11"/>
  <c r="F72" i="11"/>
  <c r="F71" i="11"/>
  <c r="E65" i="11"/>
  <c r="F64" i="11"/>
  <c r="F63" i="11"/>
  <c r="E57" i="11"/>
  <c r="F56" i="11"/>
  <c r="F55" i="11"/>
  <c r="F48" i="11"/>
  <c r="F47" i="11"/>
  <c r="F31" i="11"/>
  <c r="D14" i="11"/>
  <c r="F14" i="11" s="1"/>
  <c r="F30" i="11"/>
  <c r="F34" i="11" s="1"/>
  <c r="D13" i="11"/>
  <c r="F13" i="11" s="1"/>
  <c r="L98" i="12"/>
  <c r="M98" i="12" s="1"/>
  <c r="N98" i="12" s="1"/>
  <c r="L97" i="12"/>
  <c r="M97" i="12" s="1"/>
  <c r="N97" i="12" s="1"/>
  <c r="L96" i="12"/>
  <c r="M96" i="12" s="1"/>
  <c r="N96" i="12" s="1"/>
  <c r="F17" i="11" l="1"/>
  <c r="F49" i="11"/>
  <c r="F57" i="11"/>
  <c r="F73" i="11"/>
  <c r="F65" i="11"/>
  <c r="D118" i="12"/>
  <c r="E118" i="12"/>
  <c r="F118" i="12"/>
  <c r="G118" i="12"/>
  <c r="H118" i="12"/>
  <c r="I118" i="12"/>
  <c r="J118" i="12"/>
  <c r="K118" i="12"/>
  <c r="C118" i="12"/>
  <c r="D106" i="12"/>
  <c r="E106" i="12"/>
  <c r="F106" i="12"/>
  <c r="G106" i="12"/>
  <c r="H106" i="12"/>
  <c r="I106" i="12"/>
  <c r="J106" i="12"/>
  <c r="K106" i="12"/>
  <c r="C106" i="12"/>
  <c r="D80" i="12"/>
  <c r="E80" i="12"/>
  <c r="F80" i="12"/>
  <c r="G80" i="12"/>
  <c r="H80" i="12"/>
  <c r="I80" i="12"/>
  <c r="J80" i="12"/>
  <c r="K80" i="12"/>
  <c r="C80" i="12"/>
  <c r="D21" i="12"/>
  <c r="D22" i="12" s="1"/>
  <c r="D25" i="12" s="1"/>
  <c r="E21" i="12"/>
  <c r="F21" i="12"/>
  <c r="F22" i="12" s="1"/>
  <c r="F25" i="12" s="1"/>
  <c r="G21" i="12"/>
  <c r="H21" i="12"/>
  <c r="H22" i="12" s="1"/>
  <c r="H25" i="12" s="1"/>
  <c r="I21" i="12"/>
  <c r="J21" i="12"/>
  <c r="J22" i="12" s="1"/>
  <c r="J25" i="12" s="1"/>
  <c r="K21" i="12"/>
  <c r="C21" i="12"/>
  <c r="C22" i="12" s="1"/>
  <c r="C25" i="12" s="1"/>
  <c r="C107" i="12" l="1"/>
  <c r="J107" i="12"/>
  <c r="H107" i="12"/>
  <c r="F107" i="12"/>
  <c r="D107" i="12"/>
  <c r="K107" i="12"/>
  <c r="I107" i="12"/>
  <c r="G107" i="12"/>
  <c r="E107" i="12"/>
  <c r="K22" i="12"/>
  <c r="K25" i="12" s="1"/>
  <c r="C81" i="12"/>
  <c r="C84" i="12" s="1"/>
  <c r="K81" i="12"/>
  <c r="K84" i="12" s="1"/>
  <c r="I81" i="12"/>
  <c r="I84" i="12" s="1"/>
  <c r="G81" i="12"/>
  <c r="G84" i="12" s="1"/>
  <c r="E81" i="12"/>
  <c r="E84" i="12" s="1"/>
  <c r="I22" i="12"/>
  <c r="I25" i="12" s="1"/>
  <c r="G22" i="12"/>
  <c r="G25" i="12" s="1"/>
  <c r="E22" i="12"/>
  <c r="E25" i="12" s="1"/>
  <c r="J81" i="12"/>
  <c r="J84" i="12" s="1"/>
  <c r="H81" i="12"/>
  <c r="H84" i="12" s="1"/>
  <c r="F81" i="12"/>
  <c r="F84" i="12" s="1"/>
  <c r="D81" i="12"/>
  <c r="D84" i="12" s="1"/>
  <c r="F75" i="11"/>
  <c r="F74" i="11"/>
  <c r="E36" i="13" s="1"/>
  <c r="F50" i="11"/>
  <c r="E12" i="13" s="1"/>
  <c r="F51" i="11"/>
  <c r="F67" i="11"/>
  <c r="F66" i="11"/>
  <c r="E28" i="13" s="1"/>
  <c r="F59" i="11"/>
  <c r="F58" i="11"/>
  <c r="E20" i="13" s="1"/>
  <c r="F78" i="11"/>
  <c r="C122" i="12"/>
  <c r="F122" i="12"/>
  <c r="C18" i="1" s="1"/>
  <c r="J122" i="12"/>
  <c r="G18" i="1" s="1"/>
  <c r="H122" i="12"/>
  <c r="E18" i="1" s="1"/>
  <c r="D122" i="12"/>
  <c r="K122" i="12"/>
  <c r="H18" i="1" s="1"/>
  <c r="I122" i="12"/>
  <c r="F18" i="1" s="1"/>
  <c r="G122" i="12"/>
  <c r="D18" i="1" s="1"/>
  <c r="E122" i="12"/>
  <c r="B18" i="1" s="1"/>
  <c r="I18" i="1" s="1"/>
  <c r="E11" i="10"/>
  <c r="E10" i="10"/>
  <c r="E55" i="7"/>
  <c r="E45" i="13" l="1"/>
  <c r="F80" i="11"/>
  <c r="F86" i="11" s="1"/>
  <c r="G110" i="12"/>
  <c r="G123" i="12"/>
  <c r="D21" i="1" s="1"/>
  <c r="K110" i="12"/>
  <c r="K123" i="12"/>
  <c r="H21" i="1" s="1"/>
  <c r="F110" i="12"/>
  <c r="F123" i="12"/>
  <c r="C21" i="1" s="1"/>
  <c r="J110" i="12"/>
  <c r="J123" i="12"/>
  <c r="G21" i="1" s="1"/>
  <c r="E110" i="12"/>
  <c r="E123" i="12"/>
  <c r="B21" i="1" s="1"/>
  <c r="I110" i="12"/>
  <c r="I123" i="12"/>
  <c r="F21" i="1" s="1"/>
  <c r="D110" i="12"/>
  <c r="D123" i="12"/>
  <c r="H110" i="12"/>
  <c r="H123" i="12"/>
  <c r="E21" i="1" s="1"/>
  <c r="C110" i="12"/>
  <c r="C123" i="12"/>
  <c r="F79" i="11"/>
  <c r="B3" i="8"/>
  <c r="A3" i="8"/>
  <c r="B2" i="8"/>
  <c r="A2" i="8"/>
  <c r="B1" i="8"/>
  <c r="A3" i="9"/>
  <c r="A2" i="9"/>
  <c r="M3" i="12"/>
  <c r="M2" i="12"/>
  <c r="M1" i="12"/>
  <c r="A3" i="12"/>
  <c r="A2" i="12"/>
  <c r="C126" i="12" l="1"/>
  <c r="H126" i="12"/>
  <c r="D126" i="12"/>
  <c r="I126" i="12"/>
  <c r="E126" i="12"/>
  <c r="F126" i="12"/>
  <c r="J126" i="12"/>
  <c r="K126" i="12"/>
  <c r="G126" i="12"/>
  <c r="L67" i="12"/>
  <c r="M67" i="12" s="1"/>
  <c r="N67" i="12" s="1"/>
  <c r="L68" i="12"/>
  <c r="M68" i="12" s="1"/>
  <c r="L69" i="12"/>
  <c r="M69" i="12" s="1"/>
  <c r="N69" i="12" s="1"/>
  <c r="L70" i="12"/>
  <c r="M70" i="12" s="1"/>
  <c r="N70" i="12" s="1"/>
  <c r="L71" i="12"/>
  <c r="M71" i="12" s="1"/>
  <c r="L72" i="12"/>
  <c r="M72" i="12" s="1"/>
  <c r="N72" i="12" s="1"/>
  <c r="L73" i="12"/>
  <c r="M73" i="12" s="1"/>
  <c r="N73" i="12" s="1"/>
  <c r="L74" i="12"/>
  <c r="M74" i="12" s="1"/>
  <c r="L75" i="12"/>
  <c r="M75" i="12" s="1"/>
  <c r="N75" i="12" s="1"/>
  <c r="L76" i="12"/>
  <c r="M76" i="12" s="1"/>
  <c r="N76" i="12" s="1"/>
  <c r="L30" i="12"/>
  <c r="M30" i="12" s="1"/>
  <c r="L63" i="12"/>
  <c r="M63" i="12" s="1"/>
  <c r="L64" i="12"/>
  <c r="M64" i="12" s="1"/>
  <c r="L61" i="12"/>
  <c r="M61" i="12" s="1"/>
  <c r="L62" i="12"/>
  <c r="M62" i="12" s="1"/>
  <c r="L58" i="12"/>
  <c r="M58" i="12" s="1"/>
  <c r="L59" i="12"/>
  <c r="M59" i="12" s="1"/>
  <c r="L60" i="12"/>
  <c r="M60" i="12" s="1"/>
  <c r="L53" i="12"/>
  <c r="M53" i="12" s="1"/>
  <c r="L54" i="12"/>
  <c r="M54" i="12" s="1"/>
  <c r="L55" i="12"/>
  <c r="M55" i="12" s="1"/>
  <c r="L56" i="12"/>
  <c r="M56" i="12" s="1"/>
  <c r="L57" i="12"/>
  <c r="M57" i="12" s="1"/>
  <c r="L91" i="12"/>
  <c r="M91" i="12" s="1"/>
  <c r="L51" i="12"/>
  <c r="M51" i="12" s="1"/>
  <c r="L52" i="12"/>
  <c r="M52" i="12" s="1"/>
  <c r="L48" i="12"/>
  <c r="M48" i="12" s="1"/>
  <c r="L49" i="12"/>
  <c r="M49" i="12" s="1"/>
  <c r="N49" i="12" s="1"/>
  <c r="L50" i="12"/>
  <c r="M50" i="12" s="1"/>
  <c r="N50" i="12" s="1"/>
  <c r="L18" i="12"/>
  <c r="M18" i="12" s="1"/>
  <c r="N18" i="12" s="1"/>
  <c r="L46" i="12"/>
  <c r="M46" i="12" s="1"/>
  <c r="L47" i="12"/>
  <c r="M47" i="12" s="1"/>
  <c r="N47" i="12" s="1"/>
  <c r="L43" i="12"/>
  <c r="M43" i="12" s="1"/>
  <c r="L44" i="12"/>
  <c r="M44" i="12" s="1"/>
  <c r="L45" i="12"/>
  <c r="M45" i="12" s="1"/>
  <c r="L95" i="12"/>
  <c r="M95" i="12" s="1"/>
  <c r="L89" i="12"/>
  <c r="M89" i="12" s="1"/>
  <c r="N89" i="12" s="1"/>
  <c r="L13" i="12"/>
  <c r="L38" i="12"/>
  <c r="M38" i="12" s="1"/>
  <c r="N38" i="12" s="1"/>
  <c r="L34" i="12"/>
  <c r="M34" i="12" s="1"/>
  <c r="N34" i="12" s="1"/>
  <c r="L94" i="12"/>
  <c r="M94" i="12" s="1"/>
  <c r="N94" i="12" s="1"/>
  <c r="L14" i="12"/>
  <c r="M14" i="12" s="1"/>
  <c r="N14" i="12" s="1"/>
  <c r="L16" i="12"/>
  <c r="M16" i="12" s="1"/>
  <c r="N16" i="12" s="1"/>
  <c r="L15" i="12"/>
  <c r="M15" i="12" s="1"/>
  <c r="N15" i="12" s="1"/>
  <c r="L93" i="12"/>
  <c r="M93" i="12" s="1"/>
  <c r="N93" i="12" s="1"/>
  <c r="L17" i="12"/>
  <c r="M17" i="12" s="1"/>
  <c r="N17" i="12" s="1"/>
  <c r="L32" i="12"/>
  <c r="M32" i="12" s="1"/>
  <c r="N32" i="12" s="1"/>
  <c r="L35" i="12"/>
  <c r="M35" i="12" s="1"/>
  <c r="N35" i="12" s="1"/>
  <c r="L31" i="12"/>
  <c r="M31" i="12" s="1"/>
  <c r="N31" i="12" s="1"/>
  <c r="L90" i="12"/>
  <c r="M90" i="12" s="1"/>
  <c r="N90" i="12" s="1"/>
  <c r="L77" i="12"/>
  <c r="M77" i="12" s="1"/>
  <c r="N77" i="12" s="1"/>
  <c r="L65" i="12"/>
  <c r="M65" i="12" s="1"/>
  <c r="N65" i="12" s="1"/>
  <c r="L39" i="12"/>
  <c r="M39" i="12" s="1"/>
  <c r="N39" i="12" s="1"/>
  <c r="L41" i="12"/>
  <c r="M41" i="12" s="1"/>
  <c r="N41" i="12" s="1"/>
  <c r="L42" i="12"/>
  <c r="M42" i="12" s="1"/>
  <c r="N42" i="12" s="1"/>
  <c r="L29" i="12"/>
  <c r="L33" i="12"/>
  <c r="M33" i="12" s="1"/>
  <c r="N33" i="12" s="1"/>
  <c r="L40" i="12"/>
  <c r="M40" i="12" s="1"/>
  <c r="N40" i="12" s="1"/>
  <c r="L92" i="12"/>
  <c r="M92" i="12" s="1"/>
  <c r="N92" i="12" s="1"/>
  <c r="L66" i="12"/>
  <c r="G44" i="1"/>
  <c r="F19" i="1"/>
  <c r="G19" i="1"/>
  <c r="N95" i="12"/>
  <c r="N45" i="12"/>
  <c r="N44" i="12"/>
  <c r="N43" i="12"/>
  <c r="N68" i="12"/>
  <c r="N71" i="12"/>
  <c r="N74" i="12"/>
  <c r="N30" i="12"/>
  <c r="N63" i="12"/>
  <c r="N64" i="12"/>
  <c r="N61" i="12"/>
  <c r="N62" i="12"/>
  <c r="N58" i="12"/>
  <c r="N59" i="12"/>
  <c r="N60" i="12"/>
  <c r="N53" i="12"/>
  <c r="N54" i="12"/>
  <c r="N55" i="12"/>
  <c r="N56" i="12"/>
  <c r="N57" i="12"/>
  <c r="N91" i="12"/>
  <c r="N51" i="12"/>
  <c r="N52" i="12"/>
  <c r="N48" i="12"/>
  <c r="N46" i="12"/>
  <c r="F42" i="1"/>
  <c r="F44" i="1" s="1"/>
  <c r="B17" i="8"/>
  <c r="B19" i="8" s="1"/>
  <c r="F26" i="1" l="1"/>
  <c r="F37" i="1" s="1"/>
  <c r="G26" i="1"/>
  <c r="G37" i="1" s="1"/>
  <c r="L118" i="12"/>
  <c r="L106" i="12"/>
  <c r="M29" i="12"/>
  <c r="L80" i="12"/>
  <c r="M13" i="12"/>
  <c r="N13" i="12" s="1"/>
  <c r="L21" i="12"/>
  <c r="M66" i="12"/>
  <c r="N66" i="12" s="1"/>
  <c r="F31" i="1"/>
  <c r="G31" i="1"/>
  <c r="G32" i="1" s="1"/>
  <c r="G33" i="1" s="1"/>
  <c r="L107" i="12" l="1"/>
  <c r="L81" i="12"/>
  <c r="L84" i="12" s="1"/>
  <c r="L22" i="12"/>
  <c r="L25" i="12" s="1"/>
  <c r="L122" i="12"/>
  <c r="N118" i="12"/>
  <c r="M118" i="12"/>
  <c r="M80" i="12"/>
  <c r="N29" i="12"/>
  <c r="N80" i="12" s="1"/>
  <c r="N106" i="12"/>
  <c r="M106" i="12"/>
  <c r="M21" i="12"/>
  <c r="L110" i="12" l="1"/>
  <c r="L123" i="12"/>
  <c r="L126" i="12" s="1"/>
  <c r="M107" i="12"/>
  <c r="N107" i="12"/>
  <c r="N81" i="12"/>
  <c r="N84" i="12" s="1"/>
  <c r="M81" i="12"/>
  <c r="M84" i="12" s="1"/>
  <c r="M22" i="12"/>
  <c r="M25" i="12" s="1"/>
  <c r="M122" i="12"/>
  <c r="N21" i="12"/>
  <c r="F3" i="11"/>
  <c r="F2" i="11"/>
  <c r="F1" i="11"/>
  <c r="A2" i="11"/>
  <c r="E3" i="10"/>
  <c r="E2" i="10"/>
  <c r="E1" i="10"/>
  <c r="A2" i="10"/>
  <c r="E22" i="11"/>
  <c r="M110" i="12" l="1"/>
  <c r="M123" i="12"/>
  <c r="N110" i="12"/>
  <c r="N122" i="12"/>
  <c r="N22" i="12"/>
  <c r="N25" i="12" s="1"/>
  <c r="E13" i="10"/>
  <c r="C13" i="10"/>
  <c r="E21" i="11"/>
  <c r="E23" i="11"/>
  <c r="E20" i="11"/>
  <c r="C80" i="9"/>
  <c r="M126" i="12" l="1"/>
  <c r="N123" i="12"/>
  <c r="F22" i="11"/>
  <c r="E34" i="13" s="1"/>
  <c r="F20" i="11"/>
  <c r="F21" i="11"/>
  <c r="E18" i="13" s="1"/>
  <c r="F23" i="11"/>
  <c r="E26" i="13" s="1"/>
  <c r="E26" i="11"/>
  <c r="E49" i="11"/>
  <c r="E78" i="11" s="1"/>
  <c r="E18" i="10"/>
  <c r="E29" i="13" s="1"/>
  <c r="E16" i="10"/>
  <c r="E21" i="13" s="1"/>
  <c r="E17" i="10"/>
  <c r="E37" i="13" s="1"/>
  <c r="E15" i="10"/>
  <c r="E13" i="13" s="1"/>
  <c r="E46" i="13" s="1"/>
  <c r="N126" i="12" l="1"/>
  <c r="E10" i="13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4" i="1"/>
  <c r="C44" i="1"/>
  <c r="D44" i="1"/>
  <c r="E44" i="1"/>
  <c r="B44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E43" i="11" l="1"/>
  <c r="E84" i="11" s="1"/>
  <c r="F26" i="11"/>
  <c r="C26" i="1"/>
  <c r="C37" i="1" s="1"/>
  <c r="H26" i="1"/>
  <c r="H37" i="1" s="1"/>
  <c r="D26" i="1"/>
  <c r="D37" i="1" s="1"/>
  <c r="H31" i="1"/>
  <c r="D31" i="1"/>
  <c r="C31" i="1"/>
  <c r="I42" i="1"/>
  <c r="I44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D15" i="3"/>
  <c r="F15" i="3"/>
  <c r="E17" i="3"/>
  <c r="C17" i="3" s="1"/>
  <c r="C14" i="3"/>
  <c r="D16" i="3" s="1"/>
  <c r="B19" i="1"/>
  <c r="I49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6" i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I36" i="1" s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I21" i="1" l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I26" i="1" l="1"/>
  <c r="E26" i="1"/>
  <c r="B33" i="8"/>
  <c r="C33" i="8" s="1"/>
  <c r="C35" i="8" s="1"/>
  <c r="C79" i="8"/>
  <c r="C78" i="8"/>
  <c r="B37" i="8"/>
  <c r="B18" i="8" s="1"/>
  <c r="C77" i="8"/>
  <c r="D12" i="7"/>
  <c r="D13" i="7" s="1"/>
  <c r="C23" i="7"/>
  <c r="E37" i="1" l="1"/>
  <c r="I37" i="1" s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7" i="1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F65" i="1" l="1"/>
  <c r="I12" i="16" s="1"/>
  <c r="F57" i="1"/>
  <c r="I30" i="16"/>
  <c r="BE30" i="16" s="1"/>
  <c r="I34" i="16"/>
  <c r="BE34" i="16" s="1"/>
  <c r="I38" i="16"/>
  <c r="BE38" i="16" s="1"/>
  <c r="I22" i="16"/>
  <c r="BE22" i="16" s="1"/>
  <c r="I16" i="16"/>
  <c r="BE16" i="16" s="1"/>
  <c r="I24" i="16"/>
  <c r="BE24" i="16" s="1"/>
  <c r="I29" i="16"/>
  <c r="BE29" i="16" s="1"/>
  <c r="I33" i="16"/>
  <c r="BE33" i="16" s="1"/>
  <c r="I37" i="16"/>
  <c r="BE37" i="16" s="1"/>
  <c r="I21" i="16"/>
  <c r="BE21" i="16" s="1"/>
  <c r="I14" i="16"/>
  <c r="BE14" i="16" s="1"/>
  <c r="I23" i="16"/>
  <c r="BE23" i="16" s="1"/>
  <c r="I28" i="16"/>
  <c r="BE28" i="16" s="1"/>
  <c r="I32" i="16"/>
  <c r="BE32" i="16" s="1"/>
  <c r="I36" i="16"/>
  <c r="BE36" i="16" s="1"/>
  <c r="I18" i="16"/>
  <c r="BE18" i="16" s="1"/>
  <c r="I26" i="16"/>
  <c r="BE26" i="16" s="1"/>
  <c r="I20" i="16"/>
  <c r="BE20" i="16" s="1"/>
  <c r="I27" i="16"/>
  <c r="BE27" i="16" s="1"/>
  <c r="I31" i="16"/>
  <c r="BE31" i="16" s="1"/>
  <c r="I35" i="16"/>
  <c r="BE35" i="16" s="1"/>
  <c r="I17" i="16"/>
  <c r="BE17" i="16" s="1"/>
  <c r="I25" i="16"/>
  <c r="BE25" i="16" s="1"/>
  <c r="I15" i="16"/>
  <c r="BE15" i="16" s="1"/>
  <c r="I19" i="16"/>
  <c r="BE19" i="16" s="1"/>
  <c r="F50" i="1"/>
  <c r="G38" i="1"/>
  <c r="G47" i="1" s="1"/>
  <c r="G57" i="1" s="1"/>
  <c r="B38" i="1"/>
  <c r="B47" i="1" s="1"/>
  <c r="C38" i="1"/>
  <c r="C47" i="1" s="1"/>
  <c r="E24" i="7"/>
  <c r="F24" i="7" s="1"/>
  <c r="G24" i="7" s="1"/>
  <c r="C25" i="7" s="1"/>
  <c r="E25" i="7" s="1"/>
  <c r="D38" i="1"/>
  <c r="D47" i="1" s="1"/>
  <c r="D65" i="1" s="1"/>
  <c r="G12" i="16" s="1"/>
  <c r="H38" i="1"/>
  <c r="H47" i="1" s="1"/>
  <c r="E38" i="1"/>
  <c r="C65" i="1" l="1"/>
  <c r="F12" i="16" s="1"/>
  <c r="C57" i="1"/>
  <c r="B65" i="1"/>
  <c r="E12" i="16" s="1"/>
  <c r="B57" i="1"/>
  <c r="S12" i="16"/>
  <c r="F59" i="1"/>
  <c r="F52" i="1"/>
  <c r="AC15" i="16"/>
  <c r="AM15" i="16" s="1"/>
  <c r="AC19" i="16"/>
  <c r="AM19" i="16" s="1"/>
  <c r="AC23" i="16"/>
  <c r="AM23" i="16" s="1"/>
  <c r="AC27" i="16"/>
  <c r="AM27" i="16" s="1"/>
  <c r="AC31" i="16"/>
  <c r="AM31" i="16" s="1"/>
  <c r="AC35" i="16"/>
  <c r="AM35" i="16" s="1"/>
  <c r="AC14" i="16"/>
  <c r="AC18" i="16"/>
  <c r="AM18" i="16" s="1"/>
  <c r="AC22" i="16"/>
  <c r="AM22" i="16" s="1"/>
  <c r="AC26" i="16"/>
  <c r="AM26" i="16" s="1"/>
  <c r="AC30" i="16"/>
  <c r="AM30" i="16" s="1"/>
  <c r="AC34" i="16"/>
  <c r="AM34" i="16" s="1"/>
  <c r="AC38" i="16"/>
  <c r="AM38" i="16" s="1"/>
  <c r="AC17" i="16"/>
  <c r="AM17" i="16" s="1"/>
  <c r="AC21" i="16"/>
  <c r="AM21" i="16" s="1"/>
  <c r="AC25" i="16"/>
  <c r="AM25" i="16" s="1"/>
  <c r="AC29" i="16"/>
  <c r="AM29" i="16" s="1"/>
  <c r="AC33" i="16"/>
  <c r="AM33" i="16" s="1"/>
  <c r="AC37" i="16"/>
  <c r="AM37" i="16" s="1"/>
  <c r="AC16" i="16"/>
  <c r="AM16" i="16" s="1"/>
  <c r="AC20" i="16"/>
  <c r="AM20" i="16" s="1"/>
  <c r="AC24" i="16"/>
  <c r="AM24" i="16" s="1"/>
  <c r="AC28" i="16"/>
  <c r="AC32" i="16"/>
  <c r="AM32" i="16" s="1"/>
  <c r="AC36" i="16"/>
  <c r="AM36" i="16" s="1"/>
  <c r="CL14" i="16"/>
  <c r="CL18" i="16"/>
  <c r="CL22" i="16"/>
  <c r="CL26" i="16"/>
  <c r="CL30" i="16"/>
  <c r="CL34" i="16"/>
  <c r="CL38" i="16"/>
  <c r="CL17" i="16"/>
  <c r="CL16" i="16"/>
  <c r="CL20" i="16"/>
  <c r="CL24" i="16"/>
  <c r="CL28" i="16"/>
  <c r="CL32" i="16"/>
  <c r="CL36" i="16"/>
  <c r="CL15" i="16"/>
  <c r="CL19" i="16"/>
  <c r="CL23" i="16"/>
  <c r="CL27" i="16"/>
  <c r="CL31" i="16"/>
  <c r="CL35" i="16"/>
  <c r="CL25" i="16"/>
  <c r="CL33" i="16"/>
  <c r="CL21" i="16"/>
  <c r="CL29" i="16"/>
  <c r="CL37" i="16"/>
  <c r="BU16" i="16"/>
  <c r="BU26" i="16"/>
  <c r="BU35" i="16"/>
  <c r="BU36" i="16"/>
  <c r="BU38" i="16"/>
  <c r="BU21" i="16"/>
  <c r="BU23" i="16"/>
  <c r="BU25" i="16"/>
  <c r="BU33" i="16"/>
  <c r="BU34" i="16"/>
  <c r="BU28" i="16"/>
  <c r="BU19" i="16"/>
  <c r="BU27" i="16"/>
  <c r="BU31" i="16"/>
  <c r="BU37" i="16"/>
  <c r="BU14" i="16"/>
  <c r="BU22" i="16"/>
  <c r="BU17" i="16"/>
  <c r="BU30" i="16"/>
  <c r="BU24" i="16"/>
  <c r="BU29" i="16"/>
  <c r="BU15" i="16"/>
  <c r="BU18" i="16"/>
  <c r="BU32" i="16"/>
  <c r="BU20" i="16"/>
  <c r="BE41" i="16"/>
  <c r="G35" i="16"/>
  <c r="G31" i="16"/>
  <c r="G27" i="16"/>
  <c r="G23" i="16"/>
  <c r="G19" i="16"/>
  <c r="G15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37" i="16"/>
  <c r="G33" i="16"/>
  <c r="G29" i="16"/>
  <c r="G25" i="16"/>
  <c r="G21" i="16"/>
  <c r="G17" i="16"/>
  <c r="F27" i="16"/>
  <c r="BB27" i="16" s="1"/>
  <c r="F23" i="16"/>
  <c r="BB23" i="16" s="1"/>
  <c r="F14" i="16"/>
  <c r="BB14" i="16" s="1"/>
  <c r="F15" i="16"/>
  <c r="BB15" i="16" s="1"/>
  <c r="F28" i="16"/>
  <c r="BB28" i="16" s="1"/>
  <c r="F32" i="16"/>
  <c r="BB32" i="16" s="1"/>
  <c r="F36" i="16"/>
  <c r="BB36" i="16" s="1"/>
  <c r="F29" i="16"/>
  <c r="BB29" i="16" s="1"/>
  <c r="F37" i="16"/>
  <c r="BB37" i="16" s="1"/>
  <c r="F20" i="16"/>
  <c r="BB20" i="16" s="1"/>
  <c r="F31" i="16"/>
  <c r="BB31" i="16" s="1"/>
  <c r="F22" i="16"/>
  <c r="BB22" i="16" s="1"/>
  <c r="F26" i="16"/>
  <c r="BB26" i="16" s="1"/>
  <c r="F17" i="16"/>
  <c r="BB17" i="16" s="1"/>
  <c r="F19" i="16"/>
  <c r="BB19" i="16" s="1"/>
  <c r="F25" i="16"/>
  <c r="BB25" i="16" s="1"/>
  <c r="F21" i="16"/>
  <c r="BB21" i="16" s="1"/>
  <c r="F30" i="16"/>
  <c r="BB30" i="16" s="1"/>
  <c r="F34" i="16"/>
  <c r="BB34" i="16" s="1"/>
  <c r="F38" i="16"/>
  <c r="BB38" i="16" s="1"/>
  <c r="F33" i="16"/>
  <c r="BB33" i="16" s="1"/>
  <c r="F16" i="16"/>
  <c r="BB16" i="16" s="1"/>
  <c r="F24" i="16"/>
  <c r="BB24" i="16" s="1"/>
  <c r="F35" i="16"/>
  <c r="BB35" i="16" s="1"/>
  <c r="F18" i="16"/>
  <c r="BB18" i="16" s="1"/>
  <c r="G65" i="1"/>
  <c r="J12" i="16" s="1"/>
  <c r="G50" i="1"/>
  <c r="E30" i="16"/>
  <c r="BA30" i="16" s="1"/>
  <c r="E34" i="16"/>
  <c r="BA34" i="16" s="1"/>
  <c r="E38" i="16"/>
  <c r="BA38" i="16" s="1"/>
  <c r="E18" i="16"/>
  <c r="BA18" i="16" s="1"/>
  <c r="E26" i="16"/>
  <c r="BA26" i="16" s="1"/>
  <c r="E20" i="16"/>
  <c r="BA20" i="16" s="1"/>
  <c r="E29" i="16"/>
  <c r="BA29" i="16" s="1"/>
  <c r="E33" i="16"/>
  <c r="BA33" i="16" s="1"/>
  <c r="E37" i="16"/>
  <c r="BA37" i="16" s="1"/>
  <c r="E21" i="16"/>
  <c r="BA21" i="16" s="1"/>
  <c r="E19" i="16"/>
  <c r="BA19" i="16" s="1"/>
  <c r="E15" i="16"/>
  <c r="BA15" i="16" s="1"/>
  <c r="E28" i="16"/>
  <c r="BA28" i="16" s="1"/>
  <c r="E32" i="16"/>
  <c r="BA32" i="16" s="1"/>
  <c r="E36" i="16"/>
  <c r="BA36" i="16" s="1"/>
  <c r="E14" i="16"/>
  <c r="BA14" i="16" s="1"/>
  <c r="E22" i="16"/>
  <c r="BA22" i="16" s="1"/>
  <c r="E16" i="16"/>
  <c r="BA16" i="16" s="1"/>
  <c r="E24" i="16"/>
  <c r="BA24" i="16" s="1"/>
  <c r="E31" i="16"/>
  <c r="BA31" i="16" s="1"/>
  <c r="E35" i="16"/>
  <c r="BA35" i="16" s="1"/>
  <c r="E17" i="16"/>
  <c r="BA17" i="16" s="1"/>
  <c r="E25" i="16"/>
  <c r="BA25" i="16" s="1"/>
  <c r="E27" i="16"/>
  <c r="BA27" i="16" s="1"/>
  <c r="E23" i="16"/>
  <c r="BA23" i="16" s="1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0" i="1"/>
  <c r="D50" i="1"/>
  <c r="B50" i="1"/>
  <c r="D25" i="7"/>
  <c r="F25" i="7" s="1"/>
  <c r="G25" i="7" s="1"/>
  <c r="C26" i="7" s="1"/>
  <c r="P12" i="16" l="1"/>
  <c r="C59" i="1"/>
  <c r="O12" i="16"/>
  <c r="B59" i="1"/>
  <c r="T12" i="16"/>
  <c r="G59" i="1"/>
  <c r="Q12" i="16"/>
  <c r="D59" i="1"/>
  <c r="D52" i="1"/>
  <c r="AA12" i="16" s="1"/>
  <c r="AA27" i="16" s="1"/>
  <c r="C52" i="1"/>
  <c r="G52" i="1"/>
  <c r="B52" i="1"/>
  <c r="Y38" i="16" s="1"/>
  <c r="AI38" i="16" s="1"/>
  <c r="Y23" i="16"/>
  <c r="AI23" i="16" s="1"/>
  <c r="Y30" i="16"/>
  <c r="AI30" i="16" s="1"/>
  <c r="Y34" i="16"/>
  <c r="AI34" i="16" s="1"/>
  <c r="Y22" i="16"/>
  <c r="AI22" i="16" s="1"/>
  <c r="Y31" i="16"/>
  <c r="AI31" i="16" s="1"/>
  <c r="CH17" i="16"/>
  <c r="CH21" i="16"/>
  <c r="CH25" i="16"/>
  <c r="CH29" i="16"/>
  <c r="CH16" i="16"/>
  <c r="Y20" i="16"/>
  <c r="AI20" i="16" s="1"/>
  <c r="Y25" i="16"/>
  <c r="AI25" i="16" s="1"/>
  <c r="Y29" i="16"/>
  <c r="AI29" i="16" s="1"/>
  <c r="Y33" i="16"/>
  <c r="AI33" i="16" s="1"/>
  <c r="Y37" i="16"/>
  <c r="AI37" i="16" s="1"/>
  <c r="CH19" i="16"/>
  <c r="CH23" i="16"/>
  <c r="CH27" i="16"/>
  <c r="CH31" i="16"/>
  <c r="CH35" i="16"/>
  <c r="CH14" i="16"/>
  <c r="CH18" i="16"/>
  <c r="CH26" i="16"/>
  <c r="CH30" i="16"/>
  <c r="CH34" i="16"/>
  <c r="CH38" i="16"/>
  <c r="CH24" i="16"/>
  <c r="CH32" i="16"/>
  <c r="CH20" i="16"/>
  <c r="CH36" i="16"/>
  <c r="AA34" i="16"/>
  <c r="AA28" i="16"/>
  <c r="AA22" i="16"/>
  <c r="AK16" i="16"/>
  <c r="AK36" i="16"/>
  <c r="AK22" i="16"/>
  <c r="AK34" i="16"/>
  <c r="AK29" i="16"/>
  <c r="AK27" i="16"/>
  <c r="Z15" i="16"/>
  <c r="AJ15" i="16" s="1"/>
  <c r="Z17" i="16"/>
  <c r="AJ17" i="16" s="1"/>
  <c r="Z19" i="16"/>
  <c r="AJ19" i="16" s="1"/>
  <c r="Z21" i="16"/>
  <c r="AJ21" i="16" s="1"/>
  <c r="Z23" i="16"/>
  <c r="AJ23" i="16" s="1"/>
  <c r="Z25" i="16"/>
  <c r="AJ25" i="16" s="1"/>
  <c r="Z27" i="16"/>
  <c r="AJ27" i="16" s="1"/>
  <c r="Z29" i="16"/>
  <c r="AJ29" i="16" s="1"/>
  <c r="Z31" i="16"/>
  <c r="AJ31" i="16" s="1"/>
  <c r="Z33" i="16"/>
  <c r="AJ33" i="16" s="1"/>
  <c r="Z35" i="16"/>
  <c r="AJ35" i="16" s="1"/>
  <c r="Z37" i="16"/>
  <c r="AJ37" i="16" s="1"/>
  <c r="Z14" i="16"/>
  <c r="Z16" i="16"/>
  <c r="AJ16" i="16" s="1"/>
  <c r="Z18" i="16"/>
  <c r="AJ18" i="16" s="1"/>
  <c r="Z20" i="16"/>
  <c r="AJ20" i="16" s="1"/>
  <c r="Z22" i="16"/>
  <c r="AJ22" i="16" s="1"/>
  <c r="Z24" i="16"/>
  <c r="AJ24" i="16" s="1"/>
  <c r="Z26" i="16"/>
  <c r="AJ26" i="16" s="1"/>
  <c r="Z28" i="16"/>
  <c r="Z30" i="16"/>
  <c r="AJ30" i="16" s="1"/>
  <c r="Z32" i="16"/>
  <c r="AJ32" i="16" s="1"/>
  <c r="Z34" i="16"/>
  <c r="AJ34" i="16" s="1"/>
  <c r="Z36" i="16"/>
  <c r="AJ36" i="16" s="1"/>
  <c r="Z38" i="16"/>
  <c r="AJ38" i="16" s="1"/>
  <c r="CI16" i="16"/>
  <c r="CI20" i="16"/>
  <c r="CI24" i="16"/>
  <c r="CI28" i="16"/>
  <c r="CI32" i="16"/>
  <c r="CI36" i="16"/>
  <c r="CI15" i="16"/>
  <c r="CI14" i="16"/>
  <c r="CI18" i="16"/>
  <c r="CI22" i="16"/>
  <c r="CI26" i="16"/>
  <c r="CI30" i="16"/>
  <c r="CI34" i="16"/>
  <c r="CI38" i="16"/>
  <c r="CI17" i="16"/>
  <c r="CI21" i="16"/>
  <c r="CI25" i="16"/>
  <c r="CI29" i="16"/>
  <c r="CI33" i="16"/>
  <c r="CI37" i="16"/>
  <c r="CI19" i="16"/>
  <c r="CI27" i="16"/>
  <c r="CI35" i="16"/>
  <c r="CI23" i="16"/>
  <c r="CI31" i="16"/>
  <c r="CL41" i="16"/>
  <c r="AD14" i="16"/>
  <c r="AD18" i="16"/>
  <c r="AN18" i="16" s="1"/>
  <c r="AD22" i="16"/>
  <c r="AN22" i="16" s="1"/>
  <c r="AD26" i="16"/>
  <c r="AN26" i="16" s="1"/>
  <c r="AD30" i="16"/>
  <c r="AN30" i="16" s="1"/>
  <c r="AD34" i="16"/>
  <c r="AN34" i="16" s="1"/>
  <c r="AD38" i="16"/>
  <c r="AN38" i="16" s="1"/>
  <c r="AD15" i="16"/>
  <c r="AN15" i="16" s="1"/>
  <c r="AD19" i="16"/>
  <c r="AN19" i="16" s="1"/>
  <c r="AD23" i="16"/>
  <c r="AN23" i="16" s="1"/>
  <c r="AD27" i="16"/>
  <c r="AN27" i="16" s="1"/>
  <c r="AD31" i="16"/>
  <c r="AN31" i="16" s="1"/>
  <c r="AD35" i="16"/>
  <c r="AN35" i="16" s="1"/>
  <c r="AD16" i="16"/>
  <c r="AN16" i="16" s="1"/>
  <c r="AD20" i="16"/>
  <c r="AN20" i="16" s="1"/>
  <c r="AD24" i="16"/>
  <c r="AN24" i="16" s="1"/>
  <c r="AD28" i="16"/>
  <c r="AD32" i="16"/>
  <c r="AN32" i="16" s="1"/>
  <c r="AD36" i="16"/>
  <c r="AN36" i="16" s="1"/>
  <c r="AD17" i="16"/>
  <c r="AN17" i="16" s="1"/>
  <c r="AD21" i="16"/>
  <c r="AN21" i="16" s="1"/>
  <c r="AD25" i="16"/>
  <c r="AN25" i="16" s="1"/>
  <c r="AD29" i="16"/>
  <c r="AN29" i="16" s="1"/>
  <c r="AD33" i="16"/>
  <c r="AN33" i="16" s="1"/>
  <c r="AD37" i="16"/>
  <c r="AN37" i="16" s="1"/>
  <c r="CM17" i="16"/>
  <c r="CM21" i="16"/>
  <c r="CM25" i="16"/>
  <c r="CM29" i="16"/>
  <c r="CM33" i="16"/>
  <c r="CM37" i="16"/>
  <c r="CM16" i="16"/>
  <c r="CM15" i="16"/>
  <c r="CM19" i="16"/>
  <c r="CM23" i="16"/>
  <c r="CM27" i="16"/>
  <c r="CM31" i="16"/>
  <c r="CM35" i="16"/>
  <c r="CM14" i="16"/>
  <c r="CM18" i="16"/>
  <c r="CM22" i="16"/>
  <c r="CM26" i="16"/>
  <c r="CM30" i="16"/>
  <c r="CM34" i="16"/>
  <c r="CM38" i="16"/>
  <c r="CM20" i="16"/>
  <c r="CM28" i="16"/>
  <c r="CM36" i="16"/>
  <c r="CM24" i="16"/>
  <c r="CM32" i="16"/>
  <c r="BA41" i="16"/>
  <c r="BV19" i="16"/>
  <c r="BV23" i="16"/>
  <c r="BV27" i="16"/>
  <c r="BV30" i="16"/>
  <c r="BV31" i="16"/>
  <c r="BV18" i="16"/>
  <c r="BV26" i="16"/>
  <c r="BV35" i="16"/>
  <c r="BV36" i="16"/>
  <c r="BV38" i="16"/>
  <c r="BV15" i="16"/>
  <c r="BV21" i="16"/>
  <c r="BV25" i="16"/>
  <c r="BV29" i="16"/>
  <c r="BV32" i="16"/>
  <c r="BV33" i="16"/>
  <c r="BV34" i="16"/>
  <c r="BV14" i="16"/>
  <c r="BV16" i="16"/>
  <c r="BV22" i="16"/>
  <c r="BV24" i="16"/>
  <c r="BV28" i="16"/>
  <c r="BV37" i="16"/>
  <c r="BV17" i="16"/>
  <c r="BV20" i="16"/>
  <c r="BU41" i="16"/>
  <c r="BQ15" i="16"/>
  <c r="BQ29" i="16"/>
  <c r="BQ14" i="16"/>
  <c r="BQ28" i="16"/>
  <c r="BQ31" i="16"/>
  <c r="BQ32" i="16"/>
  <c r="BQ19" i="16"/>
  <c r="BQ27" i="16"/>
  <c r="BQ36" i="16"/>
  <c r="BQ37" i="16"/>
  <c r="BQ24" i="16"/>
  <c r="BQ26" i="16"/>
  <c r="BQ30" i="16"/>
  <c r="BQ33" i="16"/>
  <c r="BQ34" i="16"/>
  <c r="BQ35" i="16"/>
  <c r="BQ17" i="16"/>
  <c r="BQ16" i="16"/>
  <c r="BQ20" i="16"/>
  <c r="BQ25" i="16"/>
  <c r="BQ23" i="16"/>
  <c r="BQ21" i="16"/>
  <c r="BQ22" i="16"/>
  <c r="BQ18" i="16"/>
  <c r="BQ38" i="16"/>
  <c r="BR15" i="16"/>
  <c r="BR29" i="16"/>
  <c r="BR36" i="16"/>
  <c r="BR17" i="16"/>
  <c r="BR37" i="16"/>
  <c r="BR25" i="16"/>
  <c r="BR23" i="16"/>
  <c r="BR21" i="16"/>
  <c r="BR16" i="16"/>
  <c r="BR38" i="16"/>
  <c r="BR30" i="16"/>
  <c r="BR28" i="16"/>
  <c r="BR26" i="16"/>
  <c r="BR19" i="16"/>
  <c r="BR14" i="16"/>
  <c r="BR31" i="16"/>
  <c r="BR24" i="16"/>
  <c r="BR33" i="16"/>
  <c r="BR27" i="16"/>
  <c r="BR35" i="16"/>
  <c r="BR22" i="16"/>
  <c r="BR20" i="16"/>
  <c r="BR18" i="16"/>
  <c r="BR32" i="16"/>
  <c r="BR34" i="16"/>
  <c r="BB41" i="16"/>
  <c r="Q15" i="16"/>
  <c r="Q37" i="16"/>
  <c r="Q35" i="16"/>
  <c r="Q33" i="16"/>
  <c r="Q31" i="16"/>
  <c r="Q29" i="16"/>
  <c r="Q27" i="16"/>
  <c r="Q25" i="16"/>
  <c r="Q23" i="16"/>
  <c r="Q21" i="16"/>
  <c r="Q19" i="16"/>
  <c r="Q14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7" i="16"/>
  <c r="J37" i="16"/>
  <c r="BF37" i="16" s="1"/>
  <c r="J35" i="16"/>
  <c r="BF35" i="16" s="1"/>
  <c r="J33" i="16"/>
  <c r="BF33" i="16" s="1"/>
  <c r="J31" i="16"/>
  <c r="BF31" i="16" s="1"/>
  <c r="J29" i="16"/>
  <c r="BF29" i="16" s="1"/>
  <c r="J27" i="16"/>
  <c r="BF27" i="16" s="1"/>
  <c r="J25" i="16"/>
  <c r="BF25" i="16" s="1"/>
  <c r="J21" i="16"/>
  <c r="BF21" i="16" s="1"/>
  <c r="J17" i="16"/>
  <c r="BF17" i="16" s="1"/>
  <c r="J38" i="16"/>
  <c r="BF38" i="16" s="1"/>
  <c r="J36" i="16"/>
  <c r="BF36" i="16" s="1"/>
  <c r="J34" i="16"/>
  <c r="BF34" i="16" s="1"/>
  <c r="J32" i="16"/>
  <c r="BF32" i="16" s="1"/>
  <c r="J30" i="16"/>
  <c r="BF30" i="16" s="1"/>
  <c r="J28" i="16"/>
  <c r="BF28" i="16" s="1"/>
  <c r="J26" i="16"/>
  <c r="BF26" i="16" s="1"/>
  <c r="J24" i="16"/>
  <c r="BF24" i="16" s="1"/>
  <c r="J22" i="16"/>
  <c r="BF22" i="16" s="1"/>
  <c r="J20" i="16"/>
  <c r="BF20" i="16" s="1"/>
  <c r="J18" i="16"/>
  <c r="BF18" i="16" s="1"/>
  <c r="J16" i="16"/>
  <c r="BF16" i="16" s="1"/>
  <c r="J14" i="16"/>
  <c r="BF14" i="16" s="1"/>
  <c r="J23" i="16"/>
  <c r="BF23" i="16" s="1"/>
  <c r="J19" i="16"/>
  <c r="BF19" i="16" s="1"/>
  <c r="J15" i="16"/>
  <c r="BF15" i="16" s="1"/>
  <c r="T38" i="16"/>
  <c r="T36" i="16"/>
  <c r="T34" i="16"/>
  <c r="T32" i="16"/>
  <c r="T30" i="16"/>
  <c r="T28" i="16"/>
  <c r="T26" i="16"/>
  <c r="T24" i="16"/>
  <c r="T22" i="16"/>
  <c r="T20" i="16"/>
  <c r="T18" i="16"/>
  <c r="T16" i="16"/>
  <c r="T14" i="16"/>
  <c r="T37" i="16"/>
  <c r="T35" i="16"/>
  <c r="T33" i="16"/>
  <c r="T31" i="16"/>
  <c r="T29" i="16"/>
  <c r="T27" i="16"/>
  <c r="T25" i="16"/>
  <c r="T23" i="16"/>
  <c r="T21" i="16"/>
  <c r="T19" i="16"/>
  <c r="T17" i="16"/>
  <c r="T15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AK23" i="16" l="1"/>
  <c r="AK32" i="16"/>
  <c r="AA36" i="16"/>
  <c r="AK19" i="16"/>
  <c r="AK28" i="16"/>
  <c r="AA38" i="16"/>
  <c r="AA25" i="16"/>
  <c r="AK17" i="16"/>
  <c r="AA18" i="16"/>
  <c r="AA29" i="16"/>
  <c r="AK38" i="16"/>
  <c r="AA20" i="16"/>
  <c r="AA31" i="16"/>
  <c r="AK15" i="16"/>
  <c r="AK30" i="16"/>
  <c r="AK24" i="16"/>
  <c r="AA24" i="16"/>
  <c r="AA15" i="16"/>
  <c r="AA33" i="16"/>
  <c r="AK33" i="16"/>
  <c r="AK26" i="16"/>
  <c r="AK20" i="16"/>
  <c r="AA26" i="16"/>
  <c r="AA17" i="16"/>
  <c r="AA35" i="16"/>
  <c r="AA19" i="16"/>
  <c r="AA37" i="16"/>
  <c r="AK35" i="16"/>
  <c r="AK25" i="16"/>
  <c r="AK18" i="16"/>
  <c r="AA14" i="16"/>
  <c r="AA30" i="16"/>
  <c r="AA21" i="16"/>
  <c r="AK37" i="16"/>
  <c r="AK31" i="16"/>
  <c r="AK21" i="16"/>
  <c r="AK14" i="16"/>
  <c r="AA16" i="16"/>
  <c r="AA32" i="16"/>
  <c r="AA23" i="16"/>
  <c r="Y14" i="16"/>
  <c r="Y24" i="16"/>
  <c r="AI24" i="16" s="1"/>
  <c r="CH37" i="16"/>
  <c r="Y18" i="16"/>
  <c r="AI18" i="16" s="1"/>
  <c r="CH28" i="16"/>
  <c r="CH22" i="16"/>
  <c r="CH15" i="16"/>
  <c r="CH33" i="16"/>
  <c r="Y26" i="16"/>
  <c r="AI26" i="16" s="1"/>
  <c r="Y21" i="16"/>
  <c r="AI21" i="16" s="1"/>
  <c r="Y36" i="16"/>
  <c r="AI36" i="16" s="1"/>
  <c r="Y19" i="16"/>
  <c r="AI19" i="16" s="1"/>
  <c r="Y17" i="16"/>
  <c r="AI17" i="16" s="1"/>
  <c r="Y16" i="16"/>
  <c r="AI16" i="16" s="1"/>
  <c r="Y35" i="16"/>
  <c r="AI35" i="16" s="1"/>
  <c r="Y32" i="16"/>
  <c r="AI32" i="16" s="1"/>
  <c r="Y15" i="16"/>
  <c r="AI15" i="16" s="1"/>
  <c r="Y27" i="16"/>
  <c r="AI27" i="16" s="1"/>
  <c r="Y28" i="16"/>
  <c r="CM41" i="16"/>
  <c r="CI41" i="16"/>
  <c r="BF41" i="16"/>
  <c r="BQ41" i="16"/>
  <c r="BR41" i="16"/>
  <c r="BV41" i="16"/>
  <c r="F26" i="7"/>
  <c r="CH41" i="16" l="1"/>
  <c r="G26" i="7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7" i="1" s="1"/>
  <c r="E47" i="1"/>
  <c r="G52" i="7"/>
  <c r="E65" i="1" l="1"/>
  <c r="H12" i="16" s="1"/>
  <c r="E57" i="1"/>
  <c r="H21" i="16"/>
  <c r="BD21" i="16" s="1"/>
  <c r="BG21" i="16" s="1"/>
  <c r="H28" i="16"/>
  <c r="BD28" i="16" s="1"/>
  <c r="BG28" i="16" s="1"/>
  <c r="H32" i="16"/>
  <c r="BD32" i="16" s="1"/>
  <c r="BG32" i="16" s="1"/>
  <c r="H36" i="16"/>
  <c r="BD36" i="16" s="1"/>
  <c r="BG36" i="16" s="1"/>
  <c r="H27" i="16"/>
  <c r="BD27" i="16" s="1"/>
  <c r="BG27" i="16" s="1"/>
  <c r="H19" i="16"/>
  <c r="BD19" i="16" s="1"/>
  <c r="BG19" i="16" s="1"/>
  <c r="H14" i="16"/>
  <c r="BD14" i="16" s="1"/>
  <c r="H35" i="16"/>
  <c r="BD35" i="16" s="1"/>
  <c r="BG35" i="16" s="1"/>
  <c r="H22" i="16"/>
  <c r="BD22" i="16" s="1"/>
  <c r="BG22" i="16" s="1"/>
  <c r="H29" i="16"/>
  <c r="BD29" i="16" s="1"/>
  <c r="BG29" i="16" s="1"/>
  <c r="H33" i="16"/>
  <c r="BD33" i="16" s="1"/>
  <c r="BG33" i="16" s="1"/>
  <c r="H16" i="16"/>
  <c r="BD16" i="16" s="1"/>
  <c r="BG16" i="16" s="1"/>
  <c r="H23" i="16"/>
  <c r="BD23" i="16" s="1"/>
  <c r="BG23" i="16" s="1"/>
  <c r="H31" i="16"/>
  <c r="BD31" i="16" s="1"/>
  <c r="BG31" i="16" s="1"/>
  <c r="H18" i="16"/>
  <c r="BD18" i="16" s="1"/>
  <c r="BG18" i="16" s="1"/>
  <c r="H26" i="16"/>
  <c r="BD26" i="16" s="1"/>
  <c r="BG26" i="16" s="1"/>
  <c r="H20" i="16"/>
  <c r="BD20" i="16" s="1"/>
  <c r="BG20" i="16" s="1"/>
  <c r="H37" i="16"/>
  <c r="BD37" i="16" s="1"/>
  <c r="BG37" i="16" s="1"/>
  <c r="H24" i="16"/>
  <c r="BD24" i="16" s="1"/>
  <c r="BG24" i="16" s="1"/>
  <c r="H17" i="16"/>
  <c r="BD17" i="16" s="1"/>
  <c r="BG17" i="16" s="1"/>
  <c r="H25" i="16"/>
  <c r="BD25" i="16" s="1"/>
  <c r="BG25" i="16" s="1"/>
  <c r="H30" i="16"/>
  <c r="BD30" i="16" s="1"/>
  <c r="BG30" i="16" s="1"/>
  <c r="H34" i="16"/>
  <c r="BD34" i="16" s="1"/>
  <c r="BG34" i="16" s="1"/>
  <c r="H38" i="16"/>
  <c r="BD38" i="16" s="1"/>
  <c r="BG38" i="16" s="1"/>
  <c r="H15" i="16"/>
  <c r="BD15" i="16" s="1"/>
  <c r="BG15" i="16" s="1"/>
  <c r="E50" i="1"/>
  <c r="R12" i="16" l="1"/>
  <c r="E59" i="1"/>
  <c r="E52" i="1"/>
  <c r="AB17" i="16"/>
  <c r="AL17" i="16" s="1"/>
  <c r="AB21" i="16"/>
  <c r="AL21" i="16" s="1"/>
  <c r="AB25" i="16"/>
  <c r="AL25" i="16" s="1"/>
  <c r="AB29" i="16"/>
  <c r="AL29" i="16" s="1"/>
  <c r="AB33" i="16"/>
  <c r="AL33" i="16" s="1"/>
  <c r="AB37" i="16"/>
  <c r="AL37" i="16" s="1"/>
  <c r="AB15" i="16"/>
  <c r="AL15" i="16" s="1"/>
  <c r="AB19" i="16"/>
  <c r="AL19" i="16" s="1"/>
  <c r="AB23" i="16"/>
  <c r="AL23" i="16" s="1"/>
  <c r="AB27" i="16"/>
  <c r="AL27" i="16" s="1"/>
  <c r="AB31" i="16"/>
  <c r="AL31" i="16" s="1"/>
  <c r="AB35" i="16"/>
  <c r="AL35" i="16" s="1"/>
  <c r="AB16" i="16"/>
  <c r="AL16" i="16" s="1"/>
  <c r="AB14" i="16"/>
  <c r="AB20" i="16"/>
  <c r="AL20" i="16" s="1"/>
  <c r="AB24" i="16"/>
  <c r="AL24" i="16" s="1"/>
  <c r="AB28" i="16"/>
  <c r="AB32" i="16"/>
  <c r="AL32" i="16" s="1"/>
  <c r="AB36" i="16"/>
  <c r="AL36" i="16" s="1"/>
  <c r="CK15" i="16"/>
  <c r="CN15" i="16" s="1"/>
  <c r="CO15" i="16" s="1"/>
  <c r="CK19" i="16"/>
  <c r="CN19" i="16" s="1"/>
  <c r="CO19" i="16" s="1"/>
  <c r="CK23" i="16"/>
  <c r="CN23" i="16" s="1"/>
  <c r="CO23" i="16" s="1"/>
  <c r="CK27" i="16"/>
  <c r="CN27" i="16" s="1"/>
  <c r="CO27" i="16" s="1"/>
  <c r="CK31" i="16"/>
  <c r="CN31" i="16" s="1"/>
  <c r="CO31" i="16" s="1"/>
  <c r="CK35" i="16"/>
  <c r="CN35" i="16" s="1"/>
  <c r="CO35" i="16" s="1"/>
  <c r="CK14" i="16"/>
  <c r="CK18" i="16"/>
  <c r="CN18" i="16" s="1"/>
  <c r="CO18" i="16" s="1"/>
  <c r="AB18" i="16"/>
  <c r="AL18" i="16" s="1"/>
  <c r="AB22" i="16"/>
  <c r="AL22" i="16" s="1"/>
  <c r="AB26" i="16"/>
  <c r="AL26" i="16" s="1"/>
  <c r="AB30" i="16"/>
  <c r="AL30" i="16" s="1"/>
  <c r="AB34" i="16"/>
  <c r="AL34" i="16" s="1"/>
  <c r="AB38" i="16"/>
  <c r="AL38" i="16" s="1"/>
  <c r="CK17" i="16"/>
  <c r="CN17" i="16" s="1"/>
  <c r="CO17" i="16" s="1"/>
  <c r="CK21" i="16"/>
  <c r="CN21" i="16" s="1"/>
  <c r="CO21" i="16" s="1"/>
  <c r="CK25" i="16"/>
  <c r="CN25" i="16" s="1"/>
  <c r="CO25" i="16" s="1"/>
  <c r="CK29" i="16"/>
  <c r="CN29" i="16" s="1"/>
  <c r="CO29" i="16" s="1"/>
  <c r="CK33" i="16"/>
  <c r="CN33" i="16" s="1"/>
  <c r="CO33" i="16" s="1"/>
  <c r="CK37" i="16"/>
  <c r="CN37" i="16" s="1"/>
  <c r="CO37" i="16" s="1"/>
  <c r="CK16" i="16"/>
  <c r="CN16" i="16" s="1"/>
  <c r="CO16" i="16" s="1"/>
  <c r="CK20" i="16"/>
  <c r="CN20" i="16" s="1"/>
  <c r="CO20" i="16" s="1"/>
  <c r="CK24" i="16"/>
  <c r="CN24" i="16" s="1"/>
  <c r="CK28" i="16"/>
  <c r="CN28" i="16" s="1"/>
  <c r="CO28" i="16" s="1"/>
  <c r="CK32" i="16"/>
  <c r="CN32" i="16" s="1"/>
  <c r="CO32" i="16" s="1"/>
  <c r="CK36" i="16"/>
  <c r="CN36" i="16" s="1"/>
  <c r="CO36" i="16" s="1"/>
  <c r="CK22" i="16"/>
  <c r="CN22" i="16" s="1"/>
  <c r="CO22" i="16" s="1"/>
  <c r="CK30" i="16"/>
  <c r="CN30" i="16" s="1"/>
  <c r="CO30" i="16" s="1"/>
  <c r="CK38" i="16"/>
  <c r="CN38" i="16" s="1"/>
  <c r="CO38" i="16" s="1"/>
  <c r="CK26" i="16"/>
  <c r="CN26" i="16" s="1"/>
  <c r="CO26" i="16" s="1"/>
  <c r="CK34" i="16"/>
  <c r="CN34" i="16" s="1"/>
  <c r="CO34" i="16" s="1"/>
  <c r="CO24" i="16"/>
  <c r="BT33" i="16"/>
  <c r="BW33" i="16" s="1"/>
  <c r="BX33" i="16" s="1"/>
  <c r="BT34" i="16"/>
  <c r="BW34" i="16" s="1"/>
  <c r="BX34" i="16" s="1"/>
  <c r="BT24" i="16"/>
  <c r="BW24" i="16" s="1"/>
  <c r="BX24" i="16" s="1"/>
  <c r="BT31" i="16"/>
  <c r="BW31" i="16" s="1"/>
  <c r="BX31" i="16" s="1"/>
  <c r="BT36" i="16"/>
  <c r="BW36" i="16" s="1"/>
  <c r="BX36" i="16" s="1"/>
  <c r="BT25" i="16"/>
  <c r="BW25" i="16" s="1"/>
  <c r="BX25" i="16" s="1"/>
  <c r="BT30" i="16"/>
  <c r="BW30" i="16" s="1"/>
  <c r="BX30" i="16" s="1"/>
  <c r="BT26" i="16"/>
  <c r="BW26" i="16" s="1"/>
  <c r="BX26" i="16" s="1"/>
  <c r="BT17" i="16"/>
  <c r="BW17" i="16" s="1"/>
  <c r="BX17" i="16" s="1"/>
  <c r="BT37" i="16"/>
  <c r="BW37" i="16" s="1"/>
  <c r="BX37" i="16" s="1"/>
  <c r="BT28" i="16"/>
  <c r="BW28" i="16" s="1"/>
  <c r="BX28" i="16" s="1"/>
  <c r="BT15" i="16"/>
  <c r="BW15" i="16" s="1"/>
  <c r="BX15" i="16" s="1"/>
  <c r="BT38" i="16"/>
  <c r="BW38" i="16" s="1"/>
  <c r="BX38" i="16" s="1"/>
  <c r="BT29" i="16"/>
  <c r="BW29" i="16" s="1"/>
  <c r="BX29" i="16" s="1"/>
  <c r="BT27" i="16"/>
  <c r="BW27" i="16" s="1"/>
  <c r="BX27" i="16" s="1"/>
  <c r="BT23" i="16"/>
  <c r="BW23" i="16" s="1"/>
  <c r="BX23" i="16" s="1"/>
  <c r="BT21" i="16"/>
  <c r="BW21" i="16" s="1"/>
  <c r="BX21" i="16" s="1"/>
  <c r="BT35" i="16"/>
  <c r="BW35" i="16" s="1"/>
  <c r="BX35" i="16" s="1"/>
  <c r="BT19" i="16"/>
  <c r="BW19" i="16" s="1"/>
  <c r="BX19" i="16" s="1"/>
  <c r="BT14" i="16"/>
  <c r="BT16" i="16"/>
  <c r="BW16" i="16" s="1"/>
  <c r="BX16" i="16" s="1"/>
  <c r="BT18" i="16"/>
  <c r="BW18" i="16" s="1"/>
  <c r="BX18" i="16" s="1"/>
  <c r="BT22" i="16"/>
  <c r="BW22" i="16" s="1"/>
  <c r="BX22" i="16" s="1"/>
  <c r="BT20" i="16"/>
  <c r="BW20" i="16" s="1"/>
  <c r="BX20" i="16" s="1"/>
  <c r="BT32" i="16"/>
  <c r="BW32" i="16" s="1"/>
  <c r="BX32" i="16" s="1"/>
  <c r="BD41" i="16"/>
  <c r="BG14" i="16"/>
  <c r="R37" i="16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  <c r="CK41" i="16" l="1"/>
  <c r="CN14" i="16"/>
  <c r="CN41" i="16" s="1"/>
  <c r="BG41" i="16"/>
  <c r="BT41" i="16"/>
  <c r="BW14" i="16"/>
  <c r="BW41" i="16" s="1"/>
  <c r="CO14" i="16" l="1"/>
  <c r="BX14" i="16"/>
</calcChain>
</file>

<file path=xl/sharedStrings.xml><?xml version="1.0" encoding="utf-8"?>
<sst xmlns="http://schemas.openxmlformats.org/spreadsheetml/2006/main" count="1194" uniqueCount="506">
  <si>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</si>
  <si>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</si>
  <si>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</si>
  <si>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</si>
  <si>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</si>
  <si>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</si>
  <si>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</si>
  <si>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</si>
  <si>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</si>
  <si>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</si>
  <si>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</si>
  <si>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</si>
  <si>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</si>
  <si>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</si>
  <si>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</si>
  <si>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</si>
  <si>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</si>
  <si>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</si>
  <si>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</si>
  <si>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</si>
  <si>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</si>
  <si>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</si>
  <si>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</si>
  <si>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</si>
  <si>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</si>
  <si>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</si>
  <si>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</si>
  <si>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</si>
  <si>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</si>
  <si>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</si>
  <si>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</si>
  <si>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</si>
  <si>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</si>
  <si>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</si>
  <si>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</si>
  <si>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</si>
  <si>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</si>
  <si>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</si>
  <si>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</si>
  <si>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</si>
  <si>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</si>
  <si>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</si>
  <si>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</si>
  <si>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</si>
  <si>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</si>
  <si>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</si>
  <si>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</si>
  <si>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</si>
  <si>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</si>
  <si>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</si>
  <si>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</si>
  <si>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</si>
  <si>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</si>
  <si>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</si>
  <si>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</si>
  <si>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</si>
  <si>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</si>
  <si>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</si>
  <si>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</si>
  <si>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</si>
  <si>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</si>
  <si>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</si>
  <si>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</si>
  <si>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</si>
  <si>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</si>
  <si>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</si>
  <si>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</si>
  <si>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</si>
  <si>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</si>
  <si>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</si>
  <si>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</si>
  <si>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</si>
  <si>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</si>
  <si>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</si>
  <si>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</si>
  <si>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</si>
  <si>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</si>
  <si>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</si>
  <si>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</si>
  <si>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</si>
  <si>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</si>
  <si>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</si>
  <si>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</si>
  <si>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</si>
  <si>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</si>
  <si>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</si>
  <si>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</si>
  <si>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</si>
  <si>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</si>
  <si>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</si>
  <si>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</si>
  <si>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</si>
  <si>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</si>
  <si>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</si>
  <si>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</si>
  <si>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</si>
  <si>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</si>
  <si>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</si>
  <si>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</si>
  <si>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</si>
  <si>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</si>
  <si>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</si>
  <si>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</si>
  <si>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</si>
  <si>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</si>
  <si>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</si>
  <si>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</si>
  <si>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</si>
  <si>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</si>
  <si>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</si>
  <si>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</si>
  <si>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</si>
  <si>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</si>
  <si>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</si>
  <si>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</si>
  <si>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</si>
  <si>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</si>
  <si>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</si>
  <si>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</si>
  <si>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</si>
  <si>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</si>
  <si>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</si>
  <si>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</si>
  <si>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</si>
  <si>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</si>
  <si>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</si>
  <si>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</si>
  <si>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</si>
  <si>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</si>
  <si>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</si>
  <si>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</si>
  <si>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</si>
  <si>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</si>
  <si>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</si>
  <si>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</si>
  <si>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</si>
  <si>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</si>
  <si>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</si>
  <si>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</si>
  <si>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</si>
  <si>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</si>
  <si>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</si>
  <si>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</si>
  <si>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</si>
  <si>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</si>
  <si>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</si>
  <si>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</si>
  <si>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</si>
  <si>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</si>
  <si>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</si>
  <si>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</si>
  <si>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</si>
  <si>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</si>
  <si>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</si>
  <si>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</si>
  <si>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</si>
  <si>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</si>
  <si>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</si>
  <si>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</si>
  <si>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</si>
  <si>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</si>
  <si>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</si>
  <si>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</si>
  <si>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</si>
  <si>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</si>
  <si>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</si>
  <si>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</si>
  <si>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</si>
  <si>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</si>
  <si>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</si>
  <si>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</si>
  <si>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</si>
  <si>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</si>
  <si>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</si>
  <si>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</si>
  <si>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</si>
  <si>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</si>
  <si>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</si>
  <si>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</si>
  <si>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</si>
  <si>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</si>
  <si>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</si>
  <si>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</si>
  <si>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</si>
  <si>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</si>
  <si>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</si>
  <si>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</si>
  <si>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</si>
  <si>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</si>
  <si>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</si>
  <si>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</si>
  <si>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</si>
  <si>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</si>
  <si>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</si>
  <si>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</si>
  <si>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</si>
  <si>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</si>
  <si>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</si>
  <si>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</si>
  <si>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</si>
  <si>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</si>
  <si>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</si>
  <si>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</si>
  <si>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</si>
  <si>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</si>
  <si>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</si>
  <si>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</si>
  <si>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</si>
  <si>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</si>
  <si>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</si>
  <si>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</si>
  <si>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</si>
  <si>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</si>
  <si>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</si>
  <si>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</si>
  <si>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</si>
  <si>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</si>
  <si>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</si>
  <si>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</si>
  <si>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</si>
  <si>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</si>
  <si>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</si>
  <si>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</si>
  <si>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</si>
  <si>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</si>
  <si>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</si>
  <si>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</si>
  <si>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</si>
  <si>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</si>
  <si>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</si>
  <si>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</si>
  <si>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</si>
  <si>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</si>
  <si>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</si>
  <si>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</si>
  <si>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</si>
  <si>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</si>
  <si>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</si>
  <si>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</si>
  <si>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</si>
  <si>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</si>
  <si>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</si>
  <si>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</si>
  <si>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</si>
  <si>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</si>
  <si>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</si>
  <si>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</si>
  <si>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</si>
  <si>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</si>
  <si>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</si>
  <si>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</si>
  <si>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</si>
  <si>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</si>
  <si>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</si>
  <si>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</si>
  <si>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</si>
  <si>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</si>
  <si>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</si>
  <si>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</si>
  <si>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</si>
  <si>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</si>
  <si>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</si>
  <si>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</si>
  <si>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</si>
  <si>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</si>
  <si>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</si>
  <si>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</si>
  <si>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</si>
  <si>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</si>
  <si>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</si>
  <si>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</si>
  <si>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</si>
  <si>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</si>
  <si>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</si>
  <si>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</si>
  <si>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</si>
  <si>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</si>
  <si>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</si>
  <si>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</si>
  <si>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</si>
  <si>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</si>
  <si>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</si>
  <si>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</si>
  <si>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</si>
  <si>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</si>
  <si>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</si>
  <si>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</si>
  <si>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</si>
  <si>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</si>
  <si>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</si>
  <si>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</si>
  <si>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</si>
  <si>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</si>
  <si>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</si>
  <si>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</si>
  <si>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</si>
  <si>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</si>
  <si>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</si>
  <si>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</si>
  <si>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</si>
  <si>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</si>
  <si>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</si>
  <si>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</si>
  <si>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</si>
  <si>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</si>
  <si>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</si>
  <si>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</si>
  <si>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</si>
  <si>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</si>
  <si>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</si>
  <si>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</si>
  <si>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</si>
  <si>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</si>
  <si>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</si>
  <si>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</si>
  <si>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</si>
  <si>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</si>
  <si>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</si>
  <si>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</si>
  <si>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</si>
  <si>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</si>
  <si>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</si>
  <si>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</si>
  <si>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</si>
  <si>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</si>
  <si>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</si>
  <si>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</si>
  <si>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</si>
  <si>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</si>
  <si>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</si>
  <si>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</si>
  <si>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</si>
  <si>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</si>
  <si>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</si>
  <si>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</si>
  <si>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</si>
  <si>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</si>
  <si>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</si>
  <si>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</si>
  <si>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</si>
  <si>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</si>
  <si>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</si>
  <si>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</si>
  <si>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</si>
  <si>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</si>
  <si>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</si>
  <si>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</si>
  <si>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</si>
  <si>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</si>
  <si>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10S</t>
  </si>
  <si>
    <t>South Union Lift Station</t>
  </si>
  <si>
    <t>Link 9S</t>
  </si>
  <si>
    <t>Link 8S</t>
  </si>
  <si>
    <t>South Airport Lift Station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</si>
  <si>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</si>
  <si>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</si>
  <si>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</si>
  <si>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</si>
  <si>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</si>
  <si>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</si>
  <si>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</si>
  <si>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</si>
  <si>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</si>
  <si>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PFF</t>
  </si>
  <si>
    <t>Share</t>
  </si>
  <si>
    <t>(3) Assumes 100% of PFF CIP costs are financed, see Table 6 for financing assumptions.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</si>
  <si>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</si>
  <si>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</si>
  <si>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</si>
  <si>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</si>
  <si>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</si>
  <si>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</si>
  <si>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</si>
  <si>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</si>
  <si>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</si>
  <si>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</si>
  <si>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</si>
  <si>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</si>
  <si>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</si>
  <si>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</si>
  <si>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</si>
  <si>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</si>
  <si>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</si>
  <si>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</si>
  <si>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</si>
  <si>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</si>
  <si>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</si>
  <si>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</si>
  <si>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</si>
  <si>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</si>
  <si>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</si>
  <si>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</si>
  <si>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</si>
  <si>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</si>
  <si>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</si>
  <si>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</si>
  <si>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</si>
  <si>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</si>
  <si>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</si>
  <si>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</si>
  <si>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</si>
  <si>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</si>
  <si>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</si>
  <si>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</si>
  <si>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</si>
  <si>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</si>
  <si>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</si>
  <si>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</si>
  <si>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</si>
  <si>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</si>
  <si>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</si>
  <si>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</si>
  <si>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</si>
  <si>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</si>
  <si>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</si>
  <si>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</si>
  <si>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</si>
  <si>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</si>
  <si>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</si>
  <si>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</si>
  <si>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</si>
  <si>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Program Updates and On-Going Admin</t>
  </si>
  <si>
    <t>Land Use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</si>
  <si>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</si>
  <si>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</si>
  <si>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</si>
  <si>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</si>
  <si>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</si>
  <si>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</si>
  <si>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</si>
  <si>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</si>
  <si>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</si>
  <si>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</si>
  <si>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</si>
  <si>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</si>
  <si>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</si>
  <si>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</si>
  <si>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</si>
  <si>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</si>
  <si>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</si>
  <si>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</si>
  <si>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</si>
  <si>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</si>
  <si>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</si>
  <si>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</si>
  <si>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</si>
  <si>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</si>
  <si>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Acre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</si>
  <si>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</si>
  <si>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</si>
  <si>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</si>
  <si>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</si>
  <si>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</si>
  <si>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</si>
  <si>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</si>
  <si>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Link 22</t>
  </si>
  <si>
    <t>Link 22S2</t>
  </si>
  <si>
    <t>Force Main 27N</t>
  </si>
  <si>
    <t>(2) Assumes entire cost of current projects funded by 30 year debt service with 2.0% interest, see Table 5 for calculation details.</t>
  </si>
  <si>
    <t>See Note (6)</t>
  </si>
  <si>
    <t>Subtotal - Construction Costs</t>
  </si>
  <si>
    <t>Subtotal Forced Pipelines Construction</t>
  </si>
  <si>
    <t>Soft Costs</t>
  </si>
  <si>
    <t>Soft Costs (8.0%)</t>
  </si>
  <si>
    <t>Total Forced Pipelines</t>
  </si>
  <si>
    <t>Total Gravity Pipelines</t>
  </si>
  <si>
    <t>Soft Costs (12.0%)</t>
  </si>
  <si>
    <t>Total Pump/Lift Stations</t>
  </si>
  <si>
    <t>See Table 2 for details</t>
  </si>
  <si>
    <t>(4) Contingency estimate of 10% built into the construction costs, soft costs detailed in Table 2.</t>
  </si>
  <si>
    <t>(6) For details of Program Updates and On-Going Admin see Tables 1-3 in General section.</t>
  </si>
  <si>
    <t>(5) City Administrative Costs - Variable assumed to be 3.0% of PFF CIP costs.</t>
  </si>
  <si>
    <t>ZONE 21 (includes old Zone 23)</t>
  </si>
  <si>
    <t>(a) Source: Per City GIS analysis</t>
  </si>
  <si>
    <t>ZONE 23 (folded into zone 21)</t>
  </si>
  <si>
    <t>Updated 6/30/2012 Balance</t>
  </si>
  <si>
    <t xml:space="preserve">     Total Fund Balances</t>
  </si>
  <si>
    <t>Expected Developed Acres (a)</t>
  </si>
  <si>
    <t>Percentage Developed</t>
  </si>
  <si>
    <t>Fee Per Unit</t>
  </si>
  <si>
    <t>check revenue</t>
  </si>
  <si>
    <t>GPD (per acre)</t>
  </si>
  <si>
    <t>Total GPD</t>
  </si>
  <si>
    <t>Check Development - Acres</t>
  </si>
  <si>
    <t>Check Development - EDU</t>
  </si>
  <si>
    <t>Fee Per Gallon:</t>
  </si>
  <si>
    <t>Check Development - GPD</t>
  </si>
  <si>
    <t>Oakwood Shores Pump Station</t>
  </si>
  <si>
    <t>South Main Lift Station</t>
  </si>
  <si>
    <t>Force Main OSFM</t>
  </si>
  <si>
    <t>Louise Avenue Lift Station</t>
  </si>
  <si>
    <t>Link 14A</t>
  </si>
  <si>
    <t>Link 22S</t>
  </si>
  <si>
    <t>Total Costs</t>
  </si>
  <si>
    <t xml:space="preserve">     Future Projects</t>
  </si>
  <si>
    <t>(1) Woodward Park project completed and reflected in beginning fund balances.</t>
  </si>
  <si>
    <t>Table (General Section 3)</t>
  </si>
  <si>
    <t>Working Draft - v9</t>
  </si>
  <si>
    <t>Oversizing Offset (Per Gallon)</t>
  </si>
  <si>
    <t>Net Sewer Fee Per Gallon After Offset</t>
  </si>
  <si>
    <t>See Note (7)</t>
  </si>
  <si>
    <t>(7) 50% of oversizing charge offset Sewer Fee ($900 * 50%) / 160 gpd = $2.81 offset per gallon</t>
  </si>
  <si>
    <t>See Note (8)</t>
  </si>
  <si>
    <t>(7) 50% of oversizing charge offset Sewer Fee ($900 * 50%) = $450 offset per EDU</t>
  </si>
  <si>
    <t>Oversizing Offset (Per EDU)</t>
  </si>
  <si>
    <t>Net Sewer Fee Per EDU After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</si>
</sst>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7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3" fontId="12" fillId="3" borderId="0" xfId="0" applyNumberFormat="1" applyFont="1" applyFill="1" applyBorder="1"/>
    <xf numFmtId="0" fontId="12" fillId="3" borderId="0" xfId="0" applyFont="1" applyFill="1" applyBorder="1"/>
    <xf numFmtId="164" fontId="0" fillId="0" borderId="0" xfId="1" applyNumberFormat="1" applyFont="1" applyFill="1"/>
    <xf numFmtId="164" fontId="3" fillId="0" borderId="0" xfId="1" applyNumberFormat="1" applyFont="1" applyBorder="1"/>
    <xf numFmtId="164" fontId="17" fillId="0" borderId="0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0" fontId="11" fillId="8" borderId="0" xfId="0" applyFont="1" applyFill="1" applyBorder="1" applyAlignment="1">
      <alignment horizontal="left"/>
    </xf>
    <xf numFmtId="164" fontId="1" fillId="0" borderId="4" xfId="1" applyNumberFormat="1" applyFont="1" applyFill="1" applyBorder="1"/>
    <xf numFmtId="164" fontId="17" fillId="0" borderId="4" xfId="1" applyNumberFormat="1" applyFont="1" applyFill="1" applyBorder="1"/>
    <xf numFmtId="164" fontId="17" fillId="3" borderId="0" xfId="1" applyNumberFormat="1" applyFont="1" applyFill="1"/>
    <xf numFmtId="9" fontId="12" fillId="0" borderId="0" xfId="2" applyFont="1" applyBorder="1"/>
    <xf numFmtId="0" fontId="11" fillId="9" borderId="0" xfId="0" applyFont="1" applyFill="1" applyBorder="1" applyAlignment="1">
      <alignment horizontal="center" wrapText="1"/>
    </xf>
    <xf numFmtId="164" fontId="0" fillId="0" borderId="0" xfId="0" applyNumberFormat="1"/>
    <xf numFmtId="4" fontId="12" fillId="0" borderId="0" xfId="0" applyNumberFormat="1" applyFont="1" applyBorder="1"/>
    <xf numFmtId="9" fontId="1" fillId="0" borderId="0" xfId="2" applyFont="1"/>
    <xf numFmtId="164" fontId="12" fillId="0" borderId="0" xfId="1" applyNumberFormat="1" applyFont="1" applyBorder="1"/>
    <xf numFmtId="164" fontId="12" fillId="0" borderId="0" xfId="1" applyNumberFormat="1" applyFont="1" applyFill="1" applyBorder="1" applyAlignment="1">
      <alignment horizontal="center" wrapText="1"/>
    </xf>
    <xf numFmtId="0" fontId="0" fillId="6" borderId="0" xfId="0" applyFill="1"/>
    <xf numFmtId="44" fontId="12" fillId="0" borderId="6" xfId="14" applyFont="1" applyFill="1" applyBorder="1" applyAlignment="1">
      <alignment horizontal="center" wrapText="1"/>
    </xf>
    <xf numFmtId="0" fontId="0" fillId="0" borderId="12" xfId="0" applyBorder="1"/>
    <xf numFmtId="164" fontId="0" fillId="3" borderId="0" xfId="1" applyNumberFormat="1" applyFont="1" applyFill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0" fillId="0" borderId="5" xfId="1" applyNumberFormat="1" applyFont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44" fontId="1" fillId="3" borderId="0" xfId="0" applyNumberFormat="1" applyFont="1" applyFill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  <xf numFmtId="0" fontId="1" fillId="0" borderId="0" xfId="0" quotePrefix="1" applyFont="1"/>
    <xf numFmtId="166" fontId="1" fillId="0" borderId="0" xfId="14" applyNumberFormat="1" applyFont="1"/>
    <xf numFmtId="167" fontId="1" fillId="3" borderId="0" xfId="0" applyNumberFormat="1" applyFont="1" applyFill="1"/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5" sqref="B15"/>
    </sheetView>
  </sheetViews>
  <sheetFormatPr defaultRowHeight="12.75" x14ac:dyDescent="0.2"/>
  <cols>
    <col min="1" max="1" width="18.5703125" bestFit="1" customWidth="1"/>
    <col min="2" max="2" width="22.5703125" bestFit="1" customWidth="1"/>
  </cols>
  <sheetData>
    <row r="10" spans="1:2" x14ac:dyDescent="0.2">
      <c r="A10" t="s">
        <v>65</v>
      </c>
      <c r="B10" t="s">
        <v>58</v>
      </c>
    </row>
    <row r="12" spans="1:2" x14ac:dyDescent="0.2">
      <c r="A12" t="s">
        <v>72</v>
      </c>
      <c r="B12" t="s">
        <v>75</v>
      </c>
    </row>
    <row r="13" spans="1:2" x14ac:dyDescent="0.2">
      <c r="A13" t="s">
        <v>73</v>
      </c>
      <c r="B13" s="171" t="s">
        <v>497</v>
      </c>
    </row>
    <row r="14" spans="1:2" x14ac:dyDescent="0.2">
      <c r="A14" t="s">
        <v>74</v>
      </c>
      <c r="B14" s="172">
        <v>41291</v>
      </c>
    </row>
    <row r="17" spans="1:2" x14ac:dyDescent="0.2">
      <c r="A17" s="5" t="s">
        <v>63</v>
      </c>
    </row>
    <row r="18" spans="1:2" x14ac:dyDescent="0.2">
      <c r="A18" t="s">
        <v>64</v>
      </c>
      <c r="B18" t="s">
        <v>59</v>
      </c>
    </row>
    <row r="21" spans="1:2" x14ac:dyDescent="0.2">
      <c r="A21" t="s">
        <v>285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K12" sqref="K12"/>
    </sheetView>
  </sheetViews>
  <sheetFormatPr defaultColWidth="8.85546875" defaultRowHeight="12.75" x14ac:dyDescent="0.2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 x14ac:dyDescent="0.2">
      <c r="A1" s="209" t="s">
        <v>88</v>
      </c>
    </row>
    <row r="2" spans="1:4" x14ac:dyDescent="0.2">
      <c r="A2" s="50" t="str">
        <f>Assumptions!B10</f>
        <v>City of Manteca</v>
      </c>
    </row>
    <row r="3" spans="1:4" x14ac:dyDescent="0.2">
      <c r="A3" s="50" t="str">
        <f>Assumptions!B18</f>
        <v>PFF Sewer Collection Fee</v>
      </c>
    </row>
    <row r="4" spans="1:4" x14ac:dyDescent="0.2">
      <c r="A4" s="209" t="s">
        <v>370</v>
      </c>
    </row>
    <row r="5" spans="1:4" x14ac:dyDescent="0.2">
      <c r="A5" s="50"/>
    </row>
    <row r="6" spans="1:4" ht="43.15" customHeight="1" x14ac:dyDescent="0.2">
      <c r="A6" s="173" t="s">
        <v>221</v>
      </c>
      <c r="B6" s="173" t="s">
        <v>222</v>
      </c>
      <c r="C6" s="174" t="s">
        <v>223</v>
      </c>
      <c r="D6" s="184"/>
    </row>
    <row r="7" spans="1:4" x14ac:dyDescent="0.2">
      <c r="A7" s="176" t="s">
        <v>224</v>
      </c>
      <c r="B7" s="177" t="s">
        <v>225</v>
      </c>
      <c r="C7" s="178">
        <v>0.999977</v>
      </c>
    </row>
    <row r="8" spans="1:4" x14ac:dyDescent="0.2">
      <c r="A8" s="179"/>
      <c r="B8" s="177" t="s">
        <v>226</v>
      </c>
      <c r="C8" s="178">
        <v>76.184443999999999</v>
      </c>
    </row>
    <row r="9" spans="1:4" x14ac:dyDescent="0.2">
      <c r="A9" s="179"/>
      <c r="B9" s="177" t="s">
        <v>227</v>
      </c>
      <c r="C9" s="178">
        <v>36.631224000000003</v>
      </c>
    </row>
    <row r="10" spans="1:4" x14ac:dyDescent="0.2">
      <c r="A10" s="179"/>
      <c r="B10" s="177" t="s">
        <v>228</v>
      </c>
      <c r="C10" s="178">
        <v>34.912390000000002</v>
      </c>
    </row>
    <row r="11" spans="1:4" x14ac:dyDescent="0.2">
      <c r="A11" s="179"/>
      <c r="B11" s="177" t="s">
        <v>229</v>
      </c>
      <c r="C11" s="178">
        <v>155.287542</v>
      </c>
    </row>
    <row r="12" spans="1:4" x14ac:dyDescent="0.2">
      <c r="A12" s="179"/>
      <c r="B12" s="177" t="s">
        <v>230</v>
      </c>
      <c r="C12" s="178">
        <v>7.910844</v>
      </c>
    </row>
    <row r="13" spans="1:4" x14ac:dyDescent="0.2">
      <c r="A13" s="179"/>
      <c r="B13" s="177" t="s">
        <v>231</v>
      </c>
      <c r="C13" s="178">
        <v>55.914966</v>
      </c>
    </row>
    <row r="14" spans="1:4" x14ac:dyDescent="0.2">
      <c r="A14" s="179"/>
      <c r="B14" s="177" t="s">
        <v>232</v>
      </c>
      <c r="C14" s="178">
        <v>13.091668</v>
      </c>
    </row>
    <row r="15" spans="1:4" x14ac:dyDescent="0.2">
      <c r="A15" s="179"/>
      <c r="B15" s="177" t="s">
        <v>233</v>
      </c>
      <c r="C15" s="178">
        <v>8.6079319999999999</v>
      </c>
    </row>
    <row r="16" spans="1:4" x14ac:dyDescent="0.2">
      <c r="A16" s="179"/>
      <c r="B16" s="177" t="s">
        <v>234</v>
      </c>
      <c r="C16" s="178">
        <v>6.7649600000000003</v>
      </c>
    </row>
    <row r="17" spans="1:3" x14ac:dyDescent="0.2">
      <c r="A17" s="179"/>
      <c r="B17" s="177"/>
      <c r="C17" s="178"/>
    </row>
    <row r="18" spans="1:3" x14ac:dyDescent="0.2">
      <c r="A18" s="176" t="s">
        <v>235</v>
      </c>
      <c r="B18" s="177" t="s">
        <v>236</v>
      </c>
      <c r="C18" s="178">
        <v>3385.3006839999998</v>
      </c>
    </row>
    <row r="19" spans="1:3" x14ac:dyDescent="0.2">
      <c r="A19" s="179"/>
      <c r="B19" s="177" t="s">
        <v>226</v>
      </c>
      <c r="C19" s="178">
        <v>29.292310000000001</v>
      </c>
    </row>
    <row r="20" spans="1:3" x14ac:dyDescent="0.2">
      <c r="A20" s="179"/>
      <c r="B20" s="177" t="s">
        <v>227</v>
      </c>
      <c r="C20" s="178">
        <v>18.761132</v>
      </c>
    </row>
    <row r="21" spans="1:3" x14ac:dyDescent="0.2">
      <c r="A21" s="179"/>
      <c r="B21" s="177" t="s">
        <v>228</v>
      </c>
      <c r="C21" s="178">
        <v>25.666180000000001</v>
      </c>
    </row>
    <row r="22" spans="1:3" x14ac:dyDescent="0.2">
      <c r="A22" s="179"/>
      <c r="B22" s="177" t="s">
        <v>237</v>
      </c>
      <c r="C22" s="178">
        <v>175.12787800000001</v>
      </c>
    </row>
    <row r="23" spans="1:3" x14ac:dyDescent="0.2">
      <c r="A23" s="179"/>
      <c r="B23" s="177" t="s">
        <v>229</v>
      </c>
      <c r="C23" s="178">
        <v>1033.033453</v>
      </c>
    </row>
    <row r="24" spans="1:3" x14ac:dyDescent="0.2">
      <c r="A24" s="179"/>
      <c r="B24" s="177" t="s">
        <v>230</v>
      </c>
      <c r="C24" s="178">
        <v>527.84235899999999</v>
      </c>
    </row>
    <row r="25" spans="1:3" x14ac:dyDescent="0.2">
      <c r="A25" s="179"/>
      <c r="B25" s="177" t="s">
        <v>231</v>
      </c>
      <c r="C25" s="178">
        <v>19.097294000000002</v>
      </c>
    </row>
    <row r="26" spans="1:3" x14ac:dyDescent="0.2">
      <c r="A26" s="179"/>
      <c r="B26" s="177" t="s">
        <v>232</v>
      </c>
      <c r="C26" s="178">
        <v>22.485962000000001</v>
      </c>
    </row>
    <row r="27" spans="1:3" x14ac:dyDescent="0.2">
      <c r="A27" s="179"/>
      <c r="B27" s="177" t="s">
        <v>238</v>
      </c>
      <c r="C27" s="178">
        <v>15.368535</v>
      </c>
    </row>
    <row r="28" spans="1:3" x14ac:dyDescent="0.2">
      <c r="A28" s="179"/>
      <c r="B28" s="177" t="s">
        <v>233</v>
      </c>
      <c r="C28" s="178">
        <v>44.270046000000001</v>
      </c>
    </row>
    <row r="29" spans="1:3" x14ac:dyDescent="0.2">
      <c r="A29" s="179"/>
      <c r="B29" s="177" t="s">
        <v>239</v>
      </c>
      <c r="C29" s="178">
        <v>157.17575600000001</v>
      </c>
    </row>
    <row r="30" spans="1:3" x14ac:dyDescent="0.2">
      <c r="A30" s="179"/>
      <c r="B30" s="177" t="s">
        <v>240</v>
      </c>
      <c r="C30" s="178">
        <v>578.53751799999998</v>
      </c>
    </row>
    <row r="31" spans="1:3" x14ac:dyDescent="0.2">
      <c r="A31" s="179"/>
      <c r="B31" s="177" t="s">
        <v>241</v>
      </c>
      <c r="C31" s="178">
        <v>1152.6550749999999</v>
      </c>
    </row>
    <row r="32" spans="1:3" x14ac:dyDescent="0.2">
      <c r="A32" s="179"/>
      <c r="B32" s="177" t="s">
        <v>242</v>
      </c>
      <c r="C32" s="178">
        <v>43.057797000000001</v>
      </c>
    </row>
    <row r="33" spans="1:5" x14ac:dyDescent="0.2">
      <c r="A33" s="179"/>
      <c r="B33" s="177" t="s">
        <v>243</v>
      </c>
      <c r="C33" s="178">
        <v>40.434798000000001</v>
      </c>
    </row>
    <row r="34" spans="1:5" x14ac:dyDescent="0.2">
      <c r="A34" s="179"/>
      <c r="B34" s="177" t="s">
        <v>244</v>
      </c>
      <c r="C34" s="178">
        <v>754.374683</v>
      </c>
    </row>
    <row r="35" spans="1:5" x14ac:dyDescent="0.2">
      <c r="A35" s="179"/>
      <c r="B35" s="177" t="s">
        <v>245</v>
      </c>
      <c r="C35" s="178">
        <v>114.44947000000001</v>
      </c>
    </row>
    <row r="36" spans="1:5" x14ac:dyDescent="0.2">
      <c r="A36" s="179"/>
      <c r="B36" s="177" t="s">
        <v>246</v>
      </c>
      <c r="C36" s="178">
        <v>19.736191999999999</v>
      </c>
    </row>
    <row r="37" spans="1:5" x14ac:dyDescent="0.2">
      <c r="A37" s="179"/>
      <c r="B37" s="177" t="s">
        <v>247</v>
      </c>
      <c r="C37" s="178">
        <v>37.560957999999999</v>
      </c>
    </row>
    <row r="38" spans="1:5" x14ac:dyDescent="0.2">
      <c r="A38" s="179"/>
      <c r="B38" s="177" t="s">
        <v>248</v>
      </c>
      <c r="C38" s="178">
        <v>11.652851999999999</v>
      </c>
    </row>
    <row r="39" spans="1:5" x14ac:dyDescent="0.2">
      <c r="A39" s="179"/>
      <c r="B39" s="177" t="s">
        <v>249</v>
      </c>
      <c r="C39" s="178">
        <v>352.59333099999998</v>
      </c>
    </row>
    <row r="40" spans="1:5" x14ac:dyDescent="0.2">
      <c r="A40" s="179"/>
      <c r="B40" s="177" t="s">
        <v>234</v>
      </c>
      <c r="C40" s="178">
        <v>127.986069</v>
      </c>
      <c r="E40" s="180"/>
    </row>
    <row r="41" spans="1:5" x14ac:dyDescent="0.2">
      <c r="A41" s="179"/>
      <c r="B41" s="177"/>
      <c r="C41" s="178"/>
    </row>
    <row r="42" spans="1:5" x14ac:dyDescent="0.2">
      <c r="A42" s="176" t="s">
        <v>250</v>
      </c>
      <c r="B42" s="177" t="s">
        <v>226</v>
      </c>
      <c r="C42" s="178">
        <v>50.457075000000003</v>
      </c>
    </row>
    <row r="43" spans="1:5" x14ac:dyDescent="0.2">
      <c r="A43" s="179"/>
      <c r="B43" s="177" t="s">
        <v>227</v>
      </c>
      <c r="C43" s="178">
        <v>10.055574999999999</v>
      </c>
    </row>
    <row r="44" spans="1:5" x14ac:dyDescent="0.2">
      <c r="A44" s="179"/>
      <c r="B44" s="177" t="s">
        <v>229</v>
      </c>
      <c r="C44" s="178">
        <v>6.8119079999999999</v>
      </c>
    </row>
    <row r="45" spans="1:5" x14ac:dyDescent="0.2">
      <c r="A45" s="179"/>
      <c r="B45" s="177" t="s">
        <v>230</v>
      </c>
      <c r="C45" s="178">
        <v>34.600757000000002</v>
      </c>
    </row>
    <row r="46" spans="1:5" x14ac:dyDescent="0.2">
      <c r="A46" s="179"/>
      <c r="B46" s="177"/>
      <c r="C46" s="178"/>
    </row>
    <row r="47" spans="1:5" x14ac:dyDescent="0.2">
      <c r="A47" s="176" t="s">
        <v>251</v>
      </c>
      <c r="B47" s="177" t="s">
        <v>236</v>
      </c>
      <c r="C47" s="178">
        <v>111.47872099999999</v>
      </c>
    </row>
    <row r="48" spans="1:5" x14ac:dyDescent="0.2">
      <c r="A48" s="179"/>
      <c r="B48" s="177" t="s">
        <v>252</v>
      </c>
      <c r="C48" s="178">
        <v>44.659910000000004</v>
      </c>
    </row>
    <row r="49" spans="1:3" x14ac:dyDescent="0.2">
      <c r="A49" s="179"/>
      <c r="B49" s="177" t="s">
        <v>226</v>
      </c>
      <c r="C49" s="178">
        <v>162.75238300000001</v>
      </c>
    </row>
    <row r="50" spans="1:3" x14ac:dyDescent="0.2">
      <c r="A50" s="179"/>
      <c r="B50" s="177" t="s">
        <v>227</v>
      </c>
      <c r="C50" s="178">
        <v>320.10928699999999</v>
      </c>
    </row>
    <row r="51" spans="1:3" x14ac:dyDescent="0.2">
      <c r="A51" s="179"/>
      <c r="B51" s="177" t="s">
        <v>228</v>
      </c>
      <c r="C51" s="178">
        <v>68.273225999999994</v>
      </c>
    </row>
    <row r="52" spans="1:3" x14ac:dyDescent="0.2">
      <c r="A52" s="179"/>
      <c r="B52" s="177" t="s">
        <v>237</v>
      </c>
      <c r="C52" s="178">
        <v>563.79220399999997</v>
      </c>
    </row>
    <row r="53" spans="1:3" x14ac:dyDescent="0.2">
      <c r="A53" s="179"/>
      <c r="B53" s="177" t="s">
        <v>229</v>
      </c>
      <c r="C53" s="178">
        <v>1934.059522</v>
      </c>
    </row>
    <row r="54" spans="1:3" x14ac:dyDescent="0.2">
      <c r="A54" s="179"/>
      <c r="B54" s="177" t="s">
        <v>230</v>
      </c>
      <c r="C54" s="178">
        <v>180.02126100000001</v>
      </c>
    </row>
    <row r="55" spans="1:3" x14ac:dyDescent="0.2">
      <c r="A55" s="179"/>
      <c r="B55" s="177" t="s">
        <v>231</v>
      </c>
      <c r="C55" s="178">
        <v>113.576701</v>
      </c>
    </row>
    <row r="56" spans="1:3" x14ac:dyDescent="0.2">
      <c r="A56" s="179"/>
      <c r="B56" s="177" t="s">
        <v>232</v>
      </c>
      <c r="C56" s="178">
        <v>20.52543</v>
      </c>
    </row>
    <row r="57" spans="1:3" x14ac:dyDescent="0.2">
      <c r="A57" s="179"/>
      <c r="B57" s="177" t="s">
        <v>233</v>
      </c>
      <c r="C57" s="178">
        <v>108.351705</v>
      </c>
    </row>
    <row r="58" spans="1:3" x14ac:dyDescent="0.2">
      <c r="A58" s="179"/>
      <c r="B58" s="177" t="s">
        <v>239</v>
      </c>
      <c r="C58" s="178">
        <v>85.042383999999998</v>
      </c>
    </row>
    <row r="59" spans="1:3" x14ac:dyDescent="0.2">
      <c r="A59" s="179"/>
      <c r="B59" s="177" t="s">
        <v>240</v>
      </c>
      <c r="C59" s="178">
        <v>1130.5527509999999</v>
      </c>
    </row>
    <row r="60" spans="1:3" x14ac:dyDescent="0.2">
      <c r="A60" s="179"/>
      <c r="B60" s="177" t="s">
        <v>241</v>
      </c>
      <c r="C60" s="178">
        <v>459.19615099999999</v>
      </c>
    </row>
    <row r="61" spans="1:3" x14ac:dyDescent="0.2">
      <c r="A61" s="179"/>
      <c r="B61" s="177" t="s">
        <v>253</v>
      </c>
      <c r="C61" s="178">
        <v>338.69793499999997</v>
      </c>
    </row>
    <row r="62" spans="1:3" x14ac:dyDescent="0.2">
      <c r="A62" s="179"/>
      <c r="B62" s="177" t="s">
        <v>242</v>
      </c>
      <c r="C62" s="178">
        <v>293.76250499999998</v>
      </c>
    </row>
    <row r="63" spans="1:3" x14ac:dyDescent="0.2">
      <c r="A63" s="179"/>
      <c r="B63" s="177" t="s">
        <v>244</v>
      </c>
      <c r="C63" s="178">
        <v>481.46015399999999</v>
      </c>
    </row>
    <row r="64" spans="1:3" x14ac:dyDescent="0.2">
      <c r="A64" s="179"/>
      <c r="B64" s="177" t="s">
        <v>247</v>
      </c>
      <c r="C64" s="178">
        <v>29.960425000000001</v>
      </c>
    </row>
    <row r="65" spans="1:3" x14ac:dyDescent="0.2">
      <c r="A65" s="179"/>
      <c r="B65" s="177" t="s">
        <v>249</v>
      </c>
      <c r="C65" s="178">
        <v>78.736902000000001</v>
      </c>
    </row>
    <row r="66" spans="1:3" x14ac:dyDescent="0.2">
      <c r="A66" s="179"/>
      <c r="B66" s="177" t="s">
        <v>234</v>
      </c>
      <c r="C66" s="178">
        <v>524.78247399999998</v>
      </c>
    </row>
    <row r="67" spans="1:3" x14ac:dyDescent="0.2">
      <c r="A67" s="179"/>
      <c r="B67" s="177"/>
      <c r="C67" s="178"/>
    </row>
    <row r="68" spans="1:3" x14ac:dyDescent="0.2">
      <c r="A68" s="176" t="s">
        <v>254</v>
      </c>
      <c r="B68" s="177" t="s">
        <v>236</v>
      </c>
      <c r="C68" s="178">
        <v>191.42892800000001</v>
      </c>
    </row>
    <row r="69" spans="1:3" x14ac:dyDescent="0.2">
      <c r="A69" s="179"/>
      <c r="B69" s="177" t="s">
        <v>252</v>
      </c>
      <c r="C69" s="178">
        <v>135.32440500000001</v>
      </c>
    </row>
    <row r="70" spans="1:3" x14ac:dyDescent="0.2">
      <c r="A70" s="179"/>
      <c r="B70" s="177" t="s">
        <v>227</v>
      </c>
      <c r="C70" s="178">
        <v>78.564483999999993</v>
      </c>
    </row>
    <row r="71" spans="1:3" x14ac:dyDescent="0.2">
      <c r="A71" s="179"/>
      <c r="B71" s="177" t="s">
        <v>228</v>
      </c>
      <c r="C71" s="178">
        <v>18.722038000000001</v>
      </c>
    </row>
    <row r="72" spans="1:3" x14ac:dyDescent="0.2">
      <c r="A72" s="179"/>
      <c r="B72" s="177" t="s">
        <v>229</v>
      </c>
      <c r="C72" s="178">
        <v>545.78978700000005</v>
      </c>
    </row>
    <row r="73" spans="1:3" x14ac:dyDescent="0.2">
      <c r="A73" s="179"/>
      <c r="B73" s="177" t="s">
        <v>231</v>
      </c>
      <c r="C73" s="178">
        <v>48.975785000000002</v>
      </c>
    </row>
    <row r="74" spans="1:3" x14ac:dyDescent="0.2">
      <c r="A74" s="179"/>
      <c r="B74" s="177" t="s">
        <v>238</v>
      </c>
      <c r="C74" s="178">
        <v>428.98151100000001</v>
      </c>
    </row>
    <row r="75" spans="1:3" x14ac:dyDescent="0.2">
      <c r="A75" s="179"/>
      <c r="B75" s="177" t="s">
        <v>253</v>
      </c>
      <c r="C75" s="178">
        <v>70.002771999999993</v>
      </c>
    </row>
    <row r="76" spans="1:3" x14ac:dyDescent="0.2">
      <c r="A76" s="179"/>
      <c r="B76" s="177" t="s">
        <v>242</v>
      </c>
      <c r="C76" s="178">
        <v>98.809805999999995</v>
      </c>
    </row>
    <row r="77" spans="1:3" x14ac:dyDescent="0.2">
      <c r="A77" s="179"/>
      <c r="B77" s="177" t="s">
        <v>244</v>
      </c>
      <c r="C77" s="178">
        <v>145.51939100000001</v>
      </c>
    </row>
    <row r="78" spans="1:3" x14ac:dyDescent="0.2">
      <c r="A78" s="179"/>
      <c r="B78" s="177" t="s">
        <v>249</v>
      </c>
      <c r="C78" s="178">
        <v>195.96840499999999</v>
      </c>
    </row>
    <row r="80" spans="1:3" x14ac:dyDescent="0.2">
      <c r="B80" s="182" t="s">
        <v>255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/>
  </sheetViews>
  <sheetFormatPr defaultColWidth="11.42578125" defaultRowHeight="15.75" x14ac:dyDescent="0.2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 x14ac:dyDescent="0.25">
      <c r="A1" s="209" t="s">
        <v>371</v>
      </c>
      <c r="B1" s="51" t="str">
        <f>Assumptions!$B$12</f>
        <v>Internal</v>
      </c>
      <c r="C1"/>
      <c r="D1"/>
      <c r="G1" s="131" t="s">
        <v>164</v>
      </c>
    </row>
    <row r="2" spans="1:7" x14ac:dyDescent="0.25">
      <c r="A2" s="50" t="str">
        <f>Assumptions!B10</f>
        <v>City of Manteca</v>
      </c>
      <c r="B2" s="52" t="str">
        <f>Assumptions!$B$13</f>
        <v>Working Draft - v9</v>
      </c>
      <c r="C2"/>
      <c r="D2"/>
      <c r="G2" s="131"/>
    </row>
    <row r="3" spans="1:7" x14ac:dyDescent="0.25">
      <c r="A3" s="50" t="str">
        <f>Assumptions!B18</f>
        <v>PFF Sewer Collection Fee</v>
      </c>
      <c r="B3" s="53">
        <f>Assumptions!$B$14</f>
        <v>41291</v>
      </c>
      <c r="C3"/>
      <c r="D3"/>
      <c r="G3" s="131"/>
    </row>
    <row r="4" spans="1:7" x14ac:dyDescent="0.25">
      <c r="A4" s="209" t="s">
        <v>372</v>
      </c>
      <c r="B4"/>
      <c r="C4"/>
      <c r="D4"/>
      <c r="E4"/>
      <c r="G4" s="131"/>
    </row>
    <row r="5" spans="1:7" x14ac:dyDescent="0.25">
      <c r="D5" s="132"/>
      <c r="G5" s="131"/>
    </row>
    <row r="6" spans="1:7" x14ac:dyDescent="0.25">
      <c r="G6" s="131"/>
    </row>
    <row r="7" spans="1:7" x14ac:dyDescent="0.25">
      <c r="A7" s="133"/>
      <c r="G7" s="131"/>
    </row>
    <row r="8" spans="1:7" x14ac:dyDescent="0.25">
      <c r="A8" s="134"/>
      <c r="G8" s="131"/>
    </row>
    <row r="9" spans="1:7" x14ac:dyDescent="0.25">
      <c r="G9" s="131"/>
    </row>
    <row r="10" spans="1:7" x14ac:dyDescent="0.25">
      <c r="B10" s="135"/>
      <c r="G10" s="131"/>
    </row>
    <row r="11" spans="1:7" x14ac:dyDescent="0.25">
      <c r="D11" s="136"/>
      <c r="E11" s="136"/>
      <c r="F11" s="136"/>
      <c r="G11" s="131"/>
    </row>
    <row r="12" spans="1:7" x14ac:dyDescent="0.25">
      <c r="A12" s="213" t="s">
        <v>7</v>
      </c>
      <c r="B12" s="214" t="s">
        <v>165</v>
      </c>
      <c r="D12" s="136"/>
      <c r="E12" s="136"/>
      <c r="F12" s="136"/>
      <c r="G12" s="131"/>
    </row>
    <row r="13" spans="1:7" x14ac:dyDescent="0.25">
      <c r="A13" s="215"/>
      <c r="B13" s="215"/>
      <c r="C13" s="139"/>
      <c r="D13" s="140"/>
      <c r="E13" s="140"/>
      <c r="F13" s="136"/>
      <c r="G13" s="131"/>
    </row>
    <row r="14" spans="1:7" x14ac:dyDescent="0.25">
      <c r="A14" s="216" t="s">
        <v>292</v>
      </c>
      <c r="B14" s="217">
        <v>0.02</v>
      </c>
      <c r="D14" s="136"/>
      <c r="E14" s="136"/>
      <c r="F14" s="136"/>
      <c r="G14" s="131"/>
    </row>
    <row r="15" spans="1:7" x14ac:dyDescent="0.25">
      <c r="A15" s="216" t="s">
        <v>290</v>
      </c>
      <c r="B15" s="218">
        <v>30</v>
      </c>
      <c r="G15" s="131"/>
    </row>
    <row r="16" spans="1:7" x14ac:dyDescent="0.25">
      <c r="A16" s="216" t="s">
        <v>291</v>
      </c>
      <c r="B16" s="218">
        <v>1</v>
      </c>
      <c r="G16" s="131"/>
    </row>
    <row r="17" spans="1:7" x14ac:dyDescent="0.25">
      <c r="A17" s="216" t="s">
        <v>293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 x14ac:dyDescent="0.25">
      <c r="A18" s="216" t="s">
        <v>166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x14ac:dyDescent="0.25">
      <c r="A19" s="216" t="s">
        <v>294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25">
      <c r="B20" s="142"/>
      <c r="C20" s="142"/>
      <c r="D20" s="142"/>
      <c r="E20" s="142"/>
      <c r="F20" s="142"/>
      <c r="G20" s="131"/>
    </row>
    <row r="21" spans="1:7" hidden="1" x14ac:dyDescent="0.25">
      <c r="A21" s="130" t="s">
        <v>167</v>
      </c>
      <c r="B21" s="142">
        <f>'2. Zone 24 CIP Costs'!E13</f>
        <v>4766282.7501152651</v>
      </c>
      <c r="C21" s="164"/>
      <c r="D21" s="164"/>
      <c r="G21" s="131"/>
    </row>
    <row r="22" spans="1:7" hidden="1" x14ac:dyDescent="0.25">
      <c r="B22" s="144"/>
      <c r="D22" s="212"/>
      <c r="G22" s="131"/>
    </row>
    <row r="23" spans="1:7" hidden="1" x14ac:dyDescent="0.25">
      <c r="A23" s="130" t="s">
        <v>168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25">
      <c r="G24" s="131"/>
    </row>
    <row r="25" spans="1:7" hidden="1" x14ac:dyDescent="0.25">
      <c r="A25" s="130" t="s">
        <v>169</v>
      </c>
      <c r="B25" s="142"/>
      <c r="C25" s="142"/>
      <c r="D25" s="142"/>
      <c r="E25" s="142"/>
      <c r="F25" s="142"/>
      <c r="G25" s="131"/>
    </row>
    <row r="26" spans="1:7" hidden="1" x14ac:dyDescent="0.25">
      <c r="A26" s="130" t="s">
        <v>170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25">
      <c r="A27" s="130" t="s">
        <v>171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25">
      <c r="A28" s="143" t="s">
        <v>172</v>
      </c>
      <c r="B28" s="142">
        <f>B65+$B$35*C65</f>
        <v>0</v>
      </c>
      <c r="G28" s="131"/>
    </row>
    <row r="29" spans="1:7" hidden="1" x14ac:dyDescent="0.25">
      <c r="A29" s="130" t="s">
        <v>173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25">
      <c r="A30" s="130" t="s">
        <v>174</v>
      </c>
      <c r="B30" s="142">
        <f>B67+$B$35*C67</f>
        <v>0</v>
      </c>
      <c r="C30" s="145"/>
      <c r="G30" s="131"/>
    </row>
    <row r="31" spans="1:7" hidden="1" x14ac:dyDescent="0.25">
      <c r="A31" s="130" t="s">
        <v>175</v>
      </c>
      <c r="B31" s="142">
        <f>SUM(B69:B72)+$B$35*SUM(C69:C72)</f>
        <v>0</v>
      </c>
      <c r="C31" s="145"/>
      <c r="G31" s="131"/>
    </row>
    <row r="32" spans="1:7" hidden="1" x14ac:dyDescent="0.25">
      <c r="B32" s="144"/>
      <c r="C32" s="147"/>
      <c r="D32" s="142"/>
      <c r="E32" s="142"/>
      <c r="F32" s="142"/>
      <c r="G32" s="131"/>
    </row>
    <row r="33" spans="1:7" hidden="1" x14ac:dyDescent="0.25">
      <c r="A33" s="130" t="s">
        <v>176</v>
      </c>
      <c r="B33" s="142">
        <f>SUM(B25:B32)</f>
        <v>0</v>
      </c>
      <c r="C33" s="141">
        <f>B33/B35</f>
        <v>0</v>
      </c>
      <c r="G33" s="131"/>
    </row>
    <row r="34" spans="1:7" hidden="1" x14ac:dyDescent="0.25">
      <c r="B34" s="144"/>
      <c r="C34" s="141"/>
      <c r="G34" s="131"/>
    </row>
    <row r="35" spans="1:7" hidden="1" x14ac:dyDescent="0.25">
      <c r="A35" s="142" t="s">
        <v>177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25">
      <c r="G36" s="131"/>
    </row>
    <row r="37" spans="1:7" hidden="1" x14ac:dyDescent="0.25">
      <c r="A37" s="130" t="s">
        <v>178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25">
      <c r="G38" s="131"/>
    </row>
    <row r="39" spans="1:7" hidden="1" x14ac:dyDescent="0.25">
      <c r="A39" s="130" t="s">
        <v>179</v>
      </c>
      <c r="B39" s="142">
        <f>IF(MOD(B35,5000)&gt;0,TRUNC(B35/5000)*5000+5000,B35)</f>
        <v>4770000</v>
      </c>
      <c r="C39" s="142"/>
      <c r="G39" s="131"/>
    </row>
    <row r="40" spans="1:7" hidden="1" x14ac:dyDescent="0.25">
      <c r="A40" s="139" t="s">
        <v>180</v>
      </c>
      <c r="B40" s="142"/>
      <c r="C40" s="142"/>
      <c r="G40" s="131"/>
    </row>
    <row r="41" spans="1:7" hidden="1" x14ac:dyDescent="0.25">
      <c r="G41" s="131"/>
    </row>
    <row r="42" spans="1:7" hidden="1" x14ac:dyDescent="0.25">
      <c r="A42" s="130" t="s">
        <v>286</v>
      </c>
      <c r="G42" s="131"/>
    </row>
    <row r="43" spans="1:7" hidden="1" x14ac:dyDescent="0.25">
      <c r="G43" s="131"/>
    </row>
    <row r="44" spans="1:7" hidden="1" x14ac:dyDescent="0.25">
      <c r="G44" s="131"/>
    </row>
    <row r="45" spans="1:7" hidden="1" x14ac:dyDescent="0.25">
      <c r="A45" s="130" t="s">
        <v>284</v>
      </c>
      <c r="G45" s="131"/>
    </row>
    <row r="46" spans="1:7" hidden="1" x14ac:dyDescent="0.25">
      <c r="G46" s="131"/>
    </row>
    <row r="47" spans="1:7" hidden="1" x14ac:dyDescent="0.25">
      <c r="A47" s="148"/>
      <c r="G47" s="131"/>
    </row>
    <row r="48" spans="1:7" hidden="1" x14ac:dyDescent="0.25"/>
    <row r="49" spans="1:7" hidden="1" x14ac:dyDescent="0.25">
      <c r="A49" s="137"/>
      <c r="B49" s="137"/>
      <c r="C49" s="137"/>
      <c r="D49" s="137"/>
      <c r="E49" s="137"/>
      <c r="F49" s="137"/>
      <c r="G49" s="137"/>
    </row>
    <row r="50" spans="1:7" hidden="1" x14ac:dyDescent="0.25"/>
    <row r="51" spans="1:7" hidden="1" x14ac:dyDescent="0.25">
      <c r="A51" s="130" t="s">
        <v>181</v>
      </c>
    </row>
    <row r="52" spans="1:7" hidden="1" x14ac:dyDescent="0.25"/>
    <row r="53" spans="1:7" hidden="1" x14ac:dyDescent="0.25">
      <c r="A53" s="130" t="s">
        <v>182</v>
      </c>
    </row>
    <row r="54" spans="1:7" hidden="1" x14ac:dyDescent="0.25"/>
    <row r="55" spans="1:7" hidden="1" x14ac:dyDescent="0.25"/>
    <row r="56" spans="1:7" hidden="1" x14ac:dyDescent="0.25">
      <c r="A56" s="149"/>
    </row>
    <row r="57" spans="1:7" hidden="1" x14ac:dyDescent="0.25">
      <c r="A57" s="150"/>
    </row>
    <row r="58" spans="1:7" hidden="1" x14ac:dyDescent="0.25"/>
    <row r="59" spans="1:7" hidden="1" x14ac:dyDescent="0.25"/>
    <row r="60" spans="1:7" hidden="1" x14ac:dyDescent="0.25">
      <c r="A60" s="151"/>
      <c r="B60" s="151" t="s">
        <v>183</v>
      </c>
      <c r="C60" s="151" t="s">
        <v>184</v>
      </c>
      <c r="D60" s="152"/>
    </row>
    <row r="61" spans="1:7" hidden="1" x14ac:dyDescent="0.25">
      <c r="A61" s="138" t="s">
        <v>185</v>
      </c>
      <c r="B61" s="138" t="s">
        <v>186</v>
      </c>
      <c r="C61" s="138" t="s">
        <v>186</v>
      </c>
      <c r="D61" s="138" t="s">
        <v>187</v>
      </c>
    </row>
    <row r="62" spans="1:7" hidden="1" x14ac:dyDescent="0.25"/>
    <row r="63" spans="1:7" hidden="1" x14ac:dyDescent="0.25">
      <c r="A63" s="130" t="s">
        <v>188</v>
      </c>
      <c r="B63" s="153">
        <v>0</v>
      </c>
      <c r="C63" s="154">
        <v>0</v>
      </c>
      <c r="D63" s="130" t="s">
        <v>189</v>
      </c>
    </row>
    <row r="64" spans="1:7" hidden="1" x14ac:dyDescent="0.25">
      <c r="A64" s="130" t="s">
        <v>190</v>
      </c>
      <c r="B64" s="153">
        <v>0</v>
      </c>
      <c r="C64" s="155">
        <v>0</v>
      </c>
      <c r="D64" s="130" t="s">
        <v>191</v>
      </c>
    </row>
    <row r="65" spans="1:6" hidden="1" x14ac:dyDescent="0.25">
      <c r="A65" s="130" t="s">
        <v>192</v>
      </c>
      <c r="B65" s="153">
        <v>0</v>
      </c>
      <c r="C65" s="155">
        <v>0</v>
      </c>
    </row>
    <row r="66" spans="1:6" hidden="1" x14ac:dyDescent="0.25">
      <c r="A66" s="130" t="s">
        <v>193</v>
      </c>
      <c r="B66" s="156">
        <v>0</v>
      </c>
      <c r="C66" s="155">
        <v>0</v>
      </c>
      <c r="D66" s="130" t="s">
        <v>194</v>
      </c>
    </row>
    <row r="67" spans="1:6" hidden="1" x14ac:dyDescent="0.25">
      <c r="A67" s="130" t="s">
        <v>195</v>
      </c>
      <c r="B67" s="157">
        <v>0</v>
      </c>
      <c r="C67" s="157">
        <v>0</v>
      </c>
    </row>
    <row r="68" spans="1:6" hidden="1" x14ac:dyDescent="0.25">
      <c r="A68" s="130" t="s">
        <v>196</v>
      </c>
      <c r="B68" s="142"/>
      <c r="C68" s="158"/>
    </row>
    <row r="69" spans="1:6" hidden="1" x14ac:dyDescent="0.25">
      <c r="A69" s="130" t="s">
        <v>197</v>
      </c>
      <c r="B69" s="156">
        <v>0</v>
      </c>
      <c r="C69" s="157">
        <v>0</v>
      </c>
    </row>
    <row r="70" spans="1:6" hidden="1" x14ac:dyDescent="0.25">
      <c r="A70" s="130" t="s">
        <v>198</v>
      </c>
      <c r="B70" s="156">
        <v>0</v>
      </c>
      <c r="C70" s="157">
        <v>0</v>
      </c>
    </row>
    <row r="71" spans="1:6" hidden="1" x14ac:dyDescent="0.25">
      <c r="A71" s="130" t="s">
        <v>199</v>
      </c>
      <c r="B71" s="156">
        <v>0</v>
      </c>
      <c r="C71" s="157">
        <v>0</v>
      </c>
    </row>
    <row r="72" spans="1:6" hidden="1" x14ac:dyDescent="0.25">
      <c r="A72" s="130" t="s">
        <v>200</v>
      </c>
      <c r="B72" s="159">
        <f>0.1*(B69+B70+B71)</f>
        <v>0</v>
      </c>
      <c r="C72" s="155">
        <v>0</v>
      </c>
    </row>
    <row r="73" spans="1:6" hidden="1" x14ac:dyDescent="0.25">
      <c r="B73" s="160" t="s">
        <v>201</v>
      </c>
      <c r="C73" s="160" t="s">
        <v>201</v>
      </c>
    </row>
    <row r="74" spans="1:6" hidden="1" x14ac:dyDescent="0.25">
      <c r="B74" s="142">
        <f>SUM(B62:B73)</f>
        <v>0</v>
      </c>
      <c r="C74" s="141">
        <f>SUM(C62:C73)</f>
        <v>0</v>
      </c>
      <c r="F74" s="161"/>
    </row>
    <row r="75" spans="1:6" hidden="1" x14ac:dyDescent="0.25">
      <c r="B75" s="142"/>
      <c r="C75" s="141"/>
      <c r="F75" s="161"/>
    </row>
    <row r="76" spans="1:6" hidden="1" x14ac:dyDescent="0.25">
      <c r="B76" s="142"/>
      <c r="F76" s="162"/>
    </row>
    <row r="77" spans="1:6" hidden="1" x14ac:dyDescent="0.25">
      <c r="A77" s="130" t="s">
        <v>202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25">
      <c r="A78" s="130" t="s">
        <v>203</v>
      </c>
      <c r="B78" s="142">
        <f>FIXED</f>
        <v>0</v>
      </c>
      <c r="C78" s="163">
        <f>B78/$B$80</f>
        <v>0</v>
      </c>
      <c r="F78" s="164"/>
    </row>
    <row r="79" spans="1:6" hidden="1" x14ac:dyDescent="0.25">
      <c r="A79" s="130" t="s">
        <v>204</v>
      </c>
      <c r="B79" s="165">
        <f>C74*B35</f>
        <v>0</v>
      </c>
      <c r="C79" s="166">
        <f>B79/$B$80</f>
        <v>0</v>
      </c>
      <c r="F79" s="162"/>
    </row>
    <row r="80" spans="1:6" hidden="1" x14ac:dyDescent="0.25">
      <c r="A80" s="130" t="s">
        <v>205</v>
      </c>
      <c r="B80" s="162">
        <f>SUM(B77:B79)</f>
        <v>4766282.7501152651</v>
      </c>
      <c r="C80" s="167">
        <f>SUM(C77:C79)</f>
        <v>1</v>
      </c>
    </row>
    <row r="81" spans="1:6" hidden="1" x14ac:dyDescent="0.25">
      <c r="D81" s="164"/>
    </row>
    <row r="82" spans="1:6" hidden="1" x14ac:dyDescent="0.25">
      <c r="D82" s="164"/>
    </row>
    <row r="83" spans="1:6" hidden="1" x14ac:dyDescent="0.25">
      <c r="A83" s="132" t="s">
        <v>11</v>
      </c>
      <c r="D83" s="164"/>
    </row>
    <row r="84" spans="1:6" hidden="1" x14ac:dyDescent="0.25">
      <c r="A84" s="130" t="s">
        <v>206</v>
      </c>
    </row>
    <row r="85" spans="1:6" hidden="1" x14ac:dyDescent="0.25">
      <c r="A85" s="130" t="s">
        <v>207</v>
      </c>
    </row>
    <row r="86" spans="1:6" hidden="1" x14ac:dyDescent="0.25">
      <c r="F86" s="164"/>
    </row>
    <row r="87" spans="1:6" hidden="1" x14ac:dyDescent="0.25">
      <c r="A87" s="152"/>
      <c r="C87" s="168" t="s">
        <v>208</v>
      </c>
      <c r="D87" s="169"/>
    </row>
    <row r="88" spans="1:6" hidden="1" x14ac:dyDescent="0.25">
      <c r="A88" s="151"/>
      <c r="B88" s="131" t="s">
        <v>209</v>
      </c>
      <c r="C88" s="151" t="s">
        <v>183</v>
      </c>
      <c r="D88" s="151" t="s">
        <v>210</v>
      </c>
    </row>
    <row r="89" spans="1:6" hidden="1" x14ac:dyDescent="0.25">
      <c r="A89" s="138" t="s">
        <v>211</v>
      </c>
      <c r="B89" s="170" t="s">
        <v>212</v>
      </c>
      <c r="C89" s="138" t="s">
        <v>186</v>
      </c>
      <c r="D89" s="138" t="s">
        <v>186</v>
      </c>
    </row>
    <row r="90" spans="1:6" hidden="1" x14ac:dyDescent="0.25"/>
    <row r="91" spans="1:6" hidden="1" x14ac:dyDescent="0.25">
      <c r="A91" s="152" t="s">
        <v>213</v>
      </c>
      <c r="B91" s="142">
        <v>15000</v>
      </c>
      <c r="C91" s="142">
        <v>15000</v>
      </c>
      <c r="D91" s="141">
        <v>0</v>
      </c>
    </row>
    <row r="92" spans="1:6" hidden="1" x14ac:dyDescent="0.25">
      <c r="A92" s="152" t="s">
        <v>214</v>
      </c>
      <c r="B92" s="141">
        <v>0.02</v>
      </c>
      <c r="C92" s="142">
        <v>0</v>
      </c>
      <c r="D92" s="141">
        <v>0.02</v>
      </c>
    </row>
    <row r="93" spans="1:6" hidden="1" x14ac:dyDescent="0.25">
      <c r="A93" s="152" t="s">
        <v>215</v>
      </c>
      <c r="B93" s="141">
        <v>0.01</v>
      </c>
      <c r="C93" s="142">
        <v>20000</v>
      </c>
      <c r="D93" s="141">
        <v>0.01</v>
      </c>
    </row>
    <row r="94" spans="1:6" hidden="1" x14ac:dyDescent="0.25">
      <c r="A94" s="152" t="s">
        <v>216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25"/>
    <row r="96" spans="1:6" hidden="1" x14ac:dyDescent="0.25">
      <c r="A96" s="130" t="s">
        <v>217</v>
      </c>
    </row>
    <row r="97" spans="1:2" hidden="1" x14ac:dyDescent="0.25">
      <c r="A97" s="130" t="s">
        <v>218</v>
      </c>
    </row>
    <row r="98" spans="1:2" hidden="1" x14ac:dyDescent="0.25"/>
    <row r="101" spans="1:2" x14ac:dyDescent="0.2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workbookViewId="0"/>
  </sheetViews>
  <sheetFormatPr defaultRowHeight="12.75" x14ac:dyDescent="0.2"/>
  <cols>
    <col min="1" max="1" width="30.140625" bestFit="1" customWidth="1"/>
    <col min="5" max="5" width="16.28515625" customWidth="1"/>
  </cols>
  <sheetData>
    <row r="1" spans="1:5" x14ac:dyDescent="0.2">
      <c r="A1" s="209" t="s">
        <v>410</v>
      </c>
      <c r="E1" s="51" t="str">
        <f>Assumptions!$B$12</f>
        <v>Internal</v>
      </c>
    </row>
    <row r="2" spans="1:5" x14ac:dyDescent="0.2">
      <c r="A2" s="50" t="str">
        <f>Assumptions!B10</f>
        <v>City of Manteca</v>
      </c>
      <c r="E2" s="52" t="str">
        <f>Assumptions!$B$13</f>
        <v>Working Draft - v9</v>
      </c>
    </row>
    <row r="3" spans="1:5" x14ac:dyDescent="0.2">
      <c r="A3" s="50" t="str">
        <f>Assumptions!B18</f>
        <v>PFF Sewer Collection Fee</v>
      </c>
      <c r="E3" s="53">
        <f>Assumptions!$B$14</f>
        <v>41291</v>
      </c>
    </row>
    <row r="4" spans="1:5" x14ac:dyDescent="0.2">
      <c r="A4" s="209" t="s">
        <v>283</v>
      </c>
    </row>
    <row r="7" spans="1:5" x14ac:dyDescent="0.2">
      <c r="E7" s="249" t="s">
        <v>412</v>
      </c>
    </row>
    <row r="8" spans="1:5" x14ac:dyDescent="0.2">
      <c r="A8" s="224" t="s">
        <v>262</v>
      </c>
      <c r="B8" s="237"/>
      <c r="E8" s="6" t="s">
        <v>413</v>
      </c>
    </row>
    <row r="9" spans="1:5" x14ac:dyDescent="0.2">
      <c r="A9" s="96"/>
      <c r="B9" s="237"/>
    </row>
    <row r="10" spans="1:5" x14ac:dyDescent="0.2">
      <c r="A10" s="171" t="s">
        <v>403</v>
      </c>
      <c r="E10" s="228">
        <f>'Sum 3. PFF Update Costs'!F20</f>
        <v>112500</v>
      </c>
    </row>
    <row r="11" spans="1:5" x14ac:dyDescent="0.2">
      <c r="A11" s="171" t="s">
        <v>404</v>
      </c>
      <c r="E11" s="228">
        <f>'Sum 3. PFF Update Costs'!F37</f>
        <v>143750</v>
      </c>
    </row>
    <row r="12" spans="1:5" x14ac:dyDescent="0.2">
      <c r="A12" s="229" t="s">
        <v>417</v>
      </c>
      <c r="E12" s="228">
        <f>'Sum 3. PFF Update Costs'!F50</f>
        <v>1593750</v>
      </c>
    </row>
    <row r="13" spans="1:5" x14ac:dyDescent="0.2">
      <c r="A13" s="229" t="s">
        <v>416</v>
      </c>
      <c r="E13" s="242">
        <f>'Sum 2. City Admin Costs Ongoing'!E15</f>
        <v>1312500</v>
      </c>
    </row>
    <row r="14" spans="1:5" x14ac:dyDescent="0.2">
      <c r="A14" s="171" t="s">
        <v>418</v>
      </c>
      <c r="E14" s="228">
        <f>SUM(E10:E13)</f>
        <v>3162500</v>
      </c>
    </row>
    <row r="16" spans="1:5" x14ac:dyDescent="0.2">
      <c r="A16" s="224" t="s">
        <v>414</v>
      </c>
      <c r="B16" s="237"/>
    </row>
    <row r="17" spans="1:5" x14ac:dyDescent="0.2">
      <c r="A17" s="96"/>
      <c r="B17" s="237"/>
    </row>
    <row r="18" spans="1:5" x14ac:dyDescent="0.2">
      <c r="A18" s="171" t="s">
        <v>403</v>
      </c>
      <c r="E18" s="228">
        <f>'Sum 3. PFF Update Costs'!F21</f>
        <v>112500</v>
      </c>
    </row>
    <row r="19" spans="1:5" x14ac:dyDescent="0.2">
      <c r="A19" s="171" t="s">
        <v>404</v>
      </c>
      <c r="E19" s="228">
        <f>'Sum 3. PFF Update Costs'!F38</f>
        <v>143750</v>
      </c>
    </row>
    <row r="20" spans="1:5" x14ac:dyDescent="0.2">
      <c r="A20" s="229" t="s">
        <v>417</v>
      </c>
      <c r="E20" s="228">
        <f>'Sum 3. PFF Update Costs'!F58</f>
        <v>1031250</v>
      </c>
    </row>
    <row r="21" spans="1:5" x14ac:dyDescent="0.2">
      <c r="A21" s="229" t="s">
        <v>416</v>
      </c>
      <c r="E21" s="242">
        <f>'Sum 2. City Admin Costs Ongoing'!E16</f>
        <v>1312500</v>
      </c>
    </row>
    <row r="22" spans="1:5" x14ac:dyDescent="0.2">
      <c r="A22" s="171" t="s">
        <v>405</v>
      </c>
      <c r="E22" s="228">
        <f>SUM(E18:E21)</f>
        <v>2600000</v>
      </c>
    </row>
    <row r="24" spans="1:5" x14ac:dyDescent="0.2">
      <c r="A24" s="224" t="s">
        <v>265</v>
      </c>
      <c r="B24" s="237"/>
    </row>
    <row r="25" spans="1:5" x14ac:dyDescent="0.2">
      <c r="A25" s="96"/>
      <c r="B25" s="237"/>
    </row>
    <row r="26" spans="1:5" x14ac:dyDescent="0.2">
      <c r="A26" s="171" t="s">
        <v>403</v>
      </c>
      <c r="E26" s="228">
        <f>'Sum 3. PFF Update Costs'!F23</f>
        <v>112500</v>
      </c>
    </row>
    <row r="27" spans="1:5" x14ac:dyDescent="0.2">
      <c r="A27" s="171" t="s">
        <v>404</v>
      </c>
      <c r="E27" s="228">
        <f>'Sum 3. PFF Update Costs'!F40</f>
        <v>143750</v>
      </c>
    </row>
    <row r="28" spans="1:5" x14ac:dyDescent="0.2">
      <c r="A28" s="229" t="s">
        <v>417</v>
      </c>
      <c r="E28" s="228">
        <f>'Sum 3. PFF Update Costs'!F66</f>
        <v>1406250</v>
      </c>
    </row>
    <row r="29" spans="1:5" x14ac:dyDescent="0.2">
      <c r="A29" s="229" t="s">
        <v>416</v>
      </c>
      <c r="E29" s="242">
        <f>'Sum 2. City Admin Costs Ongoing'!E18</f>
        <v>1312500</v>
      </c>
    </row>
    <row r="30" spans="1:5" x14ac:dyDescent="0.2">
      <c r="A30" s="171" t="s">
        <v>405</v>
      </c>
      <c r="E30" s="228">
        <f>SUM(E26:E29)</f>
        <v>2975000</v>
      </c>
    </row>
    <row r="32" spans="1:5" x14ac:dyDescent="0.2">
      <c r="A32" s="224" t="s">
        <v>264</v>
      </c>
      <c r="B32" s="237"/>
    </row>
    <row r="33" spans="1:5" x14ac:dyDescent="0.2">
      <c r="A33" s="96"/>
      <c r="B33" s="237"/>
    </row>
    <row r="34" spans="1:5" x14ac:dyDescent="0.2">
      <c r="A34" s="171" t="s">
        <v>403</v>
      </c>
      <c r="E34" s="228">
        <f>'Sum 3. PFF Update Costs'!F22</f>
        <v>112500</v>
      </c>
    </row>
    <row r="35" spans="1:5" x14ac:dyDescent="0.2">
      <c r="A35" s="171" t="s">
        <v>404</v>
      </c>
      <c r="E35" s="228">
        <f>'Sum 3. PFF Update Costs'!F39</f>
        <v>143750</v>
      </c>
    </row>
    <row r="36" spans="1:5" x14ac:dyDescent="0.2">
      <c r="A36" s="229" t="s">
        <v>417</v>
      </c>
      <c r="E36" s="228">
        <f>'Sum 3. PFF Update Costs'!F74</f>
        <v>1687500</v>
      </c>
    </row>
    <row r="37" spans="1:5" x14ac:dyDescent="0.2">
      <c r="A37" s="229" t="s">
        <v>416</v>
      </c>
      <c r="E37" s="242">
        <f>'Sum 2. City Admin Costs Ongoing'!E17</f>
        <v>1312500</v>
      </c>
    </row>
    <row r="38" spans="1:5" x14ac:dyDescent="0.2">
      <c r="A38" s="171" t="s">
        <v>405</v>
      </c>
      <c r="E38" s="228">
        <f>SUM(E34:E37)</f>
        <v>3256250</v>
      </c>
    </row>
    <row r="41" spans="1:5" x14ac:dyDescent="0.2">
      <c r="A41" s="224" t="s">
        <v>9</v>
      </c>
      <c r="B41" s="237"/>
    </row>
    <row r="42" spans="1:5" x14ac:dyDescent="0.2">
      <c r="A42" s="96"/>
      <c r="B42" s="237"/>
    </row>
    <row r="43" spans="1:5" x14ac:dyDescent="0.2">
      <c r="A43" s="171" t="s">
        <v>403</v>
      </c>
      <c r="E43" s="269">
        <f>E10+E18+E26+E34</f>
        <v>450000</v>
      </c>
    </row>
    <row r="44" spans="1:5" x14ac:dyDescent="0.2">
      <c r="A44" s="171" t="s">
        <v>404</v>
      </c>
      <c r="E44" s="269">
        <f t="shared" ref="E44:E46" si="0">E11+E19+E27+E35</f>
        <v>575000</v>
      </c>
    </row>
    <row r="45" spans="1:5" x14ac:dyDescent="0.2">
      <c r="A45" s="229" t="s">
        <v>417</v>
      </c>
      <c r="E45" s="269">
        <f t="shared" si="0"/>
        <v>5718750</v>
      </c>
    </row>
    <row r="46" spans="1:5" x14ac:dyDescent="0.2">
      <c r="A46" s="229" t="s">
        <v>416</v>
      </c>
      <c r="E46" s="242">
        <f t="shared" si="0"/>
        <v>5250000</v>
      </c>
    </row>
    <row r="47" spans="1:5" x14ac:dyDescent="0.2">
      <c r="A47" s="171" t="s">
        <v>405</v>
      </c>
      <c r="E47" s="228">
        <f>SUM(E43:E46)</f>
        <v>11993750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D12" sqref="D12"/>
    </sheetView>
  </sheetViews>
  <sheetFormatPr defaultRowHeight="12.75" x14ac:dyDescent="0.2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 x14ac:dyDescent="0.2">
      <c r="A1" s="209" t="s">
        <v>419</v>
      </c>
      <c r="E1" s="51" t="str">
        <f>Assumptions!$B$12</f>
        <v>Internal</v>
      </c>
    </row>
    <row r="2" spans="1:9" x14ac:dyDescent="0.2">
      <c r="A2" s="50" t="str">
        <f>Assumptions!B10</f>
        <v>City of Manteca</v>
      </c>
      <c r="E2" s="52" t="str">
        <f>Assumptions!$B$13</f>
        <v>Working Draft - v9</v>
      </c>
    </row>
    <row r="3" spans="1:9" x14ac:dyDescent="0.2">
      <c r="A3" s="209" t="s">
        <v>420</v>
      </c>
      <c r="E3" s="53">
        <f>Assumptions!$B$14</f>
        <v>41291</v>
      </c>
    </row>
    <row r="4" spans="1:9" x14ac:dyDescent="0.2">
      <c r="A4" s="50" t="s">
        <v>283</v>
      </c>
    </row>
    <row r="6" spans="1:9" x14ac:dyDescent="0.2">
      <c r="C6" s="4"/>
      <c r="D6" s="4"/>
      <c r="E6" s="4" t="s">
        <v>47</v>
      </c>
    </row>
    <row r="7" spans="1:9" x14ac:dyDescent="0.2">
      <c r="B7" s="249" t="s">
        <v>256</v>
      </c>
      <c r="C7" s="4" t="s">
        <v>256</v>
      </c>
      <c r="D7" s="185" t="s">
        <v>257</v>
      </c>
      <c r="E7" s="4" t="s">
        <v>258</v>
      </c>
      <c r="F7" s="186"/>
      <c r="G7" s="186"/>
      <c r="H7" s="186"/>
    </row>
    <row r="8" spans="1:9" x14ac:dyDescent="0.2">
      <c r="A8" s="5" t="s">
        <v>7</v>
      </c>
      <c r="B8" s="6" t="s">
        <v>376</v>
      </c>
      <c r="C8" s="6" t="s">
        <v>5</v>
      </c>
      <c r="D8" s="250" t="s">
        <v>363</v>
      </c>
      <c r="E8" s="6" t="s">
        <v>5</v>
      </c>
      <c r="F8" s="185"/>
      <c r="G8" s="185"/>
      <c r="H8" s="186"/>
    </row>
    <row r="9" spans="1:9" x14ac:dyDescent="0.2">
      <c r="D9" s="186"/>
      <c r="F9" s="186"/>
      <c r="G9" s="186"/>
      <c r="H9" s="186"/>
    </row>
    <row r="10" spans="1:9" x14ac:dyDescent="0.2">
      <c r="A10" t="s">
        <v>259</v>
      </c>
      <c r="B10">
        <v>1.5</v>
      </c>
      <c r="C10" s="187">
        <v>130000</v>
      </c>
      <c r="D10" s="188">
        <v>25</v>
      </c>
      <c r="E10" s="187">
        <f>D10*C10*B10</f>
        <v>4875000</v>
      </c>
      <c r="F10" s="189"/>
      <c r="G10" s="189"/>
      <c r="H10" s="186"/>
      <c r="I10" s="190"/>
    </row>
    <row r="11" spans="1:9" x14ac:dyDescent="0.2">
      <c r="A11" t="s">
        <v>260</v>
      </c>
      <c r="C11" s="187">
        <v>15000</v>
      </c>
      <c r="D11" s="188">
        <v>25</v>
      </c>
      <c r="E11" s="187">
        <f>D11*C11</f>
        <v>375000</v>
      </c>
      <c r="F11" s="189"/>
      <c r="G11" s="189"/>
      <c r="H11" s="186"/>
      <c r="I11" s="190"/>
    </row>
    <row r="12" spans="1:9" x14ac:dyDescent="0.2">
      <c r="C12" s="191"/>
      <c r="D12" s="188"/>
      <c r="E12" s="191"/>
      <c r="F12" s="189"/>
      <c r="G12" s="189"/>
      <c r="H12" s="186"/>
      <c r="I12" s="190"/>
    </row>
    <row r="13" spans="1:9" x14ac:dyDescent="0.2">
      <c r="A13" t="s">
        <v>261</v>
      </c>
      <c r="C13" s="192">
        <f>SUM(C9:C12)</f>
        <v>145000</v>
      </c>
      <c r="D13" s="193"/>
      <c r="E13" s="192">
        <f>SUM(E9:E12)</f>
        <v>5250000</v>
      </c>
      <c r="F13" s="194"/>
      <c r="G13" s="194"/>
      <c r="H13" s="186"/>
      <c r="I13" s="190"/>
    </row>
    <row r="14" spans="1:9" x14ac:dyDescent="0.2">
      <c r="C14" s="195"/>
      <c r="D14" s="193"/>
      <c r="E14" s="192"/>
      <c r="F14" s="194"/>
      <c r="G14" s="186"/>
      <c r="H14" s="186"/>
      <c r="I14" s="190"/>
    </row>
    <row r="15" spans="1:9" x14ac:dyDescent="0.2">
      <c r="A15" t="s">
        <v>262</v>
      </c>
      <c r="B15" s="196">
        <v>0.25</v>
      </c>
      <c r="C15" s="195"/>
      <c r="D15" s="194"/>
      <c r="E15" s="192">
        <f>B15*$E$13</f>
        <v>1312500</v>
      </c>
      <c r="F15" s="194"/>
      <c r="G15" s="189"/>
      <c r="H15" s="186"/>
      <c r="I15" s="190"/>
    </row>
    <row r="16" spans="1:9" x14ac:dyDescent="0.2">
      <c r="A16" t="s">
        <v>263</v>
      </c>
      <c r="B16" s="196">
        <v>0.25</v>
      </c>
      <c r="C16" s="195"/>
      <c r="D16" s="194"/>
      <c r="E16" s="192">
        <f>B16*$E$13</f>
        <v>1312500</v>
      </c>
      <c r="F16" s="194"/>
      <c r="G16" s="189"/>
      <c r="H16" s="186"/>
      <c r="I16" s="190"/>
    </row>
    <row r="17" spans="1:9" x14ac:dyDescent="0.2">
      <c r="A17" t="s">
        <v>264</v>
      </c>
      <c r="B17" s="196">
        <v>0.25</v>
      </c>
      <c r="C17" s="195"/>
      <c r="D17" s="194"/>
      <c r="E17" s="192">
        <f>B17*$E$13</f>
        <v>1312500</v>
      </c>
      <c r="F17" s="194"/>
      <c r="G17" s="189"/>
      <c r="H17" s="186"/>
      <c r="I17" s="190"/>
    </row>
    <row r="18" spans="1:9" x14ac:dyDescent="0.2">
      <c r="A18" t="s">
        <v>265</v>
      </c>
      <c r="B18" s="196">
        <v>0.25</v>
      </c>
      <c r="C18" s="195"/>
      <c r="D18" s="194"/>
      <c r="E18" s="192">
        <f>B18*$E$13</f>
        <v>1312500</v>
      </c>
      <c r="F18" s="194"/>
      <c r="G18" s="189"/>
      <c r="H18" s="186"/>
      <c r="I18" s="190"/>
    </row>
    <row r="19" spans="1:9" x14ac:dyDescent="0.2">
      <c r="C19" s="195"/>
      <c r="D19" s="186"/>
      <c r="E19" s="197"/>
      <c r="F19" s="186"/>
      <c r="G19" s="186"/>
      <c r="H19" s="186"/>
      <c r="I19" s="190"/>
    </row>
    <row r="20" spans="1:9" x14ac:dyDescent="0.2">
      <c r="C20" s="195"/>
      <c r="D20" s="186"/>
      <c r="E20" s="192"/>
      <c r="F20" s="186"/>
      <c r="G20" s="186"/>
      <c r="H20" s="186"/>
      <c r="I20" s="190"/>
    </row>
    <row r="21" spans="1:9" x14ac:dyDescent="0.2">
      <c r="A21" t="s">
        <v>266</v>
      </c>
      <c r="C21" s="195"/>
      <c r="D21" s="194"/>
      <c r="E21" s="192">
        <f>SUM(E15:E19)</f>
        <v>5250000</v>
      </c>
      <c r="F21" s="194"/>
      <c r="G21" s="194"/>
      <c r="H21" s="186"/>
      <c r="I21" s="190"/>
    </row>
    <row r="22" spans="1:9" x14ac:dyDescent="0.2">
      <c r="C22" s="195"/>
      <c r="D22" s="186"/>
      <c r="E22" s="192"/>
      <c r="F22" s="186"/>
      <c r="G22" s="186"/>
      <c r="H22" s="186"/>
      <c r="I22" s="190"/>
    </row>
    <row r="23" spans="1:9" x14ac:dyDescent="0.2">
      <c r="C23" s="187"/>
      <c r="D23" s="189"/>
      <c r="E23" s="189"/>
      <c r="F23" s="189"/>
      <c r="G23" s="189"/>
      <c r="H23" s="186"/>
      <c r="I23" s="190"/>
    </row>
    <row r="24" spans="1:9" x14ac:dyDescent="0.2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 x14ac:dyDescent="0.2">
      <c r="A25" t="s">
        <v>281</v>
      </c>
      <c r="C25" s="192"/>
    </row>
    <row r="26" spans="1:9" x14ac:dyDescent="0.2">
      <c r="A26" t="s">
        <v>375</v>
      </c>
      <c r="C26" s="192"/>
    </row>
    <row r="27" spans="1:9" x14ac:dyDescent="0.2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 x14ac:dyDescent="0.2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 x14ac:dyDescent="0.25">
      <c r="A1" s="98" t="s">
        <v>140</v>
      </c>
      <c r="H1" s="99"/>
      <c r="I1" s="99"/>
      <c r="J1" s="99"/>
      <c r="K1" s="99"/>
    </row>
    <row r="2" spans="1:11" x14ac:dyDescent="0.25">
      <c r="H2" s="99"/>
      <c r="I2" s="100"/>
      <c r="J2" s="99"/>
      <c r="K2" s="99"/>
    </row>
    <row r="3" spans="1:11" x14ac:dyDescent="0.25">
      <c r="A3" s="98" t="s">
        <v>141</v>
      </c>
      <c r="H3" s="99"/>
      <c r="I3" s="101"/>
      <c r="J3" s="99"/>
      <c r="K3" s="99"/>
    </row>
    <row r="4" spans="1:11" x14ac:dyDescent="0.25">
      <c r="A4" s="98" t="s">
        <v>142</v>
      </c>
      <c r="H4" s="99"/>
      <c r="I4" s="100"/>
      <c r="J4" s="102"/>
      <c r="K4" s="99"/>
    </row>
    <row r="5" spans="1:11" ht="16.5" thickBot="1" x14ac:dyDescent="0.3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 x14ac:dyDescent="0.25">
      <c r="H6" s="99"/>
      <c r="I6" s="99"/>
      <c r="J6" s="99"/>
      <c r="K6" s="99"/>
    </row>
    <row r="7" spans="1:11" x14ac:dyDescent="0.25">
      <c r="A7" s="98" t="s">
        <v>143</v>
      </c>
      <c r="D7" s="98">
        <f>'5. Financing Assumptions'!B15</f>
        <v>30</v>
      </c>
      <c r="H7" s="99"/>
      <c r="I7" s="99"/>
      <c r="J7" s="99"/>
      <c r="K7" s="99"/>
    </row>
    <row r="8" spans="1:11" x14ac:dyDescent="0.25">
      <c r="A8" s="98" t="s">
        <v>144</v>
      </c>
      <c r="D8" s="98">
        <v>1</v>
      </c>
      <c r="H8" s="99"/>
      <c r="I8" s="104"/>
      <c r="J8" s="99"/>
      <c r="K8" s="99"/>
    </row>
    <row r="9" spans="1:11" x14ac:dyDescent="0.25">
      <c r="A9" s="98" t="s">
        <v>145</v>
      </c>
      <c r="D9" s="105">
        <f>BOND_AMOUNT</f>
        <v>4766282.7501152651</v>
      </c>
      <c r="E9" s="98" t="s">
        <v>219</v>
      </c>
      <c r="G9" s="105">
        <f>E53</f>
        <v>1618141.8825157406</v>
      </c>
      <c r="H9" s="99"/>
      <c r="I9" s="106"/>
      <c r="J9" s="99"/>
      <c r="K9" s="99"/>
    </row>
    <row r="10" spans="1:11" x14ac:dyDescent="0.25">
      <c r="A10" s="98" t="s">
        <v>146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25">
      <c r="A11" s="98" t="s">
        <v>147</v>
      </c>
      <c r="D11" s="109">
        <v>0</v>
      </c>
      <c r="H11" s="99"/>
      <c r="I11" s="108"/>
      <c r="J11" s="99"/>
      <c r="K11" s="99"/>
    </row>
    <row r="12" spans="1:11" x14ac:dyDescent="0.25">
      <c r="A12" s="98" t="s">
        <v>148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25">
      <c r="A13" s="98" t="s">
        <v>149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25">
      <c r="A14" s="98" t="s">
        <v>150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25">
      <c r="A15" s="98" t="s">
        <v>151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25">
      <c r="H16" s="99"/>
      <c r="I16" s="108"/>
      <c r="J16" s="99"/>
      <c r="K16" s="99"/>
    </row>
    <row r="17" spans="1:34" x14ac:dyDescent="0.25">
      <c r="A17" s="113" t="s">
        <v>152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2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25">
      <c r="A19" s="98" t="s">
        <v>153</v>
      </c>
      <c r="B19" s="114"/>
      <c r="C19" s="114" t="s">
        <v>154</v>
      </c>
      <c r="D19" s="114" t="s">
        <v>155</v>
      </c>
      <c r="E19" s="114"/>
      <c r="F19" s="114" t="s">
        <v>156</v>
      </c>
      <c r="G19" s="114" t="s">
        <v>157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25">
      <c r="A20" s="119" t="s">
        <v>158</v>
      </c>
      <c r="B20" s="120" t="s">
        <v>159</v>
      </c>
      <c r="C20" s="120" t="s">
        <v>160</v>
      </c>
      <c r="D20" s="120" t="s">
        <v>161</v>
      </c>
      <c r="E20" s="120" t="s">
        <v>162</v>
      </c>
      <c r="F20" s="120" t="s">
        <v>163</v>
      </c>
      <c r="G20" s="120" t="s">
        <v>156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2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2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2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2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2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2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2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2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2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2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2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2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2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2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2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2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2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2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2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2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2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2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2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2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2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2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2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2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2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2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2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2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2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25">
      <c r="A54" s="125"/>
      <c r="C54" s="127"/>
      <c r="D54" s="127"/>
      <c r="E54" s="127"/>
      <c r="F54" s="127"/>
      <c r="G54" s="127"/>
    </row>
    <row r="55" spans="1:11" x14ac:dyDescent="0.25">
      <c r="A55" s="125"/>
      <c r="C55" s="127" t="s">
        <v>294</v>
      </c>
      <c r="D55" s="127"/>
      <c r="E55" s="248">
        <f>'5. Financing Assumptions'!B19</f>
        <v>11.316588960069623</v>
      </c>
      <c r="F55" s="127"/>
      <c r="G55" s="127"/>
    </row>
    <row r="56" spans="1:11" x14ac:dyDescent="0.25">
      <c r="A56" s="125"/>
      <c r="C56" s="127" t="s">
        <v>373</v>
      </c>
      <c r="D56" s="127"/>
      <c r="E56" s="127">
        <f>D9/1000</f>
        <v>4766.2827501152651</v>
      </c>
      <c r="F56" s="127"/>
      <c r="G56" s="127"/>
    </row>
    <row r="57" spans="1:11" x14ac:dyDescent="0.25">
      <c r="A57" s="125"/>
      <c r="C57" s="127" t="s">
        <v>374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25">
      <c r="A58" s="125"/>
      <c r="C58" s="127"/>
      <c r="D58" s="127"/>
      <c r="E58" s="127"/>
      <c r="F58" s="127"/>
      <c r="G58" s="127"/>
    </row>
    <row r="59" spans="1:11" x14ac:dyDescent="0.25">
      <c r="A59" s="125"/>
      <c r="C59" s="127"/>
      <c r="D59" s="127"/>
      <c r="E59" s="127"/>
      <c r="F59" s="127"/>
      <c r="G59" s="127"/>
    </row>
    <row r="60" spans="1:11" x14ac:dyDescent="0.25">
      <c r="A60" s="125"/>
      <c r="C60" s="127"/>
      <c r="D60" s="127"/>
      <c r="E60" s="127"/>
      <c r="F60" s="127"/>
      <c r="G60" s="127"/>
    </row>
    <row r="61" spans="1:11" x14ac:dyDescent="0.25">
      <c r="A61" s="125"/>
      <c r="C61" s="127"/>
      <c r="D61" s="127"/>
      <c r="E61" s="127"/>
      <c r="F61" s="127"/>
      <c r="G61" s="127"/>
    </row>
    <row r="62" spans="1:11" x14ac:dyDescent="0.25">
      <c r="A62" s="125"/>
      <c r="C62" s="127"/>
      <c r="D62" s="127"/>
      <c r="E62" s="127"/>
      <c r="F62" s="127"/>
      <c r="G62" s="127"/>
    </row>
    <row r="63" spans="1:11" x14ac:dyDescent="0.25">
      <c r="A63" s="125"/>
      <c r="C63" s="127"/>
      <c r="D63" s="127"/>
      <c r="E63" s="127"/>
      <c r="F63" s="127"/>
      <c r="G63" s="127"/>
    </row>
    <row r="64" spans="1:11" x14ac:dyDescent="0.25">
      <c r="A64" s="125"/>
      <c r="C64" s="127"/>
      <c r="D64" s="127"/>
      <c r="E64" s="127"/>
      <c r="F64" s="127"/>
      <c r="G64" s="127"/>
    </row>
    <row r="65" spans="1:7" x14ac:dyDescent="0.25">
      <c r="A65" s="125"/>
      <c r="C65" s="127"/>
      <c r="D65" s="127"/>
      <c r="E65" s="127"/>
      <c r="F65" s="127"/>
      <c r="G65" s="127"/>
    </row>
    <row r="66" spans="1:7" x14ac:dyDescent="0.25">
      <c r="A66" s="125"/>
      <c r="C66" s="127"/>
      <c r="D66" s="127"/>
      <c r="E66" s="127"/>
      <c r="F66" s="127"/>
      <c r="G66" s="127"/>
    </row>
    <row r="67" spans="1:7" x14ac:dyDescent="0.25">
      <c r="A67" s="125"/>
      <c r="C67" s="127"/>
      <c r="D67" s="127"/>
      <c r="E67" s="127"/>
      <c r="F67" s="127"/>
      <c r="G67" s="127"/>
    </row>
    <row r="68" spans="1:7" x14ac:dyDescent="0.25">
      <c r="A68" s="125"/>
      <c r="C68" s="127"/>
      <c r="D68" s="127"/>
      <c r="E68" s="127"/>
      <c r="F68" s="127"/>
      <c r="G68" s="127"/>
    </row>
    <row r="69" spans="1:7" x14ac:dyDescent="0.25">
      <c r="A69" s="125"/>
      <c r="C69" s="127"/>
      <c r="D69" s="127"/>
      <c r="E69" s="127"/>
      <c r="F69" s="127"/>
      <c r="G69" s="127"/>
    </row>
    <row r="70" spans="1:7" x14ac:dyDescent="0.25">
      <c r="A70" s="125"/>
      <c r="C70" s="127"/>
      <c r="D70" s="127"/>
      <c r="E70" s="127"/>
      <c r="F70" s="127"/>
      <c r="G70" s="127"/>
    </row>
    <row r="71" spans="1:7" x14ac:dyDescent="0.25">
      <c r="A71" s="125"/>
      <c r="C71" s="127"/>
      <c r="D71" s="127"/>
      <c r="E71" s="127"/>
      <c r="F71" s="127"/>
      <c r="G71" s="127"/>
    </row>
    <row r="72" spans="1:7" x14ac:dyDescent="0.25">
      <c r="A72" s="125"/>
      <c r="C72" s="127"/>
      <c r="D72" s="127"/>
      <c r="E72" s="127"/>
      <c r="F72" s="127"/>
      <c r="G72" s="127"/>
    </row>
    <row r="73" spans="1:7" x14ac:dyDescent="0.25">
      <c r="A73" s="125"/>
      <c r="C73" s="127"/>
      <c r="D73" s="127"/>
      <c r="E73" s="127"/>
      <c r="F73" s="127"/>
      <c r="G73" s="127"/>
    </row>
    <row r="74" spans="1:7" x14ac:dyDescent="0.25">
      <c r="A74" s="125"/>
      <c r="C74" s="127"/>
      <c r="D74" s="127"/>
      <c r="E74" s="127"/>
      <c r="F74" s="127"/>
      <c r="G74" s="127"/>
    </row>
    <row r="75" spans="1:7" x14ac:dyDescent="0.25">
      <c r="A75" s="125"/>
      <c r="C75" s="127"/>
      <c r="D75" s="127"/>
      <c r="E75" s="127"/>
      <c r="F75" s="127"/>
      <c r="G75" s="127"/>
    </row>
    <row r="76" spans="1:7" x14ac:dyDescent="0.25">
      <c r="A76" s="125"/>
      <c r="C76" s="127"/>
      <c r="D76" s="127"/>
      <c r="E76" s="127"/>
      <c r="F76" s="127"/>
      <c r="G76" s="127"/>
    </row>
    <row r="77" spans="1:7" x14ac:dyDescent="0.25">
      <c r="A77" s="125"/>
      <c r="C77" s="127"/>
      <c r="D77" s="127"/>
      <c r="E77" s="127"/>
      <c r="F77" s="127"/>
      <c r="G77" s="127"/>
    </row>
    <row r="78" spans="1:7" x14ac:dyDescent="0.25">
      <c r="A78" s="125"/>
      <c r="C78" s="127"/>
      <c r="D78" s="127"/>
      <c r="E78" s="127"/>
      <c r="F78" s="127"/>
      <c r="G78" s="127"/>
    </row>
    <row r="79" spans="1:7" x14ac:dyDescent="0.25">
      <c r="A79" s="125"/>
      <c r="C79" s="127"/>
      <c r="D79" s="127"/>
      <c r="E79" s="127"/>
      <c r="F79" s="127"/>
      <c r="G79" s="127"/>
    </row>
    <row r="80" spans="1:7" x14ac:dyDescent="0.25">
      <c r="A80" s="125"/>
      <c r="C80" s="127"/>
      <c r="D80" s="127"/>
      <c r="E80" s="127"/>
      <c r="F80" s="127"/>
      <c r="G80" s="127"/>
    </row>
    <row r="81" spans="1:7" x14ac:dyDescent="0.25">
      <c r="A81" s="125"/>
      <c r="C81" s="127"/>
      <c r="D81" s="127"/>
      <c r="E81" s="127"/>
      <c r="F81" s="127"/>
      <c r="G81" s="127"/>
    </row>
    <row r="82" spans="1:7" x14ac:dyDescent="0.2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zoomScale="75" workbookViewId="0">
      <selection activeCell="D31" sqref="D31"/>
    </sheetView>
  </sheetViews>
  <sheetFormatPr defaultRowHeight="12.75" x14ac:dyDescent="0.2"/>
  <cols>
    <col min="1" max="1" width="41.28515625" customWidth="1"/>
    <col min="2" max="2" width="12.5703125" bestFit="1" customWidth="1"/>
    <col min="3" max="3" width="10.42578125" customWidth="1"/>
    <col min="4" max="4" width="8.7109375" customWidth="1"/>
    <col min="5" max="5" width="11.42578125" bestFit="1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 x14ac:dyDescent="0.2">
      <c r="A1" s="209" t="s">
        <v>496</v>
      </c>
      <c r="F1" s="51" t="str">
        <f>Assumptions!$B$12</f>
        <v>Internal</v>
      </c>
    </row>
    <row r="2" spans="1:8" x14ac:dyDescent="0.2">
      <c r="A2" s="50" t="str">
        <f>Assumptions!B10</f>
        <v>City of Manteca</v>
      </c>
      <c r="F2" s="52" t="str">
        <f>Assumptions!$B$13</f>
        <v>Working Draft - v9</v>
      </c>
    </row>
    <row r="3" spans="1:8" x14ac:dyDescent="0.2">
      <c r="A3" s="209" t="s">
        <v>411</v>
      </c>
      <c r="F3" s="53">
        <f>Assumptions!$B$14</f>
        <v>41291</v>
      </c>
    </row>
    <row r="4" spans="1:8" x14ac:dyDescent="0.2">
      <c r="A4" s="50" t="s">
        <v>283</v>
      </c>
    </row>
    <row r="5" spans="1:8" x14ac:dyDescent="0.2">
      <c r="E5" s="189"/>
      <c r="F5" s="189"/>
      <c r="G5" s="186"/>
      <c r="H5" s="201"/>
    </row>
    <row r="6" spans="1:8" x14ac:dyDescent="0.2">
      <c r="E6" s="198"/>
      <c r="F6" s="198"/>
      <c r="G6" s="199"/>
      <c r="H6" s="201"/>
    </row>
    <row r="7" spans="1:8" x14ac:dyDescent="0.2">
      <c r="E7" s="198"/>
      <c r="F7" s="198"/>
      <c r="G7" s="199"/>
      <c r="H7" s="201"/>
    </row>
    <row r="8" spans="1:8" x14ac:dyDescent="0.2">
      <c r="E8" s="198"/>
      <c r="F8" s="198"/>
      <c r="G8" s="199"/>
      <c r="H8" s="201"/>
    </row>
    <row r="9" spans="1:8" ht="36.6" customHeight="1" x14ac:dyDescent="0.2">
      <c r="A9" s="5" t="s">
        <v>7</v>
      </c>
      <c r="B9" s="225" t="s">
        <v>386</v>
      </c>
      <c r="C9" s="251" t="s">
        <v>390</v>
      </c>
      <c r="D9" s="251" t="s">
        <v>393</v>
      </c>
      <c r="E9" s="252" t="s">
        <v>391</v>
      </c>
      <c r="F9" s="252" t="s">
        <v>392</v>
      </c>
      <c r="G9" s="199"/>
      <c r="H9" s="201"/>
    </row>
    <row r="10" spans="1:8" x14ac:dyDescent="0.2">
      <c r="G10" s="199"/>
      <c r="H10" s="201"/>
    </row>
    <row r="11" spans="1:8" x14ac:dyDescent="0.2">
      <c r="G11" s="199"/>
      <c r="H11" s="201"/>
    </row>
    <row r="12" spans="1:8" x14ac:dyDescent="0.2">
      <c r="A12" s="253" t="s">
        <v>395</v>
      </c>
      <c r="B12" s="171"/>
      <c r="C12" s="171"/>
      <c r="D12" s="171"/>
      <c r="E12" s="198"/>
      <c r="F12" s="198"/>
      <c r="G12" s="199"/>
      <c r="H12" s="201"/>
    </row>
    <row r="13" spans="1:8" x14ac:dyDescent="0.2">
      <c r="A13" s="171" t="s">
        <v>388</v>
      </c>
      <c r="B13" s="171" t="s">
        <v>387</v>
      </c>
      <c r="C13" s="171">
        <v>25</v>
      </c>
      <c r="D13" s="171">
        <f>C13/5</f>
        <v>5</v>
      </c>
      <c r="E13" s="187">
        <v>75000</v>
      </c>
      <c r="F13" s="198">
        <f>E13*D13</f>
        <v>375000</v>
      </c>
      <c r="G13" s="199"/>
      <c r="H13" s="202"/>
    </row>
    <row r="14" spans="1:8" x14ac:dyDescent="0.2">
      <c r="A14" t="s">
        <v>267</v>
      </c>
      <c r="B14" s="171" t="s">
        <v>387</v>
      </c>
      <c r="C14" s="171">
        <v>25</v>
      </c>
      <c r="D14" s="171">
        <f>C14/5</f>
        <v>5</v>
      </c>
      <c r="E14" s="192">
        <v>15000</v>
      </c>
      <c r="F14" s="198">
        <f>E14*D14</f>
        <v>75000</v>
      </c>
    </row>
    <row r="15" spans="1:8" x14ac:dyDescent="0.2">
      <c r="E15" s="5"/>
      <c r="F15" s="5"/>
    </row>
    <row r="17" spans="1:6" x14ac:dyDescent="0.2">
      <c r="A17" t="s">
        <v>268</v>
      </c>
      <c r="E17" s="192">
        <f>SUM(E12:E16)</f>
        <v>90000</v>
      </c>
      <c r="F17" s="192">
        <f>SUM(F12:F16)</f>
        <v>450000</v>
      </c>
    </row>
    <row r="18" spans="1:6" x14ac:dyDescent="0.2">
      <c r="E18" s="192"/>
    </row>
    <row r="19" spans="1:6" x14ac:dyDescent="0.2">
      <c r="A19" s="171" t="s">
        <v>394</v>
      </c>
      <c r="E19" s="192"/>
    </row>
    <row r="20" spans="1:6" x14ac:dyDescent="0.2">
      <c r="A20" t="s">
        <v>262</v>
      </c>
      <c r="B20" s="203">
        <v>0.25</v>
      </c>
      <c r="C20" s="203"/>
      <c r="D20" s="203"/>
      <c r="E20" s="192">
        <f>$B$20*E17</f>
        <v>22500</v>
      </c>
      <c r="F20" s="202">
        <f>$F$17*$B20</f>
        <v>112500</v>
      </c>
    </row>
    <row r="21" spans="1:6" x14ac:dyDescent="0.2">
      <c r="A21" t="s">
        <v>263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112500</v>
      </c>
    </row>
    <row r="22" spans="1:6" x14ac:dyDescent="0.2">
      <c r="A22" t="s">
        <v>264</v>
      </c>
      <c r="B22" s="203">
        <v>0.25</v>
      </c>
      <c r="C22" s="203"/>
      <c r="D22" s="203"/>
      <c r="E22" s="192">
        <f>$B$22*E17</f>
        <v>22500</v>
      </c>
      <c r="F22" s="202">
        <f t="shared" si="0"/>
        <v>112500</v>
      </c>
    </row>
    <row r="23" spans="1:6" x14ac:dyDescent="0.2">
      <c r="A23" t="s">
        <v>265</v>
      </c>
      <c r="B23" s="203">
        <v>0.25</v>
      </c>
      <c r="C23" s="203"/>
      <c r="D23" s="203"/>
      <c r="E23" s="192">
        <f>$B$23*E17</f>
        <v>22500</v>
      </c>
      <c r="F23" s="202">
        <f t="shared" si="0"/>
        <v>112500</v>
      </c>
    </row>
    <row r="24" spans="1:6" x14ac:dyDescent="0.2">
      <c r="E24" s="5"/>
      <c r="F24" s="5"/>
    </row>
    <row r="26" spans="1:6" x14ac:dyDescent="0.2">
      <c r="A26" s="171" t="s">
        <v>389</v>
      </c>
      <c r="E26" s="254">
        <f>SUM(E20:E24)</f>
        <v>90000</v>
      </c>
      <c r="F26" s="254">
        <f>SUM(F20:F24)</f>
        <v>450000</v>
      </c>
    </row>
    <row r="27" spans="1:6" x14ac:dyDescent="0.2">
      <c r="A27" s="171"/>
      <c r="E27" s="192"/>
      <c r="F27" s="192"/>
    </row>
    <row r="29" spans="1:6" x14ac:dyDescent="0.2">
      <c r="A29" s="253" t="s">
        <v>396</v>
      </c>
    </row>
    <row r="30" spans="1:6" x14ac:dyDescent="0.2">
      <c r="A30" s="171" t="s">
        <v>388</v>
      </c>
      <c r="B30" s="171" t="s">
        <v>397</v>
      </c>
      <c r="C30" s="171">
        <v>25</v>
      </c>
      <c r="D30" s="171">
        <f>C30/1</f>
        <v>25</v>
      </c>
      <c r="E30" s="187">
        <v>20000</v>
      </c>
      <c r="F30" s="198">
        <f>E30*D30</f>
        <v>500000</v>
      </c>
    </row>
    <row r="31" spans="1:6" x14ac:dyDescent="0.2">
      <c r="A31" t="s">
        <v>267</v>
      </c>
      <c r="B31" s="171" t="s">
        <v>397</v>
      </c>
      <c r="C31" s="171">
        <v>25</v>
      </c>
      <c r="D31" s="171">
        <f>C31/1</f>
        <v>25</v>
      </c>
      <c r="E31" s="192">
        <v>3000</v>
      </c>
      <c r="F31" s="198">
        <f>E31*D31</f>
        <v>75000</v>
      </c>
    </row>
    <row r="32" spans="1:6" x14ac:dyDescent="0.2">
      <c r="E32" s="5"/>
      <c r="F32" s="5"/>
    </row>
    <row r="34" spans="1:6" x14ac:dyDescent="0.2">
      <c r="A34" t="s">
        <v>268</v>
      </c>
      <c r="E34" s="192">
        <f>SUM(E29:E33)</f>
        <v>23000</v>
      </c>
      <c r="F34" s="192">
        <f>SUM(F29:F33)</f>
        <v>575000</v>
      </c>
    </row>
    <row r="35" spans="1:6" x14ac:dyDescent="0.2">
      <c r="E35" s="192"/>
    </row>
    <row r="36" spans="1:6" x14ac:dyDescent="0.2">
      <c r="A36" s="171" t="s">
        <v>394</v>
      </c>
      <c r="E36" s="192"/>
    </row>
    <row r="37" spans="1:6" x14ac:dyDescent="0.2">
      <c r="A37" t="s">
        <v>262</v>
      </c>
      <c r="B37" s="203">
        <v>0.25</v>
      </c>
      <c r="C37" s="203"/>
      <c r="D37" s="203"/>
      <c r="E37" s="192">
        <f>$B$20*E34</f>
        <v>5750</v>
      </c>
      <c r="F37" s="202">
        <f>$F$34*$B37</f>
        <v>143750</v>
      </c>
    </row>
    <row r="38" spans="1:6" x14ac:dyDescent="0.2">
      <c r="A38" t="s">
        <v>263</v>
      </c>
      <c r="B38" s="203">
        <v>0.25</v>
      </c>
      <c r="C38" s="203"/>
      <c r="D38" s="203"/>
      <c r="E38" s="192">
        <f>$B$21*E34</f>
        <v>5750</v>
      </c>
      <c r="F38" s="202">
        <f t="shared" ref="F38:F40" si="1">$F$34*$B38</f>
        <v>143750</v>
      </c>
    </row>
    <row r="39" spans="1:6" x14ac:dyDescent="0.2">
      <c r="A39" t="s">
        <v>264</v>
      </c>
      <c r="B39" s="203">
        <v>0.25</v>
      </c>
      <c r="C39" s="203"/>
      <c r="D39" s="203"/>
      <c r="E39" s="192">
        <f>$B$22*E34</f>
        <v>5750</v>
      </c>
      <c r="F39" s="202">
        <f t="shared" si="1"/>
        <v>143750</v>
      </c>
    </row>
    <row r="40" spans="1:6" x14ac:dyDescent="0.2">
      <c r="A40" t="s">
        <v>265</v>
      </c>
      <c r="B40" s="203">
        <v>0.25</v>
      </c>
      <c r="C40" s="203"/>
      <c r="D40" s="203"/>
      <c r="E40" s="192">
        <f>$B$23*E34</f>
        <v>5750</v>
      </c>
      <c r="F40" s="202">
        <f t="shared" si="1"/>
        <v>143750</v>
      </c>
    </row>
    <row r="41" spans="1:6" x14ac:dyDescent="0.2">
      <c r="E41" s="5"/>
      <c r="F41" s="5"/>
    </row>
    <row r="43" spans="1:6" x14ac:dyDescent="0.2">
      <c r="A43" s="171" t="s">
        <v>398</v>
      </c>
      <c r="E43" s="254">
        <f>SUM(E37:E41)</f>
        <v>23000</v>
      </c>
      <c r="F43" s="254">
        <f>SUM(F37:F41)</f>
        <v>575000</v>
      </c>
    </row>
    <row r="44" spans="1:6" x14ac:dyDescent="0.2">
      <c r="A44" s="171"/>
      <c r="E44" s="192"/>
      <c r="F44" s="192"/>
    </row>
    <row r="46" spans="1:6" x14ac:dyDescent="0.2">
      <c r="A46" s="204" t="s">
        <v>269</v>
      </c>
    </row>
    <row r="47" spans="1:6" x14ac:dyDescent="0.2">
      <c r="A47" t="s">
        <v>270</v>
      </c>
      <c r="B47" s="171" t="s">
        <v>415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">
      <c r="A48" t="s">
        <v>271</v>
      </c>
      <c r="B48" s="171" t="s">
        <v>415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">
      <c r="A49" s="171" t="s">
        <v>409</v>
      </c>
      <c r="E49" s="202">
        <f>SUM(E47:E48)</f>
        <v>425000</v>
      </c>
      <c r="F49" s="202">
        <f>SUM(F47:F48)</f>
        <v>2125000</v>
      </c>
      <c r="G49" s="202"/>
    </row>
    <row r="50" spans="1:7" x14ac:dyDescent="0.2">
      <c r="A50" s="256" t="s">
        <v>406</v>
      </c>
      <c r="B50" s="25">
        <v>0.75</v>
      </c>
      <c r="E50" s="202"/>
      <c r="F50" s="202">
        <f>B50*F49</f>
        <v>1593750</v>
      </c>
      <c r="G50" s="202"/>
    </row>
    <row r="51" spans="1:7" x14ac:dyDescent="0.2">
      <c r="A51" s="256" t="s">
        <v>407</v>
      </c>
      <c r="B51" s="25">
        <v>0.25</v>
      </c>
      <c r="E51" s="202"/>
      <c r="F51" s="202">
        <f>B51*F49</f>
        <v>531250</v>
      </c>
      <c r="G51" s="202"/>
    </row>
    <row r="52" spans="1:7" x14ac:dyDescent="0.2">
      <c r="E52" s="202"/>
    </row>
    <row r="53" spans="1:7" x14ac:dyDescent="0.2">
      <c r="E53" s="202"/>
    </row>
    <row r="54" spans="1:7" x14ac:dyDescent="0.2">
      <c r="A54" s="255" t="s">
        <v>399</v>
      </c>
      <c r="E54" s="202"/>
    </row>
    <row r="55" spans="1:7" x14ac:dyDescent="0.2">
      <c r="A55" t="s">
        <v>272</v>
      </c>
      <c r="B55" s="171" t="s">
        <v>415</v>
      </c>
      <c r="C55" s="171">
        <v>50</v>
      </c>
      <c r="D55" s="171">
        <f>C55/10</f>
        <v>5</v>
      </c>
      <c r="E55" s="192">
        <v>200000</v>
      </c>
      <c r="F55" s="202">
        <f>E55*D55</f>
        <v>1000000</v>
      </c>
    </row>
    <row r="56" spans="1:7" x14ac:dyDescent="0.2">
      <c r="A56" t="s">
        <v>273</v>
      </c>
      <c r="B56" s="171" t="s">
        <v>415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">
      <c r="A57" s="171" t="s">
        <v>409</v>
      </c>
      <c r="E57" s="202">
        <f>SUM(E55:E56)</f>
        <v>275000</v>
      </c>
      <c r="F57" s="202">
        <f>SUM(F55:F56)</f>
        <v>1375000</v>
      </c>
    </row>
    <row r="58" spans="1:7" x14ac:dyDescent="0.2">
      <c r="A58" s="256" t="s">
        <v>406</v>
      </c>
      <c r="B58" s="25">
        <v>0.75</v>
      </c>
      <c r="E58" s="202"/>
      <c r="F58" s="202">
        <f>B58*F57</f>
        <v>1031250</v>
      </c>
      <c r="G58" s="202"/>
    </row>
    <row r="59" spans="1:7" x14ac:dyDescent="0.2">
      <c r="A59" s="256" t="s">
        <v>407</v>
      </c>
      <c r="B59" s="25">
        <v>0.25</v>
      </c>
      <c r="E59" s="202"/>
      <c r="F59" s="202">
        <f>B59*F57</f>
        <v>343750</v>
      </c>
      <c r="G59" s="202"/>
    </row>
    <row r="60" spans="1:7" x14ac:dyDescent="0.2">
      <c r="E60" s="202"/>
    </row>
    <row r="61" spans="1:7" x14ac:dyDescent="0.2">
      <c r="E61" s="202"/>
    </row>
    <row r="62" spans="1:7" x14ac:dyDescent="0.2">
      <c r="A62" s="204" t="s">
        <v>274</v>
      </c>
      <c r="E62" s="202"/>
    </row>
    <row r="63" spans="1:7" x14ac:dyDescent="0.2">
      <c r="A63" t="s">
        <v>275</v>
      </c>
      <c r="B63" s="171" t="s">
        <v>415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">
      <c r="A64" t="s">
        <v>276</v>
      </c>
      <c r="B64" s="171" t="s">
        <v>415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">
      <c r="A65" s="171" t="s">
        <v>409</v>
      </c>
      <c r="E65" s="202">
        <f>SUM(E63:E64)</f>
        <v>375000</v>
      </c>
      <c r="F65" s="202">
        <f>SUM(F63:F64)</f>
        <v>1875000</v>
      </c>
    </row>
    <row r="66" spans="1:7" x14ac:dyDescent="0.2">
      <c r="A66" s="256" t="s">
        <v>406</v>
      </c>
      <c r="B66" s="25">
        <v>0.75</v>
      </c>
      <c r="E66" s="202"/>
      <c r="F66" s="202">
        <f>B66*F65</f>
        <v>1406250</v>
      </c>
      <c r="G66" s="202"/>
    </row>
    <row r="67" spans="1:7" x14ac:dyDescent="0.2">
      <c r="A67" s="256" t="s">
        <v>407</v>
      </c>
      <c r="B67" s="25">
        <v>0.25</v>
      </c>
      <c r="E67" s="202"/>
      <c r="F67" s="202">
        <f>B67*F65</f>
        <v>468750</v>
      </c>
      <c r="G67" s="202"/>
    </row>
    <row r="68" spans="1:7" x14ac:dyDescent="0.2">
      <c r="E68" s="202"/>
    </row>
    <row r="69" spans="1:7" x14ac:dyDescent="0.2">
      <c r="E69" s="202"/>
    </row>
    <row r="70" spans="1:7" x14ac:dyDescent="0.2">
      <c r="A70" s="204" t="s">
        <v>277</v>
      </c>
    </row>
    <row r="71" spans="1:7" x14ac:dyDescent="0.2">
      <c r="A71" t="s">
        <v>278</v>
      </c>
      <c r="B71" s="171" t="s">
        <v>415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">
      <c r="A72" t="s">
        <v>279</v>
      </c>
      <c r="B72" s="171" t="s">
        <v>415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">
      <c r="A73" s="171" t="s">
        <v>408</v>
      </c>
      <c r="E73" s="202">
        <f>SUM(E71:E72)</f>
        <v>450000</v>
      </c>
      <c r="F73" s="202">
        <f>SUM(F71:F72)</f>
        <v>2250000</v>
      </c>
    </row>
    <row r="74" spans="1:7" x14ac:dyDescent="0.2">
      <c r="A74" s="256" t="s">
        <v>406</v>
      </c>
      <c r="B74" s="25">
        <v>0.75</v>
      </c>
      <c r="E74" s="202"/>
      <c r="F74" s="202">
        <f>B74*F73</f>
        <v>1687500</v>
      </c>
      <c r="G74" s="202"/>
    </row>
    <row r="75" spans="1:7" x14ac:dyDescent="0.2">
      <c r="A75" s="256" t="s">
        <v>407</v>
      </c>
      <c r="B75" s="25">
        <v>0.25</v>
      </c>
      <c r="E75" s="202"/>
      <c r="F75" s="202">
        <f>B75*F73</f>
        <v>562500</v>
      </c>
      <c r="G75" s="202"/>
    </row>
    <row r="76" spans="1:7" ht="13.5" thickBot="1" x14ac:dyDescent="0.25">
      <c r="E76" s="206"/>
      <c r="F76" s="207"/>
    </row>
    <row r="77" spans="1:7" x14ac:dyDescent="0.2">
      <c r="E77" s="202"/>
    </row>
    <row r="78" spans="1:7" x14ac:dyDescent="0.2">
      <c r="A78" s="171" t="s">
        <v>400</v>
      </c>
      <c r="E78" s="192">
        <f>E73+E65+E57+E49</f>
        <v>1525000</v>
      </c>
      <c r="F78" s="192">
        <f>F73+F65+F57+F49</f>
        <v>7625000</v>
      </c>
    </row>
    <row r="79" spans="1:7" x14ac:dyDescent="0.2">
      <c r="A79" s="256" t="s">
        <v>406</v>
      </c>
      <c r="E79" s="192"/>
      <c r="F79" s="192">
        <f t="shared" ref="F79:F80" si="2">F74+F66+F58+F50</f>
        <v>5718750</v>
      </c>
    </row>
    <row r="80" spans="1:7" x14ac:dyDescent="0.2">
      <c r="A80" s="256" t="s">
        <v>407</v>
      </c>
      <c r="E80" s="192"/>
      <c r="F80" s="192">
        <f t="shared" si="2"/>
        <v>1906250</v>
      </c>
    </row>
    <row r="81" spans="1:6" x14ac:dyDescent="0.2">
      <c r="A81" s="256"/>
      <c r="E81" s="192"/>
      <c r="F81" s="192"/>
    </row>
    <row r="82" spans="1:6" x14ac:dyDescent="0.2">
      <c r="E82" s="202"/>
    </row>
    <row r="83" spans="1:6" x14ac:dyDescent="0.2">
      <c r="A83" s="257"/>
      <c r="B83" s="258"/>
      <c r="C83" s="258"/>
      <c r="D83" s="258"/>
      <c r="E83" s="259"/>
      <c r="F83" s="260"/>
    </row>
    <row r="84" spans="1:6" x14ac:dyDescent="0.2">
      <c r="A84" s="261" t="s">
        <v>280</v>
      </c>
      <c r="B84" s="262"/>
      <c r="C84" s="262"/>
      <c r="D84" s="262"/>
      <c r="E84" s="263">
        <f>E78+E43+E26</f>
        <v>1638000</v>
      </c>
      <c r="F84" s="264">
        <f>F78+F43+F26</f>
        <v>8650000</v>
      </c>
    </row>
    <row r="85" spans="1:6" x14ac:dyDescent="0.2">
      <c r="A85" s="265" t="s">
        <v>406</v>
      </c>
      <c r="B85" s="262"/>
      <c r="C85" s="262"/>
      <c r="D85" s="262"/>
      <c r="E85" s="195"/>
      <c r="F85" s="266">
        <f>F79+F26+F43</f>
        <v>6743750</v>
      </c>
    </row>
    <row r="86" spans="1:6" x14ac:dyDescent="0.2">
      <c r="A86" s="265" t="s">
        <v>407</v>
      </c>
      <c r="B86" s="262"/>
      <c r="C86" s="262"/>
      <c r="D86" s="262"/>
      <c r="E86" s="195"/>
      <c r="F86" s="266">
        <f>F80</f>
        <v>1906250</v>
      </c>
    </row>
    <row r="87" spans="1:6" x14ac:dyDescent="0.2">
      <c r="A87" s="267"/>
      <c r="B87" s="5"/>
      <c r="C87" s="5"/>
      <c r="D87" s="5"/>
      <c r="E87" s="197"/>
      <c r="F87" s="268"/>
    </row>
    <row r="88" spans="1:6" x14ac:dyDescent="0.2">
      <c r="A88" s="256"/>
      <c r="E88" s="192"/>
      <c r="F88" s="192"/>
    </row>
    <row r="89" spans="1:6" x14ac:dyDescent="0.2">
      <c r="A89" s="208" t="s">
        <v>11</v>
      </c>
    </row>
    <row r="90" spans="1:6" x14ac:dyDescent="0.2">
      <c r="A90" t="s">
        <v>281</v>
      </c>
    </row>
    <row r="91" spans="1:6" x14ac:dyDescent="0.2">
      <c r="A91" s="171" t="s">
        <v>401</v>
      </c>
    </row>
    <row r="92" spans="1:6" x14ac:dyDescent="0.2">
      <c r="A92" t="s">
        <v>282</v>
      </c>
    </row>
  </sheetData>
  <printOptions horizontalCentered="1" verticalCentered="1"/>
  <pageMargins left="0.5" right="0.5" top="1" bottom="1" header="0.5" footer="0.5"/>
  <pageSetup scale="55" orientation="portrait" r:id="rId1"/>
  <headerFooter alignWithMargins="0">
    <oddFooter>&amp;L&amp;8&amp;F  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 x14ac:dyDescent="0.2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 x14ac:dyDescent="0.2">
      <c r="A1" t="s">
        <v>57</v>
      </c>
    </row>
    <row r="2" spans="1:8" x14ac:dyDescent="0.2">
      <c r="A2" t="s">
        <v>58</v>
      </c>
    </row>
    <row r="3" spans="1:8" x14ac:dyDescent="0.2">
      <c r="A3" t="s">
        <v>59</v>
      </c>
    </row>
    <row r="7" spans="1:8" x14ac:dyDescent="0.2">
      <c r="G7" s="42" t="s">
        <v>61</v>
      </c>
    </row>
    <row r="8" spans="1:8" x14ac:dyDescent="0.2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 x14ac:dyDescent="0.2">
      <c r="B9" s="4"/>
      <c r="G9" s="43"/>
    </row>
    <row r="10" spans="1:8" x14ac:dyDescent="0.2">
      <c r="B10" s="4"/>
      <c r="G10" s="43"/>
    </row>
    <row r="11" spans="1:8" x14ac:dyDescent="0.2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">
      <c r="B12" s="4"/>
      <c r="D12" s="21"/>
      <c r="E12" s="21"/>
      <c r="F12" s="21"/>
      <c r="G12" s="43"/>
    </row>
    <row r="13" spans="1:8" x14ac:dyDescent="0.2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288</v>
      </c>
    </row>
    <row r="15" spans="1:8" x14ac:dyDescent="0.2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287</v>
      </c>
    </row>
    <row r="17" spans="1:7" x14ac:dyDescent="0.2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">
      <c r="A22" t="s">
        <v>56</v>
      </c>
    </row>
    <row r="25" spans="1:7" x14ac:dyDescent="0.2">
      <c r="A25" t="s">
        <v>11</v>
      </c>
    </row>
    <row r="27" spans="1:7" x14ac:dyDescent="0.2">
      <c r="A27" t="s">
        <v>79</v>
      </c>
    </row>
    <row r="28" spans="1:7" x14ac:dyDescent="0.2">
      <c r="A28" t="s">
        <v>80</v>
      </c>
    </row>
    <row r="41" ht="12" customHeight="1" x14ac:dyDescent="0.2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zoomScaleNormal="100" workbookViewId="0">
      <pane xSplit="1" ySplit="13" topLeftCell="B51" activePane="bottomRight" state="frozen"/>
      <selection pane="topRight" activeCell="B1" sqref="B1"/>
      <selection pane="bottomLeft" activeCell="A14" sqref="A14"/>
      <selection pane="bottomRight" activeCell="A61" sqref="A61"/>
    </sheetView>
  </sheetViews>
  <sheetFormatPr defaultRowHeight="12.75" x14ac:dyDescent="0.2"/>
  <cols>
    <col min="1" max="1" width="34.7109375" customWidth="1"/>
    <col min="2" max="2" width="11.5703125" bestFit="1" customWidth="1"/>
    <col min="3" max="3" width="13.28515625" bestFit="1" customWidth="1"/>
    <col min="4" max="4" width="11.5703125" hidden="1" customWidth="1"/>
    <col min="5" max="5" width="13.140625" bestFit="1" customWidth="1"/>
    <col min="6" max="7" width="11.42578125" customWidth="1"/>
    <col min="8" max="8" width="10.42578125" hidden="1" customWidth="1"/>
    <col min="9" max="9" width="13.140625" bestFit="1" customWidth="1"/>
    <col min="10" max="10" width="23.42578125" customWidth="1"/>
  </cols>
  <sheetData>
    <row r="1" spans="1:11" x14ac:dyDescent="0.2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v9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41291</v>
      </c>
      <c r="K3" s="171"/>
    </row>
    <row r="4" spans="1:11" x14ac:dyDescent="0.2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299</v>
      </c>
      <c r="H10" s="223" t="s">
        <v>335</v>
      </c>
      <c r="I10" s="223"/>
      <c r="J10" s="171"/>
      <c r="K10" s="171"/>
    </row>
    <row r="11" spans="1:11" x14ac:dyDescent="0.2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">
      <c r="A15" s="96" t="s">
        <v>133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">
      <c r="A18" s="229" t="s">
        <v>494</v>
      </c>
      <c r="B18" s="231">
        <f>'2. CIP From Master Plan'!E122</f>
        <v>2085337</v>
      </c>
      <c r="C18" s="231">
        <f>'2. CIP From Master Plan'!F122</f>
        <v>17048343</v>
      </c>
      <c r="D18" s="231">
        <f>'2. CIP From Master Plan'!G122</f>
        <v>0</v>
      </c>
      <c r="E18" s="231">
        <f>'2. CIP From Master Plan'!H122</f>
        <v>25602950</v>
      </c>
      <c r="F18" s="231">
        <f>'2. CIP From Master Plan'!I122</f>
        <v>2643490</v>
      </c>
      <c r="G18" s="231">
        <f>'2. CIP From Master Plan'!J122</f>
        <v>1606560</v>
      </c>
      <c r="H18" s="231">
        <f>'2. CIP From Master Plan'!K122</f>
        <v>0</v>
      </c>
      <c r="I18" s="231">
        <f>SUM(B18:H18)</f>
        <v>48986680</v>
      </c>
      <c r="J18" s="171" t="s">
        <v>468</v>
      </c>
      <c r="K18" s="171"/>
    </row>
    <row r="19" spans="1:11" x14ac:dyDescent="0.2">
      <c r="A19" s="229" t="s">
        <v>13</v>
      </c>
      <c r="B19" s="232">
        <f t="shared" ref="B19:H19" si="0">SUM(B17:B18)</f>
        <v>2085337</v>
      </c>
      <c r="C19" s="232">
        <f t="shared" si="0"/>
        <v>17048343</v>
      </c>
      <c r="D19" s="232">
        <f t="shared" si="0"/>
        <v>0</v>
      </c>
      <c r="E19" s="232">
        <f t="shared" si="0"/>
        <v>25602950</v>
      </c>
      <c r="F19" s="232">
        <f t="shared" si="0"/>
        <v>2643490</v>
      </c>
      <c r="G19" s="232">
        <f t="shared" si="0"/>
        <v>1606560</v>
      </c>
      <c r="H19" s="232">
        <f t="shared" si="0"/>
        <v>0</v>
      </c>
      <c r="I19" s="230">
        <f>SUM(B19:H19)</f>
        <v>48986680</v>
      </c>
      <c r="J19" s="233"/>
      <c r="K19" s="171"/>
    </row>
    <row r="20" spans="1:11" x14ac:dyDescent="0.2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">
      <c r="A21" s="246" t="s">
        <v>462</v>
      </c>
      <c r="B21" s="333">
        <f>'2. CIP From Master Plan'!E123</f>
        <v>166826.96</v>
      </c>
      <c r="C21" s="333">
        <f>'2. CIP From Master Plan'!F123</f>
        <v>1472067.44</v>
      </c>
      <c r="D21" s="333">
        <f>'2. CIP From Master Plan'!G123</f>
        <v>0</v>
      </c>
      <c r="E21" s="333">
        <f>'2. CIP From Master Plan'!H123</f>
        <v>2257796</v>
      </c>
      <c r="F21" s="333">
        <f>'2. CIP From Master Plan'!I123</f>
        <v>258879.2</v>
      </c>
      <c r="G21" s="333">
        <f>'2. CIP From Master Plan'!J123</f>
        <v>160364.79999999999</v>
      </c>
      <c r="H21" s="333">
        <f>'2. CIP From Master Plan'!K123</f>
        <v>0</v>
      </c>
      <c r="I21" s="247">
        <f>SUM(B21:H21)</f>
        <v>4315934.4000000004</v>
      </c>
      <c r="J21" s="171" t="s">
        <v>468</v>
      </c>
      <c r="K21" s="171"/>
    </row>
    <row r="22" spans="1:11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">
      <c r="A23" s="171" t="s">
        <v>289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 x14ac:dyDescent="0.2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">
      <c r="A26" s="171" t="s">
        <v>295</v>
      </c>
      <c r="B26" s="234">
        <f>B19+B23+B21</f>
        <v>2252163.96</v>
      </c>
      <c r="C26" s="234">
        <f t="shared" ref="C26:I26" si="1">C19+C23+C21</f>
        <v>18520410.440000001</v>
      </c>
      <c r="D26" s="234">
        <f t="shared" si="1"/>
        <v>0</v>
      </c>
      <c r="E26" s="234">
        <f t="shared" si="1"/>
        <v>27860746</v>
      </c>
      <c r="F26" s="234">
        <f t="shared" si="1"/>
        <v>2902369.2</v>
      </c>
      <c r="G26" s="234">
        <f t="shared" si="1"/>
        <v>1766924.8</v>
      </c>
      <c r="H26" s="234">
        <f t="shared" si="1"/>
        <v>0</v>
      </c>
      <c r="I26" s="234">
        <f t="shared" si="1"/>
        <v>53302614.399999999</v>
      </c>
      <c r="J26" s="171"/>
      <c r="K26" s="171"/>
    </row>
    <row r="27" spans="1:11" x14ac:dyDescent="0.2">
      <c r="A27" s="229" t="s">
        <v>296</v>
      </c>
      <c r="B27" s="237">
        <f t="shared" ref="B27:I27" si="2">B26/$I$26</f>
        <v>4.2252410793568881E-2</v>
      </c>
      <c r="C27" s="237">
        <f t="shared" si="2"/>
        <v>0.34745782450776003</v>
      </c>
      <c r="D27" s="237">
        <f t="shared" si="2"/>
        <v>0</v>
      </c>
      <c r="E27" s="237">
        <f t="shared" si="2"/>
        <v>0.52269004651299056</v>
      </c>
      <c r="F27" s="237">
        <f t="shared" ref="F27:G27" si="3">F26/$I$26</f>
        <v>5.4450785063180698E-2</v>
      </c>
      <c r="G27" s="237">
        <f t="shared" si="3"/>
        <v>3.3148933122499898E-2</v>
      </c>
      <c r="H27" s="237">
        <f t="shared" si="2"/>
        <v>0</v>
      </c>
      <c r="I27" s="237">
        <f t="shared" si="2"/>
        <v>1</v>
      </c>
      <c r="J27" s="171"/>
      <c r="K27" s="171"/>
    </row>
    <row r="28" spans="1:11" x14ac:dyDescent="0.2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">
      <c r="A29" s="96" t="s">
        <v>135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">
      <c r="A30" s="229" t="s">
        <v>295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">
      <c r="A31" s="229" t="s">
        <v>297</v>
      </c>
      <c r="B31" s="231">
        <f>(B19/1000)*'5. Financing Assumptions'!$B$19*'5. Financing Assumptions'!$B$15</f>
        <v>707967.05016674125</v>
      </c>
      <c r="C31" s="231">
        <f>(C19/1000)*'5. Financing Assumptions'!$B$19*'5. Financing Assumptions'!$B$15</f>
        <v>5787872.7054384071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8692141.8394564372</v>
      </c>
      <c r="F31" s="231">
        <f>(F19/1000)*'5. Financing Assumptions'!$B$19*'5. Financing Assumptions'!$B$15</f>
        <v>897458.69250163343</v>
      </c>
      <c r="G31" s="231">
        <f>(G19/1000)*'5. Financing Assumptions'!$B$19*'5. Financing Assumptions'!$B$15</f>
        <v>545423.37479068362</v>
      </c>
      <c r="H31" s="231">
        <f>(H19/1000)*'5. Financing Assumptions'!$B$19*'5. Financing Assumptions'!$B$15</f>
        <v>0</v>
      </c>
      <c r="I31" s="231">
        <f>SUM(B31:H31)</f>
        <v>16630863.662353903</v>
      </c>
      <c r="J31" s="171" t="s">
        <v>194</v>
      </c>
      <c r="K31" s="171"/>
    </row>
    <row r="32" spans="1:11" x14ac:dyDescent="0.2">
      <c r="A32" s="229" t="s">
        <v>298</v>
      </c>
      <c r="B32" s="232">
        <f t="shared" ref="B32:H32" si="4">SUM(B30:B31)</f>
        <v>707967.05016674125</v>
      </c>
      <c r="C32" s="232">
        <f t="shared" si="4"/>
        <v>5787872.7054384071</v>
      </c>
      <c r="D32" s="232">
        <f t="shared" si="4"/>
        <v>0</v>
      </c>
      <c r="E32" s="232">
        <f t="shared" si="4"/>
        <v>8692141.8394564372</v>
      </c>
      <c r="F32" s="232">
        <f t="shared" si="4"/>
        <v>897458.69250163343</v>
      </c>
      <c r="G32" s="232">
        <f t="shared" si="4"/>
        <v>545423.37479068362</v>
      </c>
      <c r="H32" s="232">
        <f t="shared" si="4"/>
        <v>0</v>
      </c>
      <c r="I32" s="230">
        <f>SUM(B32:H32)</f>
        <v>16630863.662353903</v>
      </c>
      <c r="J32" s="233"/>
      <c r="K32" s="171"/>
    </row>
    <row r="33" spans="1:11" x14ac:dyDescent="0.2">
      <c r="A33" s="229"/>
      <c r="B33" s="237">
        <f t="shared" ref="B33:H33" si="5">IF(B19&gt;0,B32/B19,0)</f>
        <v>0.3394976688020887</v>
      </c>
      <c r="C33" s="237">
        <f t="shared" si="5"/>
        <v>0.3394976688020887</v>
      </c>
      <c r="D33" s="237">
        <f t="shared" si="5"/>
        <v>0</v>
      </c>
      <c r="E33" s="237">
        <f t="shared" si="5"/>
        <v>0.3394976688020887</v>
      </c>
      <c r="F33" s="237">
        <f t="shared" si="5"/>
        <v>0.3394976688020887</v>
      </c>
      <c r="G33" s="237">
        <f t="shared" si="5"/>
        <v>0.3394976688020887</v>
      </c>
      <c r="H33" s="237">
        <f t="shared" si="5"/>
        <v>0</v>
      </c>
      <c r="I33" s="171"/>
      <c r="J33" s="171"/>
      <c r="K33" s="171"/>
    </row>
    <row r="34" spans="1:11" x14ac:dyDescent="0.2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">
      <c r="A35" s="96" t="s">
        <v>134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">
      <c r="A36" s="171" t="s">
        <v>421</v>
      </c>
      <c r="B36" s="228">
        <f>B$27*I36</f>
        <v>133623.2491346616</v>
      </c>
      <c r="C36" s="228">
        <f>C$27*I36</f>
        <v>1098835.3700057911</v>
      </c>
      <c r="D36" s="228">
        <f>D$27*I36</f>
        <v>0</v>
      </c>
      <c r="E36" s="228">
        <f>E$27*I36</f>
        <v>1653007.2720973326</v>
      </c>
      <c r="F36" s="228">
        <f>F$27*I36</f>
        <v>172200.60776230897</v>
      </c>
      <c r="G36" s="228">
        <f>G$27*I36</f>
        <v>104833.50099990593</v>
      </c>
      <c r="H36" s="228">
        <f>H$27*I36</f>
        <v>0</v>
      </c>
      <c r="I36" s="238">
        <f>'Sum 1. City Admin Costs Summary'!E14</f>
        <v>3162500</v>
      </c>
      <c r="J36" s="239" t="s">
        <v>459</v>
      </c>
      <c r="K36" s="171"/>
    </row>
    <row r="37" spans="1:11" x14ac:dyDescent="0.2">
      <c r="A37" s="229" t="s">
        <v>402</v>
      </c>
      <c r="B37" s="242">
        <f>B26*0.03</f>
        <v>67564.918799999999</v>
      </c>
      <c r="C37" s="242">
        <f t="shared" ref="C37:H37" si="6">C26*0.03</f>
        <v>555612.31319999998</v>
      </c>
      <c r="D37" s="242">
        <f t="shared" si="6"/>
        <v>0</v>
      </c>
      <c r="E37" s="242">
        <f t="shared" si="6"/>
        <v>835822.38</v>
      </c>
      <c r="F37" s="242">
        <f t="shared" si="6"/>
        <v>87071.076000000001</v>
      </c>
      <c r="G37" s="242">
        <f t="shared" si="6"/>
        <v>53007.743999999999</v>
      </c>
      <c r="H37" s="242">
        <f t="shared" si="6"/>
        <v>0</v>
      </c>
      <c r="I37" s="236">
        <f>SUM(B37:H37)</f>
        <v>1599078.432</v>
      </c>
      <c r="J37" s="239" t="s">
        <v>366</v>
      </c>
      <c r="K37" s="171"/>
    </row>
    <row r="38" spans="1:11" x14ac:dyDescent="0.2">
      <c r="A38" s="171" t="s">
        <v>405</v>
      </c>
      <c r="B38" s="228">
        <f t="shared" ref="B38:I38" si="7">SUM(B35:B37)</f>
        <v>201188.16793466161</v>
      </c>
      <c r="C38" s="228">
        <f t="shared" si="7"/>
        <v>1654447.6832057911</v>
      </c>
      <c r="D38" s="228">
        <f t="shared" si="7"/>
        <v>0</v>
      </c>
      <c r="E38" s="228">
        <f t="shared" si="7"/>
        <v>2488829.6520973328</v>
      </c>
      <c r="F38" s="228">
        <f t="shared" si="7"/>
        <v>259271.68376230897</v>
      </c>
      <c r="G38" s="228">
        <f t="shared" si="7"/>
        <v>157841.24499990593</v>
      </c>
      <c r="H38" s="228">
        <f t="shared" si="7"/>
        <v>0</v>
      </c>
      <c r="I38" s="228">
        <f t="shared" si="7"/>
        <v>4761578.432</v>
      </c>
      <c r="J38" s="171"/>
      <c r="K38" s="171"/>
    </row>
    <row r="39" spans="1:11" x14ac:dyDescent="0.2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">
      <c r="A41" s="96" t="s">
        <v>136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">
      <c r="A42" s="171" t="s">
        <v>137</v>
      </c>
      <c r="B42" s="324">
        <v>48081.27</v>
      </c>
      <c r="C42" s="324">
        <v>-1832533.98</v>
      </c>
      <c r="D42" s="324">
        <v>0</v>
      </c>
      <c r="E42" s="324">
        <v>-3758396.12</v>
      </c>
      <c r="F42" s="324">
        <f>'3. Fund Balance Sewer'!K65</f>
        <v>-8920</v>
      </c>
      <c r="G42" s="324">
        <v>0</v>
      </c>
      <c r="H42" s="324">
        <v>0</v>
      </c>
      <c r="I42" s="339">
        <f>SUM(B42:H42)</f>
        <v>-5551768.8300000001</v>
      </c>
      <c r="J42" s="171" t="s">
        <v>475</v>
      </c>
      <c r="K42" s="171"/>
    </row>
    <row r="43" spans="1:11" x14ac:dyDescent="0.2">
      <c r="A43" s="171" t="s">
        <v>300</v>
      </c>
      <c r="B43" s="337">
        <v>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8">
        <f>SUM(B43:H43)</f>
        <v>0</v>
      </c>
      <c r="J43" s="171"/>
      <c r="K43" s="171"/>
    </row>
    <row r="44" spans="1:11" x14ac:dyDescent="0.2">
      <c r="A44" s="171" t="s">
        <v>476</v>
      </c>
      <c r="B44" s="228">
        <f t="shared" ref="B44:I44" si="8">SUM(B41:B43)</f>
        <v>48081.27</v>
      </c>
      <c r="C44" s="228">
        <f t="shared" si="8"/>
        <v>-1832533.98</v>
      </c>
      <c r="D44" s="228">
        <f t="shared" si="8"/>
        <v>0</v>
      </c>
      <c r="E44" s="228">
        <f t="shared" si="8"/>
        <v>-3758396.12</v>
      </c>
      <c r="F44" s="228">
        <f t="shared" si="8"/>
        <v>-8920</v>
      </c>
      <c r="G44" s="228">
        <f t="shared" si="8"/>
        <v>0</v>
      </c>
      <c r="H44" s="228">
        <f t="shared" si="8"/>
        <v>0</v>
      </c>
      <c r="I44" s="228">
        <f t="shared" si="8"/>
        <v>-5551768.8300000001</v>
      </c>
      <c r="J44" s="171"/>
      <c r="K44" s="171"/>
    </row>
    <row r="45" spans="1:11" x14ac:dyDescent="0.2">
      <c r="A45" s="171"/>
      <c r="B45" s="228"/>
      <c r="C45" s="228"/>
      <c r="D45" s="228"/>
      <c r="E45" s="228"/>
      <c r="F45" s="228"/>
      <c r="G45" s="228"/>
      <c r="H45" s="228"/>
      <c r="I45" s="228"/>
      <c r="J45" s="171"/>
      <c r="K45" s="171"/>
    </row>
    <row r="46" spans="1:11" x14ac:dyDescent="0.2">
      <c r="A46" s="171"/>
      <c r="B46" s="224"/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 x14ac:dyDescent="0.2">
      <c r="A47" s="171" t="s">
        <v>367</v>
      </c>
      <c r="B47" s="240">
        <f t="shared" ref="B47:I47" si="9">B26+B38+B32-B44</f>
        <v>3113237.9081014027</v>
      </c>
      <c r="C47" s="240">
        <f t="shared" si="9"/>
        <v>27795264.808644202</v>
      </c>
      <c r="D47" s="240">
        <f t="shared" si="9"/>
        <v>0</v>
      </c>
      <c r="E47" s="240">
        <f t="shared" si="9"/>
        <v>42800113.611553766</v>
      </c>
      <c r="F47" s="240">
        <f t="shared" si="9"/>
        <v>4068019.5762639428</v>
      </c>
      <c r="G47" s="240">
        <f t="shared" si="9"/>
        <v>2470189.4197905893</v>
      </c>
      <c r="H47" s="240">
        <f t="shared" si="9"/>
        <v>0</v>
      </c>
      <c r="I47" s="240">
        <f t="shared" si="9"/>
        <v>80246825.324353904</v>
      </c>
      <c r="J47" s="171"/>
      <c r="K47" s="171"/>
    </row>
    <row r="48" spans="1:1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x14ac:dyDescent="0.2">
      <c r="A49" s="171" t="s">
        <v>138</v>
      </c>
      <c r="B49" s="238">
        <f>'1.3 Total EDUs Developed'!O24</f>
        <v>698809.96016300004</v>
      </c>
      <c r="C49" s="238">
        <f>'1.3 Total EDUs Developed'!O67</f>
        <v>2092409.5708093999</v>
      </c>
      <c r="D49" s="324">
        <v>0</v>
      </c>
      <c r="E49" s="238">
        <f>'1.3 Total EDUs Developed'!O94</f>
        <v>3969703.1684243986</v>
      </c>
      <c r="F49" s="238">
        <f>'1.3 Total EDUs Developed'!O112</f>
        <v>873715.51314520009</v>
      </c>
      <c r="G49" s="238">
        <f>'1.3 Total EDUs Developed'!O121</f>
        <v>265666.56</v>
      </c>
      <c r="H49" s="238">
        <v>0</v>
      </c>
      <c r="I49" s="238">
        <f>SUM(B49:H49)</f>
        <v>7900304.772541998</v>
      </c>
      <c r="J49" s="238"/>
      <c r="K49" s="171"/>
    </row>
    <row r="50" spans="1:11" x14ac:dyDescent="0.2">
      <c r="A50" s="171" t="s">
        <v>139</v>
      </c>
      <c r="B50" s="309">
        <f>IF(B49=0,"n/a",B47/B49)</f>
        <v>4.4550565755748934</v>
      </c>
      <c r="C50" s="309">
        <f t="shared" ref="C50:H50" si="10">IF(C49=0,"n/a",C47/C49)</f>
        <v>13.283854746416711</v>
      </c>
      <c r="D50" s="328" t="str">
        <f t="shared" si="10"/>
        <v>n/a</v>
      </c>
      <c r="E50" s="309">
        <f t="shared" si="10"/>
        <v>10.781691173282715</v>
      </c>
      <c r="F50" s="309">
        <f t="shared" si="10"/>
        <v>4.6560001683155319</v>
      </c>
      <c r="G50" s="309">
        <f t="shared" si="10"/>
        <v>9.2980818503863993</v>
      </c>
      <c r="H50" s="328" t="str">
        <f t="shared" si="10"/>
        <v>n/a</v>
      </c>
      <c r="I50" s="309"/>
      <c r="J50" s="171"/>
      <c r="K50" s="171"/>
    </row>
    <row r="51" spans="1:11" x14ac:dyDescent="0.2">
      <c r="A51" s="171" t="s">
        <v>498</v>
      </c>
      <c r="B51" s="309">
        <f>-((900*0.5)/160)</f>
        <v>-2.8125</v>
      </c>
      <c r="C51" s="309">
        <f>B51</f>
        <v>-2.8125</v>
      </c>
      <c r="D51" s="309">
        <f t="shared" ref="D51:G51" si="11">C51</f>
        <v>-2.8125</v>
      </c>
      <c r="E51" s="309">
        <f t="shared" si="11"/>
        <v>-2.8125</v>
      </c>
      <c r="F51" s="309">
        <f t="shared" si="11"/>
        <v>-2.8125</v>
      </c>
      <c r="G51" s="309">
        <f t="shared" si="11"/>
        <v>-2.8125</v>
      </c>
      <c r="H51" s="171"/>
      <c r="I51" s="171"/>
      <c r="J51" s="171" t="s">
        <v>500</v>
      </c>
      <c r="K51" s="171"/>
    </row>
    <row r="52" spans="1:11" x14ac:dyDescent="0.2">
      <c r="A52" s="171" t="s">
        <v>499</v>
      </c>
      <c r="B52" s="359">
        <f>B50+B51</f>
        <v>1.6425565755748934</v>
      </c>
      <c r="C52" s="359">
        <f>C50+C51</f>
        <v>10.471354746416711</v>
      </c>
      <c r="D52" s="359" t="e">
        <f>D50+D51</f>
        <v>#VALUE!</v>
      </c>
      <c r="E52" s="359">
        <f>E50+E51</f>
        <v>7.9691911732827148</v>
      </c>
      <c r="F52" s="359">
        <f>F50+F51</f>
        <v>1.8435001683155319</v>
      </c>
      <c r="G52" s="359">
        <f>G50+G51</f>
        <v>6.4855818503863993</v>
      </c>
      <c r="H52" s="171"/>
      <c r="I52" s="171"/>
      <c r="J52" s="171"/>
      <c r="K52" s="171"/>
    </row>
    <row r="53" spans="1:11" x14ac:dyDescent="0.2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 x14ac:dyDescent="0.2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 x14ac:dyDescent="0.2">
      <c r="A56" s="171" t="s">
        <v>450</v>
      </c>
      <c r="B56" s="238">
        <f>'1.3 Total EDUs Developed'!O22</f>
        <v>4367.5622510187504</v>
      </c>
      <c r="C56" s="238">
        <f>'1.3 Total EDUs Developed'!O65</f>
        <v>13077.559817558749</v>
      </c>
      <c r="D56" s="324">
        <v>0</v>
      </c>
      <c r="E56" s="238">
        <f>'1.3 Total EDUs Developed'!O92</f>
        <v>24810.644802652492</v>
      </c>
      <c r="F56" s="238">
        <f>'1.3 Total EDUs Developed'!O110</f>
        <v>5460.7219571575006</v>
      </c>
      <c r="G56" s="238">
        <f>'1.3 Total EDUs Developed'!O119</f>
        <v>1660.4159999999999</v>
      </c>
      <c r="H56" s="238">
        <v>0</v>
      </c>
      <c r="I56" s="238">
        <f>SUM(B56:H56)</f>
        <v>49376.904828387487</v>
      </c>
      <c r="J56" s="238"/>
      <c r="K56" s="171"/>
    </row>
    <row r="57" spans="1:11" x14ac:dyDescent="0.2">
      <c r="A57" s="171" t="s">
        <v>445</v>
      </c>
      <c r="B57" s="310">
        <f>IF(B56=0,"n/a",B47/B56)</f>
        <v>712.80905209198295</v>
      </c>
      <c r="C57" s="310">
        <f>IF(C56=0,"n/a",C47/C56)</f>
        <v>2125.4167594266737</v>
      </c>
      <c r="D57" s="327" t="str">
        <f>IF(D56=0,"n/a",D47/D56)</f>
        <v>n/a</v>
      </c>
      <c r="E57" s="310">
        <f>IF(E56=0,"n/a",E47/E56)</f>
        <v>1725.0705877252344</v>
      </c>
      <c r="F57" s="310">
        <f>IF(F56=0,"n/a",F47/F56)</f>
        <v>744.96002693048501</v>
      </c>
      <c r="G57" s="310">
        <f>IF(G56=0,"n/a",G47/G56)</f>
        <v>1487.6930960618238</v>
      </c>
      <c r="H57" s="327" t="str">
        <f>IF(H56=0,"n/a",H47/H56)</f>
        <v>n/a</v>
      </c>
      <c r="I57" s="310"/>
      <c r="J57" s="238"/>
      <c r="K57" s="171"/>
    </row>
    <row r="58" spans="1:11" x14ac:dyDescent="0.2">
      <c r="A58" s="171" t="s">
        <v>504</v>
      </c>
      <c r="B58" s="310">
        <f>-((900*0.5))</f>
        <v>-450</v>
      </c>
      <c r="C58" s="310">
        <f t="shared" ref="C58:G58" si="12">-((900*0.5))</f>
        <v>-450</v>
      </c>
      <c r="D58" s="310">
        <f t="shared" si="12"/>
        <v>-450</v>
      </c>
      <c r="E58" s="310">
        <f t="shared" si="12"/>
        <v>-450</v>
      </c>
      <c r="F58" s="310">
        <f t="shared" si="12"/>
        <v>-450</v>
      </c>
      <c r="G58" s="310">
        <f t="shared" si="12"/>
        <v>-450</v>
      </c>
      <c r="H58" s="171"/>
      <c r="I58" s="171"/>
      <c r="J58" s="171" t="s">
        <v>502</v>
      </c>
      <c r="K58" s="171"/>
    </row>
    <row r="59" spans="1:11" x14ac:dyDescent="0.2">
      <c r="A59" s="171" t="s">
        <v>505</v>
      </c>
      <c r="B59" s="369">
        <f>B57+B58</f>
        <v>262.80905209198295</v>
      </c>
      <c r="C59" s="369">
        <f>C57+C58</f>
        <v>1675.4167594266737</v>
      </c>
      <c r="D59" s="369" t="e">
        <f>D57+D58</f>
        <v>#VALUE!</v>
      </c>
      <c r="E59" s="369">
        <f>E57+E58</f>
        <v>1275.0705877252344</v>
      </c>
      <c r="F59" s="369">
        <f>F57+F58</f>
        <v>294.96002693048501</v>
      </c>
      <c r="G59" s="369">
        <f>G57+G58</f>
        <v>1037.6930960618238</v>
      </c>
      <c r="H59" s="171"/>
      <c r="I59" s="171"/>
      <c r="J59" s="171"/>
      <c r="K59" s="171"/>
    </row>
    <row r="60" spans="1:11" x14ac:dyDescent="0.2">
      <c r="A60" s="171"/>
      <c r="B60" s="368"/>
      <c r="C60" s="368"/>
      <c r="D60" s="368"/>
      <c r="E60" s="310"/>
      <c r="F60" s="310"/>
      <c r="G60" s="310"/>
      <c r="H60" s="171"/>
      <c r="I60" s="171"/>
      <c r="J60" s="171"/>
      <c r="K60" s="171"/>
    </row>
    <row r="61" spans="1:11" x14ac:dyDescent="0.2">
      <c r="A61" s="171"/>
      <c r="B61" s="368"/>
      <c r="C61" s="368"/>
      <c r="D61" s="368"/>
      <c r="E61" s="310"/>
      <c r="F61" s="310"/>
      <c r="G61" s="310"/>
      <c r="H61" s="171"/>
      <c r="I61" s="171"/>
      <c r="J61" s="171"/>
      <c r="K61" s="171"/>
    </row>
    <row r="62" spans="1:11" x14ac:dyDescent="0.2">
      <c r="A62" s="171"/>
      <c r="B62" s="368"/>
      <c r="C62" s="368"/>
      <c r="D62" s="368"/>
      <c r="E62" s="310"/>
      <c r="F62" s="310"/>
      <c r="G62" s="310"/>
      <c r="H62" s="171"/>
      <c r="I62" s="171"/>
      <c r="J62" s="171"/>
      <c r="K62" s="171"/>
    </row>
    <row r="63" spans="1:11" x14ac:dyDescent="0.2">
      <c r="A63" s="171"/>
      <c r="B63" s="344"/>
      <c r="C63" s="344"/>
      <c r="D63" s="344"/>
      <c r="E63" s="344"/>
      <c r="F63" s="344"/>
      <c r="G63" s="344"/>
      <c r="H63" s="171"/>
      <c r="I63" s="171"/>
      <c r="J63" s="238"/>
      <c r="K63" s="171"/>
    </row>
    <row r="64" spans="1:11" hidden="1" x14ac:dyDescent="0.2">
      <c r="A64" s="171" t="s">
        <v>451</v>
      </c>
      <c r="B64" s="238">
        <f>'1.3 Total EDUs Developed'!I22</f>
        <v>864.86381208292084</v>
      </c>
      <c r="C64" s="238">
        <f>'1.3 Total EDUs Developed'!I65</f>
        <v>2589.6158054571774</v>
      </c>
      <c r="D64" s="324">
        <v>0</v>
      </c>
      <c r="E64" s="238">
        <f>'1.3 Total EDUs Developed'!I92</f>
        <v>4912.9989708222774</v>
      </c>
      <c r="F64" s="238">
        <f>'1.3 Total EDUs Developed'!I110</f>
        <v>1081.3310806252475</v>
      </c>
      <c r="G64" s="238">
        <f>'1.3 Total EDUs Developed'!I119</f>
        <v>328.79524752475248</v>
      </c>
      <c r="H64" s="238">
        <v>0</v>
      </c>
      <c r="I64" s="238">
        <f>SUM(B64:H64)</f>
        <v>9777.604916512375</v>
      </c>
      <c r="J64" s="238"/>
      <c r="K64" s="171"/>
    </row>
    <row r="65" spans="1:11" hidden="1" x14ac:dyDescent="0.2">
      <c r="A65" s="171" t="s">
        <v>446</v>
      </c>
      <c r="B65" s="310">
        <f>IF(B64=0,"n/a",B47/B64)</f>
        <v>3599.6857130645139</v>
      </c>
      <c r="C65" s="310">
        <f>IF(C64=0,"n/a",C47/C64)</f>
        <v>10733.354635104706</v>
      </c>
      <c r="D65" s="327" t="str">
        <f>IF(D64=0,"n/a",D47/D64)</f>
        <v>n/a</v>
      </c>
      <c r="E65" s="310">
        <f>IF(E64=0,"n/a",E47/E64)</f>
        <v>8711.6064680124309</v>
      </c>
      <c r="F65" s="310">
        <f>IF(F64=0,"n/a",F47/F64)</f>
        <v>3762.0481359989499</v>
      </c>
      <c r="G65" s="310">
        <f>IF(G64=0,"n/a",G47/G64)</f>
        <v>7512.8501351122104</v>
      </c>
      <c r="H65" s="327" t="str">
        <f>IF(H64=0,"n/a",H47/H64)</f>
        <v>n/a</v>
      </c>
      <c r="I65" s="310"/>
      <c r="J65" s="238"/>
      <c r="K65" s="171"/>
    </row>
    <row r="66" spans="1:11" x14ac:dyDescent="0.2">
      <c r="A66" s="171"/>
      <c r="B66" s="171"/>
      <c r="C66" s="171"/>
      <c r="D66" s="171"/>
      <c r="E66" s="171"/>
      <c r="F66" s="171"/>
      <c r="G66" s="171"/>
      <c r="H66" s="171"/>
      <c r="I66" s="171"/>
      <c r="J66" s="238"/>
      <c r="K66" s="171"/>
    </row>
    <row r="67" spans="1:1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</row>
    <row r="68" spans="1:11" x14ac:dyDescent="0.2">
      <c r="A68" s="241" t="s">
        <v>11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</row>
    <row r="69" spans="1:11" x14ac:dyDescent="0.2">
      <c r="A69" s="245" t="s">
        <v>495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</row>
    <row r="70" spans="1:11" x14ac:dyDescent="0.2">
      <c r="A70" s="171" t="s">
        <v>458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71"/>
    </row>
    <row r="71" spans="1:11" x14ac:dyDescent="0.2">
      <c r="A71" s="171" t="s">
        <v>365</v>
      </c>
      <c r="B71" s="171"/>
      <c r="C71" s="171"/>
      <c r="D71" s="171"/>
      <c r="E71" s="171"/>
      <c r="F71" s="171"/>
      <c r="G71" s="171"/>
      <c r="H71" s="171"/>
      <c r="I71" s="171"/>
      <c r="J71" s="171"/>
    </row>
    <row r="72" spans="1:11" x14ac:dyDescent="0.2">
      <c r="A72" s="171" t="s">
        <v>469</v>
      </c>
      <c r="B72" s="171"/>
      <c r="C72" s="171"/>
      <c r="D72" s="171"/>
      <c r="E72" s="171"/>
      <c r="F72" s="171"/>
      <c r="G72" s="171"/>
    </row>
    <row r="73" spans="1:11" x14ac:dyDescent="0.2">
      <c r="A73" s="171" t="s">
        <v>471</v>
      </c>
      <c r="B73" s="171"/>
      <c r="C73" s="171"/>
      <c r="D73" s="171"/>
      <c r="E73" s="171"/>
      <c r="F73" s="171"/>
      <c r="G73" s="171"/>
    </row>
    <row r="74" spans="1:11" x14ac:dyDescent="0.2">
      <c r="A74" s="171" t="s">
        <v>470</v>
      </c>
      <c r="B74" s="171"/>
      <c r="C74" s="171"/>
      <c r="D74" s="171"/>
      <c r="E74" s="171"/>
      <c r="F74" s="171"/>
      <c r="G74" s="171"/>
    </row>
    <row r="75" spans="1:11" x14ac:dyDescent="0.2">
      <c r="A75" s="367" t="s">
        <v>501</v>
      </c>
      <c r="B75" s="171"/>
      <c r="C75" s="171"/>
      <c r="D75" s="171"/>
      <c r="E75" s="171"/>
      <c r="F75" s="171"/>
      <c r="G75" s="171"/>
    </row>
    <row r="76" spans="1:11" x14ac:dyDescent="0.2">
      <c r="A76" s="367" t="s">
        <v>503</v>
      </c>
    </row>
  </sheetData>
  <printOptions horizontalCentered="1" verticalCentered="1"/>
  <pageMargins left="0.5" right="0.5" top="1" bottom="1" header="0.5" footer="0.5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4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D13" sqref="AD13"/>
    </sheetView>
  </sheetViews>
  <sheetFormatPr defaultRowHeight="12.75" x14ac:dyDescent="0.2"/>
  <cols>
    <col min="1" max="1" width="22.5703125" bestFit="1" customWidth="1"/>
    <col min="2" max="2" width="4.5703125" customWidth="1"/>
    <col min="3" max="6" width="0" hidden="1" customWidth="1"/>
    <col min="7" max="7" width="8.85546875" hidden="1" customWidth="1"/>
    <col min="8" max="11" width="0" hidden="1" customWidth="1"/>
    <col min="12" max="12" width="5.28515625" hidden="1" customWidth="1"/>
    <col min="13" max="13" width="9.140625" hidden="1" customWidth="1"/>
    <col min="14" max="19" width="0" hidden="1" customWidth="1"/>
    <col min="20" max="20" width="16.28515625" hidden="1" customWidth="1"/>
    <col min="21" max="21" width="16.140625" hidden="1" customWidth="1"/>
    <col min="22" max="22" width="5.7109375" hidden="1" customWidth="1"/>
    <col min="23" max="24" width="8.7109375" customWidth="1"/>
    <col min="25" max="26" width="7.7109375" customWidth="1"/>
    <col min="27" max="27" width="7.7109375" hidden="1" customWidth="1"/>
    <col min="28" max="30" width="7.7109375" customWidth="1"/>
    <col min="31" max="31" width="6.7109375" hidden="1" customWidth="1"/>
    <col min="32" max="32" width="3.7109375" customWidth="1"/>
    <col min="33" max="33" width="10.7109375" customWidth="1"/>
    <col min="34" max="36" width="7.85546875" customWidth="1"/>
    <col min="37" max="37" width="7.85546875" hidden="1" customWidth="1"/>
    <col min="38" max="39" width="7.85546875" customWidth="1"/>
    <col min="40" max="40" width="14.42578125" customWidth="1"/>
    <col min="41" max="41" width="7.85546875" hidden="1" customWidth="1"/>
    <col min="42" max="43" width="7.85546875" customWidth="1"/>
    <col min="44" max="44" width="8.5703125" hidden="1" customWidth="1"/>
    <col min="45" max="45" width="9.42578125" hidden="1" customWidth="1"/>
    <col min="46" max="50" width="0" hidden="1" customWidth="1"/>
    <col min="51" max="51" width="9.42578125" hidden="1" customWidth="1"/>
    <col min="52" max="52" width="22" hidden="1" customWidth="1"/>
    <col min="53" max="53" width="13.140625" hidden="1" customWidth="1"/>
    <col min="54" max="54" width="14.140625" hidden="1" customWidth="1"/>
    <col min="55" max="55" width="9" hidden="1" customWidth="1"/>
    <col min="56" max="56" width="14.140625" hidden="1" customWidth="1"/>
    <col min="57" max="58" width="13.140625" hidden="1" customWidth="1"/>
    <col min="59" max="59" width="9" hidden="1" customWidth="1"/>
    <col min="60" max="75" width="0" hidden="1" customWidth="1"/>
    <col min="76" max="76" width="12.140625" hidden="1" customWidth="1"/>
    <col min="77" max="77" width="0" hidden="1" customWidth="1"/>
    <col min="78" max="78" width="9" hidden="1" customWidth="1"/>
    <col min="79" max="79" width="10" hidden="1" customWidth="1"/>
    <col min="80" max="80" width="9" hidden="1" customWidth="1"/>
    <col min="81" max="81" width="10" hidden="1" customWidth="1"/>
    <col min="82" max="83" width="9" hidden="1" customWidth="1"/>
    <col min="84" max="84" width="10" hidden="1" customWidth="1"/>
    <col min="85" max="93" width="0" hidden="1" customWidth="1"/>
  </cols>
  <sheetData>
    <row r="1" spans="1:93" x14ac:dyDescent="0.2">
      <c r="A1" s="171" t="s">
        <v>435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AN1" s="220" t="str">
        <f>Assumptions!$B$12</f>
        <v>Internal</v>
      </c>
      <c r="AS1" s="171"/>
    </row>
    <row r="2" spans="1:93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AN2" s="221" t="str">
        <f>Assumptions!$B$13</f>
        <v>Working Draft - v9</v>
      </c>
      <c r="AS2" s="171"/>
    </row>
    <row r="3" spans="1:93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AN3" s="222">
        <f>Assumptions!$B$14</f>
        <v>41291</v>
      </c>
      <c r="AR3" s="347"/>
      <c r="AS3" s="171"/>
    </row>
    <row r="4" spans="1:93" x14ac:dyDescent="0.2">
      <c r="A4" s="171" t="s">
        <v>436</v>
      </c>
      <c r="AR4" s="347"/>
    </row>
    <row r="5" spans="1:93" x14ac:dyDescent="0.2">
      <c r="AR5" s="347"/>
    </row>
    <row r="6" spans="1:93" x14ac:dyDescent="0.2">
      <c r="AR6" s="347"/>
    </row>
    <row r="7" spans="1:93" x14ac:dyDescent="0.2">
      <c r="AR7" s="347"/>
      <c r="AS7" s="171" t="s">
        <v>483</v>
      </c>
      <c r="BA7" s="171" t="s">
        <v>480</v>
      </c>
      <c r="BI7" s="171" t="s">
        <v>484</v>
      </c>
      <c r="BQ7" s="171" t="s">
        <v>480</v>
      </c>
      <c r="BZ7" s="171" t="s">
        <v>486</v>
      </c>
      <c r="CH7" s="171" t="s">
        <v>480</v>
      </c>
    </row>
    <row r="8" spans="1:93" x14ac:dyDescent="0.2">
      <c r="E8" s="360" t="s">
        <v>447</v>
      </c>
      <c r="F8" s="361"/>
      <c r="G8" s="361"/>
      <c r="H8" s="361"/>
      <c r="I8" s="361"/>
      <c r="J8" s="361"/>
      <c r="K8" s="362"/>
      <c r="O8" s="360" t="s">
        <v>479</v>
      </c>
      <c r="P8" s="361"/>
      <c r="Q8" s="361"/>
      <c r="R8" s="361"/>
      <c r="S8" s="361"/>
      <c r="T8" s="361"/>
      <c r="U8" s="362"/>
      <c r="V8" s="249"/>
      <c r="Y8" s="360" t="s">
        <v>447</v>
      </c>
      <c r="Z8" s="361"/>
      <c r="AA8" s="361"/>
      <c r="AB8" s="361"/>
      <c r="AC8" s="361"/>
      <c r="AD8" s="361"/>
      <c r="AE8" s="362"/>
      <c r="AF8" s="349"/>
      <c r="AI8" s="360" t="s">
        <v>479</v>
      </c>
      <c r="AJ8" s="361"/>
      <c r="AK8" s="361"/>
      <c r="AL8" s="361"/>
      <c r="AM8" s="361"/>
      <c r="AN8" s="361"/>
      <c r="AO8" s="362"/>
      <c r="AP8" s="349"/>
      <c r="AR8" s="347"/>
    </row>
    <row r="9" spans="1:93" ht="22.5" x14ac:dyDescent="0.2">
      <c r="A9" s="302" t="s">
        <v>422</v>
      </c>
      <c r="B9" s="274"/>
      <c r="C9" s="302" t="s">
        <v>428</v>
      </c>
      <c r="D9" s="302" t="s">
        <v>426</v>
      </c>
      <c r="E9" s="318" t="s">
        <v>0</v>
      </c>
      <c r="F9" s="318" t="s">
        <v>1</v>
      </c>
      <c r="G9" s="318" t="s">
        <v>2</v>
      </c>
      <c r="H9" s="318" t="s">
        <v>3</v>
      </c>
      <c r="I9" s="318" t="s">
        <v>4</v>
      </c>
      <c r="J9" s="318" t="s">
        <v>299</v>
      </c>
      <c r="K9" s="318" t="s">
        <v>335</v>
      </c>
      <c r="M9" s="302" t="s">
        <v>428</v>
      </c>
      <c r="N9" s="302" t="s">
        <v>430</v>
      </c>
      <c r="O9" s="302" t="s">
        <v>0</v>
      </c>
      <c r="P9" s="302" t="s">
        <v>1</v>
      </c>
      <c r="Q9" s="302" t="s">
        <v>2</v>
      </c>
      <c r="R9" s="302" t="s">
        <v>3</v>
      </c>
      <c r="S9" s="302" t="s">
        <v>4</v>
      </c>
      <c r="T9" s="302" t="s">
        <v>299</v>
      </c>
      <c r="U9" s="302" t="s">
        <v>335</v>
      </c>
      <c r="V9" s="341"/>
      <c r="W9" s="302" t="s">
        <v>428</v>
      </c>
      <c r="X9" s="302" t="s">
        <v>481</v>
      </c>
      <c r="Y9" s="318" t="s">
        <v>0</v>
      </c>
      <c r="Z9" s="318" t="s">
        <v>1</v>
      </c>
      <c r="AA9" s="318" t="s">
        <v>2</v>
      </c>
      <c r="AB9" s="318" t="s">
        <v>3</v>
      </c>
      <c r="AC9" s="318" t="s">
        <v>4</v>
      </c>
      <c r="AD9" s="318" t="s">
        <v>299</v>
      </c>
      <c r="AE9" s="318" t="s">
        <v>335</v>
      </c>
      <c r="AG9" s="302" t="s">
        <v>428</v>
      </c>
      <c r="AH9" s="302" t="s">
        <v>429</v>
      </c>
      <c r="AI9" s="302" t="s">
        <v>0</v>
      </c>
      <c r="AJ9" s="302" t="s">
        <v>1</v>
      </c>
      <c r="AK9" s="302" t="s">
        <v>2</v>
      </c>
      <c r="AL9" s="302" t="s">
        <v>3</v>
      </c>
      <c r="AM9" s="302" t="s">
        <v>4</v>
      </c>
      <c r="AN9" s="302" t="s">
        <v>299</v>
      </c>
      <c r="AO9" s="302" t="s">
        <v>335</v>
      </c>
      <c r="AR9" s="347"/>
      <c r="AS9" s="302" t="s">
        <v>0</v>
      </c>
      <c r="AT9" s="302" t="s">
        <v>1</v>
      </c>
      <c r="AU9" s="302" t="s">
        <v>2</v>
      </c>
      <c r="AV9" s="302" t="s">
        <v>3</v>
      </c>
      <c r="AW9" s="302" t="s">
        <v>4</v>
      </c>
      <c r="AX9" s="302" t="s">
        <v>299</v>
      </c>
      <c r="AY9" s="341" t="s">
        <v>9</v>
      </c>
      <c r="BA9" s="302" t="s">
        <v>0</v>
      </c>
      <c r="BB9" s="302" t="s">
        <v>1</v>
      </c>
      <c r="BC9" s="302" t="s">
        <v>2</v>
      </c>
      <c r="BD9" s="302" t="s">
        <v>3</v>
      </c>
      <c r="BE9" s="302" t="s">
        <v>4</v>
      </c>
      <c r="BF9" s="302" t="s">
        <v>299</v>
      </c>
      <c r="BG9" s="341" t="s">
        <v>9</v>
      </c>
      <c r="BI9" s="302" t="s">
        <v>0</v>
      </c>
      <c r="BJ9" s="302" t="s">
        <v>1</v>
      </c>
      <c r="BK9" s="302" t="s">
        <v>2</v>
      </c>
      <c r="BL9" s="302" t="s">
        <v>3</v>
      </c>
      <c r="BM9" s="302" t="s">
        <v>4</v>
      </c>
      <c r="BN9" s="302" t="s">
        <v>299</v>
      </c>
      <c r="BO9" s="341" t="s">
        <v>9</v>
      </c>
      <c r="BQ9" s="302" t="s">
        <v>0</v>
      </c>
      <c r="BR9" s="302" t="s">
        <v>1</v>
      </c>
      <c r="BS9" s="302" t="s">
        <v>2</v>
      </c>
      <c r="BT9" s="302" t="s">
        <v>3</v>
      </c>
      <c r="BU9" s="302" t="s">
        <v>4</v>
      </c>
      <c r="BV9" s="302" t="s">
        <v>299</v>
      </c>
      <c r="BW9" s="341" t="s">
        <v>9</v>
      </c>
      <c r="BZ9" s="302" t="s">
        <v>0</v>
      </c>
      <c r="CA9" s="302" t="s">
        <v>1</v>
      </c>
      <c r="CB9" s="302" t="s">
        <v>2</v>
      </c>
      <c r="CC9" s="302" t="s">
        <v>3</v>
      </c>
      <c r="CD9" s="302" t="s">
        <v>4</v>
      </c>
      <c r="CE9" s="302" t="s">
        <v>299</v>
      </c>
      <c r="CF9" s="341" t="s">
        <v>9</v>
      </c>
      <c r="CH9" s="302" t="s">
        <v>0</v>
      </c>
      <c r="CI9" s="302" t="s">
        <v>1</v>
      </c>
      <c r="CJ9" s="302" t="s">
        <v>2</v>
      </c>
      <c r="CK9" s="302" t="s">
        <v>3</v>
      </c>
      <c r="CL9" s="302" t="s">
        <v>4</v>
      </c>
      <c r="CM9" s="302" t="s">
        <v>299</v>
      </c>
      <c r="CN9" s="341" t="s">
        <v>9</v>
      </c>
    </row>
    <row r="10" spans="1:93" x14ac:dyDescent="0.2">
      <c r="A10" s="299"/>
      <c r="B10" s="274"/>
      <c r="C10" s="299"/>
      <c r="D10" s="299"/>
      <c r="E10" s="299"/>
      <c r="F10" s="299"/>
      <c r="G10" s="299"/>
      <c r="H10" s="299"/>
      <c r="I10" s="299"/>
      <c r="J10" s="299"/>
      <c r="K10" s="299"/>
      <c r="L10" s="1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199"/>
      <c r="AG10" s="299"/>
      <c r="AH10" s="299"/>
      <c r="AI10" s="299"/>
      <c r="AJ10" s="299"/>
      <c r="AK10" s="299"/>
      <c r="AL10" s="299"/>
      <c r="AM10" s="299"/>
      <c r="AN10" s="299"/>
      <c r="AO10" s="299"/>
      <c r="AR10" s="347"/>
      <c r="AS10" s="199"/>
      <c r="BA10" s="199"/>
      <c r="BI10" s="199"/>
      <c r="BQ10" s="199"/>
      <c r="BZ10" s="199"/>
      <c r="CH10" s="199"/>
    </row>
    <row r="11" spans="1:93" x14ac:dyDescent="0.2">
      <c r="A11" s="299"/>
      <c r="B11" s="274"/>
      <c r="C11" s="299"/>
      <c r="D11" s="299"/>
      <c r="E11" s="299"/>
      <c r="F11" s="299"/>
      <c r="G11" s="299"/>
      <c r="H11" s="299"/>
      <c r="I11" s="299"/>
      <c r="J11" s="299"/>
      <c r="K11" s="299"/>
      <c r="L11" s="1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199"/>
      <c r="AG11" s="299"/>
      <c r="AH11" s="299"/>
      <c r="AI11" s="299"/>
      <c r="AJ11" s="299"/>
      <c r="AK11" s="299"/>
      <c r="AL11" s="299"/>
      <c r="AM11" s="299"/>
      <c r="AN11" s="299"/>
      <c r="AO11" s="299"/>
      <c r="AR11" s="347"/>
      <c r="AS11" s="199"/>
      <c r="BA11" s="199"/>
      <c r="BI11" s="199"/>
      <c r="BQ11" s="199"/>
      <c r="BZ11" s="199"/>
      <c r="CH11" s="199"/>
    </row>
    <row r="12" spans="1:93" x14ac:dyDescent="0.2">
      <c r="A12" s="311" t="s">
        <v>485</v>
      </c>
      <c r="B12" s="312"/>
      <c r="C12" s="313"/>
      <c r="D12" s="313"/>
      <c r="E12" s="314">
        <f>'1. Wastewater Fee Calc Sum'!B65</f>
        <v>3599.6857130645139</v>
      </c>
      <c r="F12" s="314">
        <f>'1. Wastewater Fee Calc Sum'!C65</f>
        <v>10733.354635104706</v>
      </c>
      <c r="G12" s="314" t="str">
        <f>'1. Wastewater Fee Calc Sum'!D65</f>
        <v>n/a</v>
      </c>
      <c r="H12" s="314">
        <f>'1. Wastewater Fee Calc Sum'!E65</f>
        <v>8711.6064680124309</v>
      </c>
      <c r="I12" s="314">
        <f>'1. Wastewater Fee Calc Sum'!F65</f>
        <v>3762.0481359989499</v>
      </c>
      <c r="J12" s="314">
        <f>'1. Wastewater Fee Calc Sum'!G65</f>
        <v>7512.8501351122104</v>
      </c>
      <c r="K12" s="314" t="str">
        <f>'1. Wastewater Fee Calc Sum'!H65</f>
        <v>n/a</v>
      </c>
      <c r="L12" s="315"/>
      <c r="M12" s="313"/>
      <c r="N12" s="313"/>
      <c r="O12" s="316">
        <f>'1. Wastewater Fee Calc Sum'!B57</f>
        <v>712.80905209198295</v>
      </c>
      <c r="P12" s="316">
        <f>'1. Wastewater Fee Calc Sum'!C57</f>
        <v>2125.4167594266737</v>
      </c>
      <c r="Q12" s="314" t="str">
        <f>'1. Wastewater Fee Calc Sum'!D57</f>
        <v>n/a</v>
      </c>
      <c r="R12" s="316">
        <f>'1. Wastewater Fee Calc Sum'!E57</f>
        <v>1725.0705877252344</v>
      </c>
      <c r="S12" s="316">
        <f>'1. Wastewater Fee Calc Sum'!F57</f>
        <v>744.96002693048501</v>
      </c>
      <c r="T12" s="314">
        <f>'1. Wastewater Fee Calc Sum'!G57</f>
        <v>1487.6930960618238</v>
      </c>
      <c r="U12" s="317" t="str">
        <f>'1. Wastewater Fee Calc Sum'!H57</f>
        <v>n/a</v>
      </c>
      <c r="V12" s="346"/>
      <c r="W12" s="313"/>
      <c r="X12" s="313"/>
      <c r="Y12" s="348">
        <f>'1. Wastewater Fee Calc Sum'!B52</f>
        <v>1.6425565755748934</v>
      </c>
      <c r="Z12" s="348">
        <f>'1. Wastewater Fee Calc Sum'!C52</f>
        <v>10.471354746416711</v>
      </c>
      <c r="AA12" s="348" t="e">
        <f>'1. Wastewater Fee Calc Sum'!D52</f>
        <v>#VALUE!</v>
      </c>
      <c r="AB12" s="348">
        <f>'1. Wastewater Fee Calc Sum'!E52</f>
        <v>7.9691911732827148</v>
      </c>
      <c r="AC12" s="348">
        <f>'1. Wastewater Fee Calc Sum'!F52</f>
        <v>1.8435001683155319</v>
      </c>
      <c r="AD12" s="348">
        <f>'1. Wastewater Fee Calc Sum'!G52</f>
        <v>6.4855818503863993</v>
      </c>
      <c r="AE12" s="348" t="str">
        <f>'1. Wastewater Fee Calc Sum'!H50</f>
        <v>n/a</v>
      </c>
      <c r="AF12" s="315"/>
      <c r="AG12" s="313"/>
      <c r="AH12" s="313"/>
      <c r="AI12" s="316"/>
      <c r="AJ12" s="316"/>
      <c r="AK12" s="314"/>
      <c r="AL12" s="316"/>
      <c r="AM12" s="316"/>
      <c r="AN12" s="314"/>
      <c r="AO12" s="317"/>
      <c r="AR12" s="347"/>
      <c r="AS12" s="199"/>
      <c r="BA12" s="199"/>
      <c r="BI12" s="199"/>
      <c r="BQ12" s="199"/>
      <c r="BZ12" s="199"/>
      <c r="CH12" s="199"/>
    </row>
    <row r="13" spans="1:93" x14ac:dyDescent="0.2">
      <c r="A13" s="299"/>
      <c r="B13" s="274"/>
      <c r="C13" s="299"/>
      <c r="D13" s="299"/>
      <c r="E13" s="299"/>
      <c r="F13" s="299"/>
      <c r="G13" s="299"/>
      <c r="H13" s="299"/>
      <c r="I13" s="299"/>
      <c r="J13" s="299"/>
      <c r="K13" s="299"/>
      <c r="L13" s="1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199"/>
      <c r="AG13" s="299"/>
      <c r="AH13" s="299"/>
      <c r="AI13" s="299"/>
      <c r="AJ13" s="299"/>
      <c r="AK13" s="299"/>
      <c r="AL13" s="299"/>
      <c r="AM13" s="299"/>
      <c r="AN13" s="299"/>
      <c r="AO13" s="299"/>
      <c r="AR13" s="347"/>
      <c r="AS13" s="199"/>
      <c r="BA13" s="199"/>
      <c r="BI13" s="199"/>
      <c r="BQ13" s="199"/>
      <c r="BZ13" s="199"/>
      <c r="CH13" s="199"/>
    </row>
    <row r="14" spans="1:93" x14ac:dyDescent="0.2">
      <c r="A14" s="274" t="s">
        <v>236</v>
      </c>
      <c r="B14" s="274"/>
      <c r="C14" s="278" t="s">
        <v>425</v>
      </c>
      <c r="D14" s="286">
        <f>'1.2 EDU Factors'!E12</f>
        <v>0</v>
      </c>
      <c r="E14" s="286">
        <f t="shared" ref="E14:F38" si="0">$D14*E$12</f>
        <v>0</v>
      </c>
      <c r="F14" s="286">
        <f t="shared" si="0"/>
        <v>0</v>
      </c>
      <c r="G14" s="288" t="str">
        <f t="shared" ref="G14:G38" si="1">IF(G$12="n/a","n/a",$D14*G$12)</f>
        <v>n/a</v>
      </c>
      <c r="H14" s="286">
        <f t="shared" ref="H14:J38" si="2">$D14*H$12</f>
        <v>0</v>
      </c>
      <c r="I14" s="286">
        <f t="shared" si="2"/>
        <v>0</v>
      </c>
      <c r="J14" s="286">
        <f t="shared" si="2"/>
        <v>0</v>
      </c>
      <c r="K14" s="288" t="str">
        <f t="shared" ref="K14:K38" si="3">IF(K$12="n/a","n/a",$D14*K$12)</f>
        <v>n/a</v>
      </c>
      <c r="M14" s="278" t="s">
        <v>425</v>
      </c>
      <c r="N14" s="286">
        <f>'1.2 EDU Factors'!J12</f>
        <v>0</v>
      </c>
      <c r="O14" s="286">
        <f>$N14*O$12</f>
        <v>0</v>
      </c>
      <c r="P14" s="286">
        <f t="shared" ref="P14:T29" si="4">$N14*P$12</f>
        <v>0</v>
      </c>
      <c r="Q14" s="288" t="str">
        <f>IF(Q$12="n/a","n/a",$N14*Q$12)</f>
        <v>n/a</v>
      </c>
      <c r="R14" s="286">
        <f t="shared" si="4"/>
        <v>0</v>
      </c>
      <c r="S14" s="286">
        <f t="shared" si="4"/>
        <v>0</v>
      </c>
      <c r="T14" s="286">
        <f t="shared" si="4"/>
        <v>0</v>
      </c>
      <c r="U14" s="288" t="str">
        <f>IF(U$12="n/a","n/a",$N14*U$12)</f>
        <v>n/a</v>
      </c>
      <c r="V14" s="288"/>
      <c r="W14" s="278" t="s">
        <v>425</v>
      </c>
      <c r="X14" s="286">
        <f>'1.2 EDU Factors'!D12</f>
        <v>0</v>
      </c>
      <c r="Y14" s="291">
        <f>$X14*Y$12</f>
        <v>0</v>
      </c>
      <c r="Z14" s="291">
        <f>$X14*Z$12</f>
        <v>0</v>
      </c>
      <c r="AA14" s="288" t="e">
        <f t="shared" ref="AA14:AA38" si="5">IF(AA$12="n/a","n/a",$D14*AA$12)</f>
        <v>#VALUE!</v>
      </c>
      <c r="AB14" s="291">
        <f t="shared" ref="AB14:AD14" si="6">$X14*AB$12</f>
        <v>0</v>
      </c>
      <c r="AC14" s="291">
        <f t="shared" si="6"/>
        <v>0</v>
      </c>
      <c r="AD14" s="291">
        <f t="shared" si="6"/>
        <v>0</v>
      </c>
      <c r="AE14" s="288" t="str">
        <f t="shared" ref="AE14:AE38" si="7">IF(AE$12="n/a","n/a",$D14*AE$12)</f>
        <v>n/a</v>
      </c>
      <c r="AG14" s="278" t="s">
        <v>425</v>
      </c>
      <c r="AH14" s="286">
        <f>'1.2 EDU Factors'!H12</f>
        <v>0</v>
      </c>
      <c r="AI14" s="286">
        <f t="shared" ref="AI14:AI28" si="8">IF($AH14=0,0,Y14/$AH14)</f>
        <v>0</v>
      </c>
      <c r="AJ14" s="286">
        <f t="shared" ref="AJ14:AJ28" si="9">IF($AH14=0,0,Z14/$AH14)</f>
        <v>0</v>
      </c>
      <c r="AK14" s="288" t="e">
        <f>IF(AA$12="n/a","n/a",$N14*AK$12)</f>
        <v>#VALUE!</v>
      </c>
      <c r="AL14" s="286">
        <f t="shared" ref="AL14:AN38" si="10">IF($AH14=0,0,AB14/$AH14)</f>
        <v>0</v>
      </c>
      <c r="AM14" s="286">
        <f t="shared" si="10"/>
        <v>0</v>
      </c>
      <c r="AN14" s="286">
        <f t="shared" si="10"/>
        <v>0</v>
      </c>
      <c r="AO14" s="288" t="str">
        <f>IF(AE$12="n/a","n/a",$N14*AO$12)</f>
        <v>n/a</v>
      </c>
      <c r="AR14" s="347"/>
      <c r="AS14" s="286">
        <f>SUMIF('1.3 Total EDUs Developed'!$B$11:$B$19,'1.1 Fee Summary By Land use'!$A14,'1.3 Total EDUs Developed'!$E$11:$E$19)</f>
        <v>0</v>
      </c>
      <c r="AT14" s="286">
        <f>SUMIF('1.3 Total EDUs Developed'!$B$40:$B$62,'1.1 Fee Summary By Land use'!$A14,'1.3 Total EDUs Developed'!$E$40:$E$62)</f>
        <v>3385.3006839999998</v>
      </c>
      <c r="AV14" s="286">
        <f>SUMIF('1.3 Total EDUs Developed'!$B$70:$B$89,'1.1 Fee Summary By Land use'!$A14,'1.3 Total EDUs Developed'!$E$70:$E$89)</f>
        <v>111.47872099999999</v>
      </c>
      <c r="AW14" s="286">
        <f>SUMIF('1.3 Total EDUs Developed'!$B$97:$B$107,'1.1 Fee Summary By Land use'!$A14,'1.3 Total EDUs Developed'!$E$97:$E$107)</f>
        <v>191.42892800000001</v>
      </c>
      <c r="AX14" s="286">
        <f>SUMIF('1.3 Total EDUs Developed'!$B$115:$B$116,'1.1 Fee Summary By Land use'!$A14,'1.3 Total EDUs Developed'!$E$115:$E$116)</f>
        <v>0</v>
      </c>
      <c r="AY14" s="286">
        <f>SUM(AS14:AX14)</f>
        <v>3688.2083329999996</v>
      </c>
      <c r="BA14" s="291">
        <f t="shared" ref="BA14:BA38" si="11">AS14*E14</f>
        <v>0</v>
      </c>
      <c r="BB14" s="291">
        <f t="shared" ref="BB14:BB38" si="12">AT14*F14</f>
        <v>0</v>
      </c>
      <c r="BC14" s="291"/>
      <c r="BD14" s="291">
        <f t="shared" ref="BD14:BD38" si="13">AV14*H14</f>
        <v>0</v>
      </c>
      <c r="BE14" s="291">
        <f t="shared" ref="BE14:BE38" si="14">AW14*I14</f>
        <v>0</v>
      </c>
      <c r="BF14" s="291">
        <f t="shared" ref="BF14:BF38" si="15">AX14*J14</f>
        <v>0</v>
      </c>
      <c r="BG14" s="291">
        <f>SUM(BA14:BF14)</f>
        <v>0</v>
      </c>
      <c r="BI14" s="286">
        <f>SUMIF('1.3 Total EDUs Developed'!$B$11:$B$19,'1.1 Fee Summary By Land use'!$A14,'1.3 Total EDUs Developed'!$O$11:$O$19)</f>
        <v>0</v>
      </c>
      <c r="BJ14" s="286">
        <f>SUMIF('1.3 Total EDUs Developed'!$B$40:$B$62,'1.1 Fee Summary By Land use'!$A14,'1.3 Total EDUs Developed'!$O$40:$O$62)</f>
        <v>0</v>
      </c>
      <c r="BL14" s="286">
        <f>SUMIF('1.3 Total EDUs Developed'!$B$70:$B$89,'1.1 Fee Summary By Land use'!$A14,'1.3 Total EDUs Developed'!$O$70:$O$89)</f>
        <v>0</v>
      </c>
      <c r="BM14" s="286">
        <f>SUMIF('1.3 Total EDUs Developed'!$B$97:$B$107,'1.1 Fee Summary By Land use'!$A14,'1.3 Total EDUs Developed'!$O$97:$O$107)</f>
        <v>0</v>
      </c>
      <c r="BN14" s="286">
        <f>SUMIF('1.3 Total EDUs Developed'!$B$115:$B$116,'1.1 Fee Summary By Land use'!$A14,'1.3 Total EDUs Developed'!$O$115:$O$116)</f>
        <v>0</v>
      </c>
      <c r="BO14" s="286">
        <f>SUM(BI14:BN14)</f>
        <v>0</v>
      </c>
      <c r="BQ14" s="291">
        <f>BI14*O$12</f>
        <v>0</v>
      </c>
      <c r="BR14" s="291">
        <f>BJ14*P$12</f>
        <v>0</v>
      </c>
      <c r="BS14" s="291"/>
      <c r="BT14" s="291">
        <f t="shared" ref="BT14:BT29" si="16">BL14*R$12</f>
        <v>0</v>
      </c>
      <c r="BU14" s="291">
        <f t="shared" ref="BU14:BU29" si="17">BM14*S$12</f>
        <v>0</v>
      </c>
      <c r="BV14" s="291">
        <f t="shared" ref="BV14:BV29" si="18">BN14*T$12</f>
        <v>0</v>
      </c>
      <c r="BW14" s="291">
        <f>SUM(BQ14:BV14)</f>
        <v>0</v>
      </c>
      <c r="BX14" s="97">
        <f>BG14-BW14</f>
        <v>0</v>
      </c>
      <c r="BZ14" s="291">
        <f>SUMIF('1.3 Total EDUs Developed'!$B$11:$B$19,'1.1 Fee Summary By Land use'!$A14,'1.3 Total EDUs Developed'!$S$11:$S$19)</f>
        <v>0</v>
      </c>
      <c r="CA14" s="291">
        <f>SUMIF('1.3 Total EDUs Developed'!$B$40:$B$62,'1.1 Fee Summary By Land use'!$A14,'1.3 Total EDUs Developed'!$S$40:$S$62)</f>
        <v>0</v>
      </c>
      <c r="CB14" s="97"/>
      <c r="CC14" s="291">
        <f>SUMIF('1.3 Total EDUs Developed'!$B$70:$B$89,'1.1 Fee Summary By Land use'!$A14,'1.3 Total EDUs Developed'!$S$70:$S$89)</f>
        <v>0</v>
      </c>
      <c r="CD14" s="291">
        <f>SUMIF('1.3 Total EDUs Developed'!$B$97:$B$107,'1.1 Fee Summary By Land use'!$A14,'1.3 Total EDUs Developed'!$S$97:$S$107)</f>
        <v>0</v>
      </c>
      <c r="CE14" s="291">
        <f>SUMIF('1.3 Total EDUs Developed'!$B$115:$B$116,'1.1 Fee Summary By Land use'!$A14,'1.3 Total EDUs Developed'!$S$115:$S$116)</f>
        <v>0</v>
      </c>
      <c r="CF14" s="291">
        <f>SUM(BZ14:CE14)</f>
        <v>0</v>
      </c>
      <c r="CH14" s="291">
        <f>BZ14*Y$12</f>
        <v>0</v>
      </c>
      <c r="CI14" s="291">
        <f>CA14*Z$12</f>
        <v>0</v>
      </c>
      <c r="CJ14" s="291"/>
      <c r="CK14" s="291">
        <f>CC14*AB$12</f>
        <v>0</v>
      </c>
      <c r="CL14" s="291">
        <f>CD14*AC$12</f>
        <v>0</v>
      </c>
      <c r="CM14" s="291">
        <f>CE14*AD$12</f>
        <v>0</v>
      </c>
      <c r="CN14" s="291">
        <f>SUM(CH14:CM14)</f>
        <v>0</v>
      </c>
      <c r="CO14" s="97">
        <f>CN14-BG14</f>
        <v>0</v>
      </c>
    </row>
    <row r="15" spans="1:93" x14ac:dyDescent="0.2">
      <c r="A15" s="274" t="s">
        <v>252</v>
      </c>
      <c r="B15" s="274"/>
      <c r="C15" s="278" t="s">
        <v>425</v>
      </c>
      <c r="D15" s="286">
        <f>'1.2 EDU Factors'!E13</f>
        <v>1.4851485148514851</v>
      </c>
      <c r="E15" s="291">
        <f t="shared" si="0"/>
        <v>5346.067890689872</v>
      </c>
      <c r="F15" s="291">
        <f t="shared" si="0"/>
        <v>15940.625695700059</v>
      </c>
      <c r="G15" s="325" t="str">
        <f t="shared" si="1"/>
        <v>n/a</v>
      </c>
      <c r="H15" s="291">
        <f t="shared" si="2"/>
        <v>12938.029407939253</v>
      </c>
      <c r="I15" s="291">
        <f t="shared" si="2"/>
        <v>5587.2002019786387</v>
      </c>
      <c r="J15" s="291">
        <f t="shared" si="2"/>
        <v>11157.698220463679</v>
      </c>
      <c r="K15" s="325" t="str">
        <f t="shared" si="3"/>
        <v>n/a</v>
      </c>
      <c r="M15" s="278" t="s">
        <v>425</v>
      </c>
      <c r="N15" s="286">
        <f>'1.2 EDU Factors'!J13</f>
        <v>7.5</v>
      </c>
      <c r="O15" s="291">
        <f t="shared" ref="O15:T38" si="19">$N15*O$12</f>
        <v>5346.067890689872</v>
      </c>
      <c r="P15" s="291">
        <f t="shared" si="4"/>
        <v>15940.625695700053</v>
      </c>
      <c r="Q15" s="325" t="str">
        <f t="shared" ref="Q15:Q38" si="20">IF(Q$12="n/a","n/a",$N15*Q$12)</f>
        <v>n/a</v>
      </c>
      <c r="R15" s="291">
        <f t="shared" si="4"/>
        <v>12938.029407939259</v>
      </c>
      <c r="S15" s="291">
        <f t="shared" si="4"/>
        <v>5587.2002019786378</v>
      </c>
      <c r="T15" s="291">
        <f t="shared" si="4"/>
        <v>11157.698220463679</v>
      </c>
      <c r="U15" s="325" t="str">
        <f t="shared" ref="U15:U38" si="21">IF(U$12="n/a","n/a",$N15*U$12)</f>
        <v>n/a</v>
      </c>
      <c r="V15" s="325"/>
      <c r="W15" s="278" t="s">
        <v>425</v>
      </c>
      <c r="X15" s="291">
        <f>'1.2 EDU Factors'!D13</f>
        <v>1200</v>
      </c>
      <c r="Y15" s="291">
        <f t="shared" ref="Y15:AD38" si="22">$X15*Y$12</f>
        <v>1971.067890689872</v>
      </c>
      <c r="Z15" s="291">
        <f t="shared" si="22"/>
        <v>12565.625695700053</v>
      </c>
      <c r="AA15" s="325" t="e">
        <f t="shared" si="5"/>
        <v>#VALUE!</v>
      </c>
      <c r="AB15" s="291">
        <f t="shared" si="22"/>
        <v>9563.029407939257</v>
      </c>
      <c r="AC15" s="291">
        <f t="shared" si="22"/>
        <v>2212.2002019786382</v>
      </c>
      <c r="AD15" s="291">
        <f t="shared" si="22"/>
        <v>7782.6982204636788</v>
      </c>
      <c r="AE15" s="325" t="str">
        <f t="shared" si="7"/>
        <v>n/a</v>
      </c>
      <c r="AG15" s="278" t="s">
        <v>425</v>
      </c>
      <c r="AH15" s="286">
        <f>'1.2 EDU Factors'!H13</f>
        <v>1</v>
      </c>
      <c r="AI15" s="291">
        <f t="shared" si="8"/>
        <v>1971.067890689872</v>
      </c>
      <c r="AJ15" s="291">
        <f t="shared" si="9"/>
        <v>12565.625695700053</v>
      </c>
      <c r="AK15" s="325" t="e">
        <f t="shared" ref="AK15:AK38" si="23">IF(AA$12="n/a","n/a",$N15*AK$12)</f>
        <v>#VALUE!</v>
      </c>
      <c r="AL15" s="291">
        <f t="shared" si="10"/>
        <v>9563.029407939257</v>
      </c>
      <c r="AM15" s="291">
        <f t="shared" si="10"/>
        <v>2212.2002019786382</v>
      </c>
      <c r="AN15" s="291">
        <f t="shared" si="10"/>
        <v>7782.6982204636788</v>
      </c>
      <c r="AO15" s="325" t="str">
        <f t="shared" ref="AO15:AO38" si="24">IF(AE$12="n/a","n/a",$N15*AO$12)</f>
        <v>n/a</v>
      </c>
      <c r="AR15" s="347"/>
      <c r="AS15" s="286">
        <f>SUMIF('1.3 Total EDUs Developed'!$B$11:$B$19,'1.1 Fee Summary By Land use'!$A15,'1.3 Total EDUs Developed'!$E$11:$E$19)</f>
        <v>0</v>
      </c>
      <c r="AT15" s="286">
        <f>SUMIF('1.3 Total EDUs Developed'!$B$40:$B$62,'1.1 Fee Summary By Land use'!$A15,'1.3 Total EDUs Developed'!$E$40:$E$62)</f>
        <v>0</v>
      </c>
      <c r="AV15" s="286">
        <f>SUMIF('1.3 Total EDUs Developed'!$B$70:$B$89,'1.1 Fee Summary By Land use'!$A15,'1.3 Total EDUs Developed'!$E$70:$E$89)</f>
        <v>44.659910000000004</v>
      </c>
      <c r="AW15" s="286">
        <f>SUMIF('1.3 Total EDUs Developed'!$B$97:$B$107,'1.1 Fee Summary By Land use'!$A15,'1.3 Total EDUs Developed'!$E$97:$E$107)</f>
        <v>135.32440500000001</v>
      </c>
      <c r="AX15" s="286">
        <f>SUMIF('1.3 Total EDUs Developed'!$B$115:$B$116,'1.1 Fee Summary By Land use'!$A15,'1.3 Total EDUs Developed'!$E$115:$E$116)</f>
        <v>0</v>
      </c>
      <c r="AY15" s="286">
        <f t="shared" ref="AY15:AY38" si="25">SUM(AS15:AX15)</f>
        <v>179.98431500000001</v>
      </c>
      <c r="BA15" s="291">
        <f t="shared" si="11"/>
        <v>0</v>
      </c>
      <c r="BB15" s="291">
        <f t="shared" si="12"/>
        <v>0</v>
      </c>
      <c r="BC15" s="291"/>
      <c r="BD15" s="291">
        <f t="shared" si="13"/>
        <v>577811.2289359204</v>
      </c>
      <c r="BE15" s="291">
        <f t="shared" si="14"/>
        <v>756084.54294863914</v>
      </c>
      <c r="BF15" s="291">
        <f t="shared" si="15"/>
        <v>0</v>
      </c>
      <c r="BG15" s="291">
        <f t="shared" ref="BG15:BG38" si="26">SUM(BA15:BF15)</f>
        <v>1333895.7718845597</v>
      </c>
      <c r="BI15" s="286">
        <f>SUMIF('1.3 Total EDUs Developed'!$B$11:$B$19,'1.1 Fee Summary By Land use'!$A15,'1.3 Total EDUs Developed'!$O$11:$O$19)</f>
        <v>0</v>
      </c>
      <c r="BJ15" s="286">
        <f>SUMIF('1.3 Total EDUs Developed'!$B$40:$B$62,'1.1 Fee Summary By Land use'!$A15,'1.3 Total EDUs Developed'!$O$40:$O$62)</f>
        <v>0</v>
      </c>
      <c r="BL15" s="286">
        <f>SUMIF('1.3 Total EDUs Developed'!$B$70:$B$89,'1.1 Fee Summary By Land use'!$A15,'1.3 Total EDUs Developed'!$O$70:$O$89)</f>
        <v>334.94932500000004</v>
      </c>
      <c r="BM15" s="286">
        <f>SUMIF('1.3 Total EDUs Developed'!$B$97:$B$107,'1.1 Fee Summary By Land use'!$A15,'1.3 Total EDUs Developed'!$O$97:$O$107)</f>
        <v>1014.9330375000001</v>
      </c>
      <c r="BN15" s="286">
        <f>SUMIF('1.3 Total EDUs Developed'!$B$115:$B$116,'1.1 Fee Summary By Land use'!$A15,'1.3 Total EDUs Developed'!$O$115:$O$116)</f>
        <v>0</v>
      </c>
      <c r="BO15" s="286">
        <f t="shared" ref="BO15:BO38" si="27">SUM(BI15:BN15)</f>
        <v>1349.8823625</v>
      </c>
      <c r="BQ15" s="291">
        <f t="shared" ref="BQ15:BQ38" si="28">BI15*O$12</f>
        <v>0</v>
      </c>
      <c r="BR15" s="291">
        <f t="shared" ref="BR15:BR29" si="29">BJ15*P$12</f>
        <v>0</v>
      </c>
      <c r="BS15" s="291"/>
      <c r="BT15" s="291">
        <f t="shared" si="16"/>
        <v>577811.22893592063</v>
      </c>
      <c r="BU15" s="291">
        <f t="shared" si="17"/>
        <v>756084.54294863902</v>
      </c>
      <c r="BV15" s="291">
        <f t="shared" si="18"/>
        <v>0</v>
      </c>
      <c r="BW15" s="291">
        <f t="shared" ref="BW15:BW38" si="30">SUM(BQ15:BV15)</f>
        <v>1333895.7718845597</v>
      </c>
      <c r="BX15" s="97">
        <f t="shared" ref="BX15:BX38" si="31">BG15-BW15</f>
        <v>0</v>
      </c>
      <c r="BZ15" s="291">
        <f>SUMIF('1.3 Total EDUs Developed'!$B$11:$B$19,'1.1 Fee Summary By Land use'!$A15,'1.3 Total EDUs Developed'!$S$11:$S$19)</f>
        <v>0</v>
      </c>
      <c r="CA15" s="291">
        <f>SUMIF('1.3 Total EDUs Developed'!$B$40:$B$62,'1.1 Fee Summary By Land use'!$A15,'1.3 Total EDUs Developed'!$S$40:$S$62)</f>
        <v>0</v>
      </c>
      <c r="CB15" s="97"/>
      <c r="CC15" s="291">
        <f>SUMIF('1.3 Total EDUs Developed'!$B$70:$B$89,'1.1 Fee Summary By Land use'!$A15,'1.3 Total EDUs Developed'!$S$70:$S$89)</f>
        <v>53591.892000000007</v>
      </c>
      <c r="CD15" s="291">
        <f>SUMIF('1.3 Total EDUs Developed'!$B$97:$B$107,'1.1 Fee Summary By Land use'!$A15,'1.3 Total EDUs Developed'!$S$97:$S$107)</f>
        <v>162389.28600000002</v>
      </c>
      <c r="CE15" s="291">
        <f>SUMIF('1.3 Total EDUs Developed'!$B$115:$B$116,'1.1 Fee Summary By Land use'!$A15,'1.3 Total EDUs Developed'!$S$115:$S$116)</f>
        <v>0</v>
      </c>
      <c r="CF15" s="291">
        <f t="shared" ref="CF15:CF38" si="32">SUM(BZ15:CE15)</f>
        <v>215981.17800000001</v>
      </c>
      <c r="CH15" s="291">
        <f t="shared" ref="CH15:CH38" si="33">BZ15*Y$12</f>
        <v>0</v>
      </c>
      <c r="CI15" s="291">
        <f t="shared" ref="CI15:CI38" si="34">CA15*Z$12</f>
        <v>0</v>
      </c>
      <c r="CJ15" s="291"/>
      <c r="CK15" s="291">
        <f t="shared" ref="CK15:CK38" si="35">CC15*AB$12</f>
        <v>427084.0326859206</v>
      </c>
      <c r="CL15" s="291">
        <f t="shared" ref="CL15:CL38" si="36">CD15*AC$12</f>
        <v>299364.67607363907</v>
      </c>
      <c r="CM15" s="291">
        <f t="shared" ref="CM15:CM38" si="37">CE15*AD$12</f>
        <v>0</v>
      </c>
      <c r="CN15" s="291">
        <f t="shared" ref="CN15:CN38" si="38">SUM(CH15:CM15)</f>
        <v>726448.70875955967</v>
      </c>
      <c r="CO15" s="97">
        <f t="shared" ref="CO15:CO38" si="39">CN15-BG15</f>
        <v>-607447.06312499999</v>
      </c>
    </row>
    <row r="16" spans="1:93" x14ac:dyDescent="0.2">
      <c r="A16" s="274" t="s">
        <v>226</v>
      </c>
      <c r="B16" s="274"/>
      <c r="C16" s="278" t="s">
        <v>425</v>
      </c>
      <c r="D16" s="286">
        <f>'1.2 EDU Factors'!E14</f>
        <v>3.0606435643564356</v>
      </c>
      <c r="E16" s="291">
        <f t="shared" si="0"/>
        <v>11017.354911396711</v>
      </c>
      <c r="F16" s="291">
        <f t="shared" si="0"/>
        <v>32850.972787888539</v>
      </c>
      <c r="G16" s="325" t="str">
        <f t="shared" si="1"/>
        <v>n/a</v>
      </c>
      <c r="H16" s="291">
        <f t="shared" si="2"/>
        <v>26663.122271528144</v>
      </c>
      <c r="I16" s="291">
        <f t="shared" si="2"/>
        <v>11514.28841624431</v>
      </c>
      <c r="J16" s="291">
        <f t="shared" si="2"/>
        <v>22994.156416005564</v>
      </c>
      <c r="K16" s="325" t="str">
        <f t="shared" si="3"/>
        <v>n/a</v>
      </c>
      <c r="M16" s="278" t="s">
        <v>425</v>
      </c>
      <c r="N16" s="286">
        <f>'1.2 EDU Factors'!J14</f>
        <v>15.456250000000001</v>
      </c>
      <c r="O16" s="291">
        <f t="shared" si="19"/>
        <v>11017.354911396713</v>
      </c>
      <c r="P16" s="291">
        <f t="shared" si="4"/>
        <v>32850.972787888524</v>
      </c>
      <c r="Q16" s="325" t="str">
        <f t="shared" si="20"/>
        <v>n/a</v>
      </c>
      <c r="R16" s="291">
        <f t="shared" si="4"/>
        <v>26663.122271528155</v>
      </c>
      <c r="S16" s="291">
        <f t="shared" si="4"/>
        <v>11514.28841624431</v>
      </c>
      <c r="T16" s="291">
        <f t="shared" si="4"/>
        <v>22994.156416005564</v>
      </c>
      <c r="U16" s="325" t="str">
        <f t="shared" si="21"/>
        <v>n/a</v>
      </c>
      <c r="V16" s="325"/>
      <c r="W16" s="278" t="s">
        <v>425</v>
      </c>
      <c r="X16" s="291">
        <f>'1.2 EDU Factors'!D14</f>
        <v>2473</v>
      </c>
      <c r="Y16" s="291">
        <f t="shared" si="22"/>
        <v>4062.0424113967115</v>
      </c>
      <c r="Z16" s="291">
        <f t="shared" si="22"/>
        <v>25895.660287888528</v>
      </c>
      <c r="AA16" s="325" t="e">
        <f t="shared" si="5"/>
        <v>#VALUE!</v>
      </c>
      <c r="AB16" s="291">
        <f t="shared" si="22"/>
        <v>19707.809771528155</v>
      </c>
      <c r="AC16" s="291">
        <f t="shared" si="22"/>
        <v>4558.9759162443106</v>
      </c>
      <c r="AD16" s="291">
        <f t="shared" si="22"/>
        <v>16038.843916005566</v>
      </c>
      <c r="AE16" s="325" t="str">
        <f t="shared" si="7"/>
        <v>n/a</v>
      </c>
      <c r="AG16" s="278" t="s">
        <v>425</v>
      </c>
      <c r="AH16" s="286">
        <f>'1.2 EDU Factors'!H14</f>
        <v>1</v>
      </c>
      <c r="AI16" s="291">
        <f t="shared" si="8"/>
        <v>4062.0424113967115</v>
      </c>
      <c r="AJ16" s="291">
        <f t="shared" si="9"/>
        <v>25895.660287888528</v>
      </c>
      <c r="AK16" s="325" t="e">
        <f t="shared" si="23"/>
        <v>#VALUE!</v>
      </c>
      <c r="AL16" s="291">
        <f t="shared" si="10"/>
        <v>19707.809771528155</v>
      </c>
      <c r="AM16" s="291">
        <f t="shared" si="10"/>
        <v>4558.9759162443106</v>
      </c>
      <c r="AN16" s="291">
        <f t="shared" si="10"/>
        <v>16038.843916005566</v>
      </c>
      <c r="AO16" s="325" t="str">
        <f t="shared" si="24"/>
        <v>n/a</v>
      </c>
      <c r="AR16" s="347"/>
      <c r="AS16" s="286">
        <f>SUMIF('1.3 Total EDUs Developed'!$B$11:$B$19,'1.1 Fee Summary By Land use'!$A16,'1.3 Total EDUs Developed'!$E$11:$E$19)</f>
        <v>126.641519</v>
      </c>
      <c r="AT16" s="286">
        <f>SUMIF('1.3 Total EDUs Developed'!$B$40:$B$62,'1.1 Fee Summary By Land use'!$A16,'1.3 Total EDUs Developed'!$E$40:$E$62)</f>
        <v>29.292310000000001</v>
      </c>
      <c r="AV16" s="286">
        <f>SUMIF('1.3 Total EDUs Developed'!$B$70:$B$89,'1.1 Fee Summary By Land use'!$A16,'1.3 Total EDUs Developed'!$E$70:$E$89)</f>
        <v>162.75238300000001</v>
      </c>
      <c r="AW16" s="286">
        <f>SUMIF('1.3 Total EDUs Developed'!$B$97:$B$107,'1.1 Fee Summary By Land use'!$A16,'1.3 Total EDUs Developed'!$E$97:$E$107)</f>
        <v>0</v>
      </c>
      <c r="AX16" s="286">
        <f>SUMIF('1.3 Total EDUs Developed'!$B$115:$B$116,'1.1 Fee Summary By Land use'!$A16,'1.3 Total EDUs Developed'!$E$115:$E$116)</f>
        <v>0</v>
      </c>
      <c r="AY16" s="286">
        <f t="shared" si="25"/>
        <v>318.68621200000001</v>
      </c>
      <c r="BA16" s="291">
        <f t="shared" si="11"/>
        <v>1395254.56134139</v>
      </c>
      <c r="BB16" s="291">
        <f t="shared" si="12"/>
        <v>962280.87870439538</v>
      </c>
      <c r="BC16" s="291"/>
      <c r="BD16" s="291">
        <f t="shared" si="13"/>
        <v>4339486.6879115785</v>
      </c>
      <c r="BE16" s="291">
        <f t="shared" si="14"/>
        <v>0</v>
      </c>
      <c r="BF16" s="291">
        <f t="shared" si="15"/>
        <v>0</v>
      </c>
      <c r="BG16" s="291">
        <f t="shared" si="26"/>
        <v>6697022.1279573636</v>
      </c>
      <c r="BI16" s="286">
        <f>SUMIF('1.3 Total EDUs Developed'!$B$11:$B$19,'1.1 Fee Summary By Land use'!$A16,'1.3 Total EDUs Developed'!$O$11:$O$19)</f>
        <v>1957.4029780437502</v>
      </c>
      <c r="BJ16" s="286">
        <f>SUMIF('1.3 Total EDUs Developed'!$B$40:$B$62,'1.1 Fee Summary By Land use'!$A16,'1.3 Total EDUs Developed'!$O$40:$O$62)</f>
        <v>452.74926643750001</v>
      </c>
      <c r="BL16" s="286">
        <f>SUMIF('1.3 Total EDUs Developed'!$B$70:$B$89,'1.1 Fee Summary By Land use'!$A16,'1.3 Total EDUs Developed'!$O$70:$O$89)</f>
        <v>2515.5415197437501</v>
      </c>
      <c r="BM16" s="286">
        <f>SUMIF('1.3 Total EDUs Developed'!$B$97:$B$107,'1.1 Fee Summary By Land use'!$A16,'1.3 Total EDUs Developed'!$O$97:$O$107)</f>
        <v>0</v>
      </c>
      <c r="BN16" s="286">
        <f>SUMIF('1.3 Total EDUs Developed'!$B$115:$B$116,'1.1 Fee Summary By Land use'!$A16,'1.3 Total EDUs Developed'!$O$115:$O$116)</f>
        <v>0</v>
      </c>
      <c r="BO16" s="286">
        <f t="shared" si="27"/>
        <v>4925.6937642250005</v>
      </c>
      <c r="BQ16" s="291">
        <f t="shared" si="28"/>
        <v>1395254.56134139</v>
      </c>
      <c r="BR16" s="291">
        <f t="shared" si="29"/>
        <v>962280.87870439491</v>
      </c>
      <c r="BS16" s="291"/>
      <c r="BT16" s="291">
        <f t="shared" si="16"/>
        <v>4339486.6879115803</v>
      </c>
      <c r="BU16" s="291">
        <f t="shared" si="17"/>
        <v>0</v>
      </c>
      <c r="BV16" s="291">
        <f t="shared" si="18"/>
        <v>0</v>
      </c>
      <c r="BW16" s="291">
        <f t="shared" si="30"/>
        <v>6697022.1279573655</v>
      </c>
      <c r="BX16" s="97">
        <f t="shared" si="31"/>
        <v>0</v>
      </c>
      <c r="BZ16" s="291">
        <f>SUMIF('1.3 Total EDUs Developed'!$B$11:$B$19,'1.1 Fee Summary By Land use'!$A16,'1.3 Total EDUs Developed'!$S$11:$S$19)</f>
        <v>313184.47648700001</v>
      </c>
      <c r="CA16" s="291">
        <f>SUMIF('1.3 Total EDUs Developed'!$B$40:$B$62,'1.1 Fee Summary By Land use'!$A16,'1.3 Total EDUs Developed'!$S$40:$S$62)</f>
        <v>72439.882630000007</v>
      </c>
      <c r="CB16" s="97"/>
      <c r="CC16" s="291">
        <f>SUMIF('1.3 Total EDUs Developed'!$B$70:$B$89,'1.1 Fee Summary By Land use'!$A16,'1.3 Total EDUs Developed'!$S$70:$S$89)</f>
        <v>402486.64315900003</v>
      </c>
      <c r="CD16" s="291">
        <f>SUMIF('1.3 Total EDUs Developed'!$B$97:$B$107,'1.1 Fee Summary By Land use'!$A16,'1.3 Total EDUs Developed'!$S$97:$S$107)</f>
        <v>0</v>
      </c>
      <c r="CE16" s="291">
        <f>SUMIF('1.3 Total EDUs Developed'!$B$115:$B$116,'1.1 Fee Summary By Land use'!$A16,'1.3 Total EDUs Developed'!$S$115:$S$116)</f>
        <v>0</v>
      </c>
      <c r="CF16" s="291">
        <f t="shared" si="32"/>
        <v>788111.0022760001</v>
      </c>
      <c r="CH16" s="291">
        <f t="shared" si="33"/>
        <v>514423.22122170246</v>
      </c>
      <c r="CI16" s="291">
        <f t="shared" si="34"/>
        <v>758543.7088075201</v>
      </c>
      <c r="CJ16" s="291"/>
      <c r="CK16" s="291">
        <f t="shared" si="35"/>
        <v>3207493.0040268926</v>
      </c>
      <c r="CL16" s="291">
        <f t="shared" si="36"/>
        <v>0</v>
      </c>
      <c r="CM16" s="291">
        <f t="shared" si="37"/>
        <v>0</v>
      </c>
      <c r="CN16" s="291">
        <f t="shared" si="38"/>
        <v>4480459.9340561153</v>
      </c>
      <c r="CO16" s="97">
        <f t="shared" si="39"/>
        <v>-2216562.1939012483</v>
      </c>
    </row>
    <row r="17" spans="1:93" x14ac:dyDescent="0.2">
      <c r="A17" s="274" t="s">
        <v>227</v>
      </c>
      <c r="B17" s="274"/>
      <c r="C17" s="278" t="s">
        <v>425</v>
      </c>
      <c r="D17" s="286">
        <f>'1.2 EDU Factors'!E15</f>
        <v>0.92821782178217827</v>
      </c>
      <c r="E17" s="291">
        <f t="shared" si="0"/>
        <v>3341.2924316811705</v>
      </c>
      <c r="F17" s="291">
        <f t="shared" si="0"/>
        <v>9962.8910598125367</v>
      </c>
      <c r="G17" s="325" t="str">
        <f t="shared" si="1"/>
        <v>n/a</v>
      </c>
      <c r="H17" s="291">
        <f t="shared" si="2"/>
        <v>8086.2683799620345</v>
      </c>
      <c r="I17" s="291">
        <f t="shared" si="2"/>
        <v>3492.0001262366491</v>
      </c>
      <c r="J17" s="291">
        <f t="shared" si="2"/>
        <v>6973.5613877897995</v>
      </c>
      <c r="K17" s="325" t="str">
        <f t="shared" si="3"/>
        <v>n/a</v>
      </c>
      <c r="M17" s="278" t="s">
        <v>425</v>
      </c>
      <c r="N17" s="286">
        <f>'1.2 EDU Factors'!J15</f>
        <v>4.6875</v>
      </c>
      <c r="O17" s="291">
        <f t="shared" si="19"/>
        <v>3341.29243168117</v>
      </c>
      <c r="P17" s="291">
        <f t="shared" si="4"/>
        <v>9962.8910598125331</v>
      </c>
      <c r="Q17" s="325" t="str">
        <f t="shared" si="20"/>
        <v>n/a</v>
      </c>
      <c r="R17" s="291">
        <f t="shared" si="4"/>
        <v>8086.2683799620363</v>
      </c>
      <c r="S17" s="291">
        <f t="shared" si="4"/>
        <v>3492.0001262366486</v>
      </c>
      <c r="T17" s="291">
        <f t="shared" si="4"/>
        <v>6973.5613877897986</v>
      </c>
      <c r="U17" s="325" t="str">
        <f t="shared" si="21"/>
        <v>n/a</v>
      </c>
      <c r="V17" s="325"/>
      <c r="W17" s="278" t="s">
        <v>425</v>
      </c>
      <c r="X17" s="291">
        <f>'1.2 EDU Factors'!D15</f>
        <v>750</v>
      </c>
      <c r="Y17" s="291">
        <f t="shared" si="22"/>
        <v>1231.91743168117</v>
      </c>
      <c r="Z17" s="291">
        <f t="shared" si="22"/>
        <v>7853.516059812534</v>
      </c>
      <c r="AA17" s="325" t="e">
        <f t="shared" si="5"/>
        <v>#VALUE!</v>
      </c>
      <c r="AB17" s="291">
        <f t="shared" si="22"/>
        <v>5976.8933799620363</v>
      </c>
      <c r="AC17" s="291">
        <f t="shared" si="22"/>
        <v>1382.6251262366488</v>
      </c>
      <c r="AD17" s="291">
        <f t="shared" si="22"/>
        <v>4864.1863877897995</v>
      </c>
      <c r="AE17" s="325" t="str">
        <f t="shared" si="7"/>
        <v>n/a</v>
      </c>
      <c r="AG17" s="278" t="s">
        <v>425</v>
      </c>
      <c r="AH17" s="286">
        <f>'1.2 EDU Factors'!H15</f>
        <v>1</v>
      </c>
      <c r="AI17" s="291">
        <f t="shared" si="8"/>
        <v>1231.91743168117</v>
      </c>
      <c r="AJ17" s="291">
        <f t="shared" si="9"/>
        <v>7853.516059812534</v>
      </c>
      <c r="AK17" s="325" t="e">
        <f t="shared" si="23"/>
        <v>#VALUE!</v>
      </c>
      <c r="AL17" s="291">
        <f t="shared" si="10"/>
        <v>5976.8933799620363</v>
      </c>
      <c r="AM17" s="291">
        <f t="shared" si="10"/>
        <v>1382.6251262366488</v>
      </c>
      <c r="AN17" s="291">
        <f t="shared" si="10"/>
        <v>4864.1863877897995</v>
      </c>
      <c r="AO17" s="325" t="str">
        <f t="shared" si="24"/>
        <v>n/a</v>
      </c>
      <c r="AR17" s="347"/>
      <c r="AS17" s="286">
        <f>SUMIF('1.3 Total EDUs Developed'!$B$11:$B$19,'1.1 Fee Summary By Land use'!$A17,'1.3 Total EDUs Developed'!$E$11:$E$19)</f>
        <v>46.686799000000001</v>
      </c>
      <c r="AT17" s="286">
        <f>SUMIF('1.3 Total EDUs Developed'!$B$40:$B$62,'1.1 Fee Summary By Land use'!$A17,'1.3 Total EDUs Developed'!$E$40:$E$62)</f>
        <v>18.761132</v>
      </c>
      <c r="AV17" s="286">
        <f>SUMIF('1.3 Total EDUs Developed'!$B$70:$B$89,'1.1 Fee Summary By Land use'!$A17,'1.3 Total EDUs Developed'!$E$70:$E$89)</f>
        <v>320.10928699999999</v>
      </c>
      <c r="AW17" s="286">
        <f>SUMIF('1.3 Total EDUs Developed'!$B$97:$B$107,'1.1 Fee Summary By Land use'!$A17,'1.3 Total EDUs Developed'!$E$97:$E$107)</f>
        <v>78.564483999999993</v>
      </c>
      <c r="AX17" s="286">
        <f>SUMIF('1.3 Total EDUs Developed'!$B$115:$B$116,'1.1 Fee Summary By Land use'!$A17,'1.3 Total EDUs Developed'!$E$115:$E$116)</f>
        <v>57.88</v>
      </c>
      <c r="AY17" s="286">
        <f t="shared" si="25"/>
        <v>522.00170200000002</v>
      </c>
      <c r="BA17" s="291">
        <f t="shared" si="11"/>
        <v>155994.24815812003</v>
      </c>
      <c r="BB17" s="291">
        <f t="shared" si="12"/>
        <v>186915.11427476289</v>
      </c>
      <c r="BC17" s="291"/>
      <c r="BD17" s="291">
        <f t="shared" si="13"/>
        <v>2588489.6056002919</v>
      </c>
      <c r="BE17" s="291">
        <f t="shared" si="14"/>
        <v>274347.18804571719</v>
      </c>
      <c r="BF17" s="291">
        <f t="shared" si="15"/>
        <v>403629.7331252736</v>
      </c>
      <c r="BG17" s="291">
        <f t="shared" si="26"/>
        <v>3609375.8892041659</v>
      </c>
      <c r="BI17" s="286">
        <f>SUMIF('1.3 Total EDUs Developed'!$B$11:$B$19,'1.1 Fee Summary By Land use'!$A17,'1.3 Total EDUs Developed'!$O$11:$O$19)</f>
        <v>218.84437031249999</v>
      </c>
      <c r="BJ17" s="286">
        <f>SUMIF('1.3 Total EDUs Developed'!$B$40:$B$62,'1.1 Fee Summary By Land use'!$A17,'1.3 Total EDUs Developed'!$O$40:$O$62)</f>
        <v>87.942806250000004</v>
      </c>
      <c r="BL17" s="286">
        <f>SUMIF('1.3 Total EDUs Developed'!$B$70:$B$89,'1.1 Fee Summary By Land use'!$A17,'1.3 Total EDUs Developed'!$O$70:$O$89)</f>
        <v>1500.5122828125</v>
      </c>
      <c r="BM17" s="286">
        <f>SUMIF('1.3 Total EDUs Developed'!$B$97:$B$107,'1.1 Fee Summary By Land use'!$A17,'1.3 Total EDUs Developed'!$O$97:$O$107)</f>
        <v>368.27101874999994</v>
      </c>
      <c r="BN17" s="286">
        <f>SUMIF('1.3 Total EDUs Developed'!$B$115:$B$116,'1.1 Fee Summary By Land use'!$A17,'1.3 Total EDUs Developed'!$O$115:$O$116)</f>
        <v>271.3125</v>
      </c>
      <c r="BO17" s="286">
        <f t="shared" si="27"/>
        <v>2446.8829781249997</v>
      </c>
      <c r="BQ17" s="291">
        <f t="shared" si="28"/>
        <v>155994.24815812003</v>
      </c>
      <c r="BR17" s="291">
        <f t="shared" si="29"/>
        <v>186915.11427476283</v>
      </c>
      <c r="BS17" s="291"/>
      <c r="BT17" s="291">
        <f t="shared" si="16"/>
        <v>2588489.6056002923</v>
      </c>
      <c r="BU17" s="291">
        <f t="shared" si="17"/>
        <v>274347.18804571708</v>
      </c>
      <c r="BV17" s="291">
        <f t="shared" si="18"/>
        <v>403629.73312527355</v>
      </c>
      <c r="BW17" s="291">
        <f t="shared" si="30"/>
        <v>3609375.8892041654</v>
      </c>
      <c r="BX17" s="97">
        <f t="shared" si="31"/>
        <v>0</v>
      </c>
      <c r="BZ17" s="291">
        <f>SUMIF('1.3 Total EDUs Developed'!$B$11:$B$19,'1.1 Fee Summary By Land use'!$A17,'1.3 Total EDUs Developed'!$S$11:$S$19)</f>
        <v>35015.099249999999</v>
      </c>
      <c r="CA17" s="291">
        <f>SUMIF('1.3 Total EDUs Developed'!$B$40:$B$62,'1.1 Fee Summary By Land use'!$A17,'1.3 Total EDUs Developed'!$S$40:$S$62)</f>
        <v>14070.849</v>
      </c>
      <c r="CB17" s="97"/>
      <c r="CC17" s="291">
        <f>SUMIF('1.3 Total EDUs Developed'!$B$70:$B$89,'1.1 Fee Summary By Land use'!$A17,'1.3 Total EDUs Developed'!$S$70:$S$89)</f>
        <v>240081.96525000001</v>
      </c>
      <c r="CD17" s="291">
        <f>SUMIF('1.3 Total EDUs Developed'!$B$97:$B$107,'1.1 Fee Summary By Land use'!$A17,'1.3 Total EDUs Developed'!$S$97:$S$107)</f>
        <v>58923.362999999998</v>
      </c>
      <c r="CE17" s="291">
        <f>SUMIF('1.3 Total EDUs Developed'!$B$115:$B$116,'1.1 Fee Summary By Land use'!$A17,'1.3 Total EDUs Developed'!$S$115:$S$116)</f>
        <v>43410</v>
      </c>
      <c r="CF17" s="291">
        <f t="shared" si="32"/>
        <v>391501.27650000004</v>
      </c>
      <c r="CH17" s="291">
        <f t="shared" si="33"/>
        <v>57514.281517495016</v>
      </c>
      <c r="CI17" s="291">
        <f t="shared" si="34"/>
        <v>147340.85146226283</v>
      </c>
      <c r="CJ17" s="291"/>
      <c r="CK17" s="291">
        <f t="shared" si="35"/>
        <v>1913259.0783346675</v>
      </c>
      <c r="CL17" s="291">
        <f t="shared" si="36"/>
        <v>108625.22960821718</v>
      </c>
      <c r="CM17" s="291">
        <f t="shared" si="37"/>
        <v>281539.1081252736</v>
      </c>
      <c r="CN17" s="291">
        <f t="shared" si="38"/>
        <v>2508278.5490479162</v>
      </c>
      <c r="CO17" s="97">
        <f t="shared" si="39"/>
        <v>-1101097.3401562497</v>
      </c>
    </row>
    <row r="18" spans="1:93" x14ac:dyDescent="0.2">
      <c r="A18" s="274" t="s">
        <v>228</v>
      </c>
      <c r="B18" s="274"/>
      <c r="C18" s="278" t="s">
        <v>425</v>
      </c>
      <c r="D18" s="286">
        <f>'1.2 EDU Factors'!E16</f>
        <v>2.8923267326732671</v>
      </c>
      <c r="E18" s="291">
        <f t="shared" si="0"/>
        <v>10411.467217118525</v>
      </c>
      <c r="F18" s="291">
        <f t="shared" si="0"/>
        <v>31044.368542375862</v>
      </c>
      <c r="G18" s="325" t="str">
        <f t="shared" si="1"/>
        <v>n/a</v>
      </c>
      <c r="H18" s="291">
        <f t="shared" si="2"/>
        <v>25196.812271961695</v>
      </c>
      <c r="I18" s="291">
        <f t="shared" si="2"/>
        <v>10881.072393353397</v>
      </c>
      <c r="J18" s="291">
        <f t="shared" si="2"/>
        <v>21729.617284353011</v>
      </c>
      <c r="K18" s="325" t="str">
        <f t="shared" si="3"/>
        <v>n/a</v>
      </c>
      <c r="M18" s="278" t="s">
        <v>427</v>
      </c>
      <c r="N18" s="286">
        <f>'1.2 EDU Factors'!J16</f>
        <v>0.73124999999999996</v>
      </c>
      <c r="O18" s="291">
        <f t="shared" si="19"/>
        <v>521.24161934226254</v>
      </c>
      <c r="P18" s="291">
        <f t="shared" si="4"/>
        <v>1554.2110053307551</v>
      </c>
      <c r="Q18" s="325" t="str">
        <f t="shared" si="20"/>
        <v>n/a</v>
      </c>
      <c r="R18" s="291">
        <f t="shared" si="4"/>
        <v>1261.4578672740777</v>
      </c>
      <c r="S18" s="291">
        <f t="shared" si="4"/>
        <v>544.75201969291709</v>
      </c>
      <c r="T18" s="291">
        <f t="shared" si="4"/>
        <v>1087.8755764952086</v>
      </c>
      <c r="U18" s="325" t="str">
        <f t="shared" si="21"/>
        <v>n/a</v>
      </c>
      <c r="V18" s="325"/>
      <c r="W18" s="278" t="s">
        <v>425</v>
      </c>
      <c r="X18" s="291">
        <f>'1.2 EDU Factors'!D16</f>
        <v>2337</v>
      </c>
      <c r="Y18" s="291">
        <f t="shared" si="22"/>
        <v>3838.6547171185262</v>
      </c>
      <c r="Z18" s="291">
        <f t="shared" si="22"/>
        <v>24471.556042375854</v>
      </c>
      <c r="AA18" s="325" t="e">
        <f t="shared" si="5"/>
        <v>#VALUE!</v>
      </c>
      <c r="AB18" s="291">
        <f t="shared" si="22"/>
        <v>18623.999771961706</v>
      </c>
      <c r="AC18" s="291">
        <f t="shared" si="22"/>
        <v>4308.2598933533982</v>
      </c>
      <c r="AD18" s="291">
        <f t="shared" si="22"/>
        <v>15156.804784353015</v>
      </c>
      <c r="AE18" s="325" t="str">
        <f t="shared" si="7"/>
        <v>n/a</v>
      </c>
      <c r="AG18" s="278" t="s">
        <v>427</v>
      </c>
      <c r="AH18" s="286">
        <f>'1.2 EDU Factors'!H16</f>
        <v>19.974358974358974</v>
      </c>
      <c r="AI18" s="291">
        <f t="shared" si="8"/>
        <v>192.17911934226254</v>
      </c>
      <c r="AJ18" s="291">
        <f t="shared" si="9"/>
        <v>1225.1485053307551</v>
      </c>
      <c r="AK18" s="325" t="e">
        <f t="shared" si="23"/>
        <v>#VALUE!</v>
      </c>
      <c r="AL18" s="291">
        <f t="shared" si="10"/>
        <v>932.39536727407767</v>
      </c>
      <c r="AM18" s="291">
        <f t="shared" si="10"/>
        <v>215.68951969291723</v>
      </c>
      <c r="AN18" s="291">
        <f t="shared" si="10"/>
        <v>758.81307649520875</v>
      </c>
      <c r="AO18" s="325" t="str">
        <f t="shared" si="24"/>
        <v>n/a</v>
      </c>
      <c r="AR18" s="347"/>
      <c r="AS18" s="286">
        <f>SUMIF('1.3 Total EDUs Developed'!$B$11:$B$19,'1.1 Fee Summary By Land use'!$A18,'1.3 Total EDUs Developed'!$E$11:$E$19)</f>
        <v>34.912390000000002</v>
      </c>
      <c r="AT18" s="286">
        <f>SUMIF('1.3 Total EDUs Developed'!$B$40:$B$62,'1.1 Fee Summary By Land use'!$A18,'1.3 Total EDUs Developed'!$E$40:$E$62)</f>
        <v>25.666180000000001</v>
      </c>
      <c r="AV18" s="286">
        <f>SUMIF('1.3 Total EDUs Developed'!$B$70:$B$89,'1.1 Fee Summary By Land use'!$A18,'1.3 Total EDUs Developed'!$E$70:$E$89)</f>
        <v>68.273225999999994</v>
      </c>
      <c r="AW18" s="286">
        <f>SUMIF('1.3 Total EDUs Developed'!$B$97:$B$107,'1.1 Fee Summary By Land use'!$A18,'1.3 Total EDUs Developed'!$E$97:$E$107)</f>
        <v>18.722038000000001</v>
      </c>
      <c r="AX18" s="286">
        <f>SUMIF('1.3 Total EDUs Developed'!$B$115:$B$116,'1.1 Fee Summary By Land use'!$A18,'1.3 Total EDUs Developed'!$E$115:$E$116)</f>
        <v>0</v>
      </c>
      <c r="AY18" s="286">
        <f t="shared" si="25"/>
        <v>147.57383399999998</v>
      </c>
      <c r="BA18" s="291">
        <f t="shared" si="11"/>
        <v>363489.20395625662</v>
      </c>
      <c r="BB18" s="291">
        <f t="shared" si="12"/>
        <v>796790.35099495656</v>
      </c>
      <c r="BC18" s="291"/>
      <c r="BD18" s="291">
        <f t="shared" si="13"/>
        <v>1720267.6587232142</v>
      </c>
      <c r="BE18" s="291">
        <f t="shared" si="14"/>
        <v>203715.85082911327</v>
      </c>
      <c r="BF18" s="291">
        <f t="shared" si="15"/>
        <v>0</v>
      </c>
      <c r="BG18" s="291">
        <f t="shared" si="26"/>
        <v>3084263.0645035408</v>
      </c>
      <c r="BI18" s="286">
        <f>SUMIF('1.3 Total EDUs Developed'!$B$11:$B$19,'1.1 Fee Summary By Land use'!$A18,'1.3 Total EDUs Developed'!$O$11:$O$19)</f>
        <v>509.93909643749998</v>
      </c>
      <c r="BJ18" s="286">
        <f>SUMIF('1.3 Total EDUs Developed'!$B$40:$B$62,'1.1 Fee Summary By Land use'!$A18,'1.3 Total EDUs Developed'!$O$40:$O$62)</f>
        <v>374.88664162499992</v>
      </c>
      <c r="BL18" s="286">
        <f>SUMIF('1.3 Total EDUs Developed'!$B$70:$B$89,'1.1 Fee Summary By Land use'!$A18,'1.3 Total EDUs Developed'!$O$70:$O$89)</f>
        <v>997.21580726249988</v>
      </c>
      <c r="BM18" s="286">
        <f>SUMIF('1.3 Total EDUs Developed'!$B$97:$B$107,'1.1 Fee Summary By Land use'!$A18,'1.3 Total EDUs Developed'!$O$97:$O$107)</f>
        <v>273.45876753749997</v>
      </c>
      <c r="BN18" s="286">
        <f>SUMIF('1.3 Total EDUs Developed'!$B$115:$B$116,'1.1 Fee Summary By Land use'!$A18,'1.3 Total EDUs Developed'!$O$115:$O$116)</f>
        <v>0</v>
      </c>
      <c r="BO18" s="286">
        <f t="shared" si="27"/>
        <v>2155.5003128624999</v>
      </c>
      <c r="BQ18" s="291">
        <f t="shared" si="28"/>
        <v>363489.20395625662</v>
      </c>
      <c r="BR18" s="291">
        <f t="shared" si="29"/>
        <v>796790.3509949561</v>
      </c>
      <c r="BS18" s="291"/>
      <c r="BT18" s="291">
        <f t="shared" si="16"/>
        <v>1720267.6587232146</v>
      </c>
      <c r="BU18" s="291">
        <f t="shared" si="17"/>
        <v>203715.85082911322</v>
      </c>
      <c r="BV18" s="291">
        <f t="shared" si="18"/>
        <v>0</v>
      </c>
      <c r="BW18" s="291">
        <f t="shared" si="30"/>
        <v>3084263.0645035408</v>
      </c>
      <c r="BX18" s="97">
        <f t="shared" si="31"/>
        <v>0</v>
      </c>
      <c r="BZ18" s="291">
        <f>SUMIF('1.3 Total EDUs Developed'!$B$11:$B$19,'1.1 Fee Summary By Land use'!$A18,'1.3 Total EDUs Developed'!$S$11:$S$19)</f>
        <v>81590.255430000005</v>
      </c>
      <c r="CA18" s="291">
        <f>SUMIF('1.3 Total EDUs Developed'!$B$40:$B$62,'1.1 Fee Summary By Land use'!$A18,'1.3 Total EDUs Developed'!$S$40:$S$62)</f>
        <v>59981.862659999999</v>
      </c>
      <c r="CB18" s="97"/>
      <c r="CC18" s="291">
        <f>SUMIF('1.3 Total EDUs Developed'!$B$70:$B$89,'1.1 Fee Summary By Land use'!$A18,'1.3 Total EDUs Developed'!$S$70:$S$89)</f>
        <v>159554.52916199999</v>
      </c>
      <c r="CD18" s="291">
        <f>SUMIF('1.3 Total EDUs Developed'!$B$97:$B$107,'1.1 Fee Summary By Land use'!$A18,'1.3 Total EDUs Developed'!$S$97:$S$107)</f>
        <v>43753.402806000006</v>
      </c>
      <c r="CE18" s="291">
        <f>SUMIF('1.3 Total EDUs Developed'!$B$115:$B$116,'1.1 Fee Summary By Land use'!$A18,'1.3 Total EDUs Developed'!$S$115:$S$116)</f>
        <v>0</v>
      </c>
      <c r="CF18" s="291">
        <f t="shared" si="32"/>
        <v>344880.05005800002</v>
      </c>
      <c r="CH18" s="291">
        <f t="shared" si="33"/>
        <v>134016.61055938166</v>
      </c>
      <c r="CI18" s="291">
        <f t="shared" si="34"/>
        <v>628091.36226370628</v>
      </c>
      <c r="CJ18" s="291"/>
      <c r="CK18" s="291">
        <f t="shared" si="35"/>
        <v>1271520.5454550898</v>
      </c>
      <c r="CL18" s="291">
        <f t="shared" si="36"/>
        <v>80659.405437238282</v>
      </c>
      <c r="CM18" s="291">
        <f t="shared" si="37"/>
        <v>0</v>
      </c>
      <c r="CN18" s="291">
        <f t="shared" si="38"/>
        <v>2114287.9237154163</v>
      </c>
      <c r="CO18" s="97">
        <f t="shared" si="39"/>
        <v>-969975.14078812441</v>
      </c>
    </row>
    <row r="19" spans="1:93" x14ac:dyDescent="0.2">
      <c r="A19" s="274" t="s">
        <v>237</v>
      </c>
      <c r="B19" s="274"/>
      <c r="C19" s="278" t="s">
        <v>425</v>
      </c>
      <c r="D19" s="286">
        <f>'1.2 EDU Factors'!E17</f>
        <v>1.2376237623762376</v>
      </c>
      <c r="E19" s="291">
        <f t="shared" si="0"/>
        <v>4455.056575574893</v>
      </c>
      <c r="F19" s="291">
        <f t="shared" si="0"/>
        <v>13283.854746416715</v>
      </c>
      <c r="G19" s="325" t="str">
        <f t="shared" si="1"/>
        <v>n/a</v>
      </c>
      <c r="H19" s="291">
        <f t="shared" si="2"/>
        <v>10781.691173282712</v>
      </c>
      <c r="I19" s="291">
        <f t="shared" si="2"/>
        <v>4656.0001683155324</v>
      </c>
      <c r="J19" s="291">
        <f t="shared" si="2"/>
        <v>9298.0818503863993</v>
      </c>
      <c r="K19" s="325" t="str">
        <f t="shared" si="3"/>
        <v>n/a</v>
      </c>
      <c r="M19" s="278" t="s">
        <v>425</v>
      </c>
      <c r="N19" s="286">
        <f>'1.2 EDU Factors'!J17</f>
        <v>6.25</v>
      </c>
      <c r="O19" s="291">
        <f t="shared" si="19"/>
        <v>4455.056575574893</v>
      </c>
      <c r="P19" s="291">
        <f t="shared" si="4"/>
        <v>13283.854746416711</v>
      </c>
      <c r="Q19" s="325" t="str">
        <f t="shared" si="20"/>
        <v>n/a</v>
      </c>
      <c r="R19" s="291">
        <f t="shared" si="4"/>
        <v>10781.691173282716</v>
      </c>
      <c r="S19" s="291">
        <f t="shared" si="4"/>
        <v>4656.0001683155315</v>
      </c>
      <c r="T19" s="291">
        <f t="shared" si="4"/>
        <v>9298.0818503863993</v>
      </c>
      <c r="U19" s="325" t="str">
        <f t="shared" si="21"/>
        <v>n/a</v>
      </c>
      <c r="V19" s="325"/>
      <c r="W19" s="278" t="s">
        <v>425</v>
      </c>
      <c r="X19" s="291">
        <f>'1.2 EDU Factors'!D17</f>
        <v>1000</v>
      </c>
      <c r="Y19" s="291">
        <f t="shared" si="22"/>
        <v>1642.5565755748935</v>
      </c>
      <c r="Z19" s="291">
        <f t="shared" si="22"/>
        <v>10471.354746416711</v>
      </c>
      <c r="AA19" s="325" t="e">
        <f t="shared" si="5"/>
        <v>#VALUE!</v>
      </c>
      <c r="AB19" s="291">
        <f t="shared" si="22"/>
        <v>7969.1911732827148</v>
      </c>
      <c r="AC19" s="291">
        <f t="shared" si="22"/>
        <v>1843.5001683155319</v>
      </c>
      <c r="AD19" s="291">
        <f t="shared" si="22"/>
        <v>6485.5818503863993</v>
      </c>
      <c r="AE19" s="325" t="str">
        <f t="shared" si="7"/>
        <v>n/a</v>
      </c>
      <c r="AG19" s="278" t="s">
        <v>425</v>
      </c>
      <c r="AH19" s="286">
        <f>'1.2 EDU Factors'!H17</f>
        <v>1</v>
      </c>
      <c r="AI19" s="291">
        <f t="shared" si="8"/>
        <v>1642.5565755748935</v>
      </c>
      <c r="AJ19" s="291">
        <f t="shared" si="9"/>
        <v>10471.354746416711</v>
      </c>
      <c r="AK19" s="325" t="e">
        <f t="shared" si="23"/>
        <v>#VALUE!</v>
      </c>
      <c r="AL19" s="291">
        <f t="shared" si="10"/>
        <v>7969.1911732827148</v>
      </c>
      <c r="AM19" s="291">
        <f t="shared" si="10"/>
        <v>1843.5001683155319</v>
      </c>
      <c r="AN19" s="291">
        <f t="shared" si="10"/>
        <v>6485.5818503863993</v>
      </c>
      <c r="AO19" s="325" t="str">
        <f t="shared" si="24"/>
        <v>n/a</v>
      </c>
      <c r="AR19" s="347"/>
      <c r="AS19" s="286">
        <f>SUMIF('1.3 Total EDUs Developed'!$B$11:$B$19,'1.1 Fee Summary By Land use'!$A19,'1.3 Total EDUs Developed'!$E$11:$E$19)</f>
        <v>0</v>
      </c>
      <c r="AT19" s="286">
        <f>SUMIF('1.3 Total EDUs Developed'!$B$40:$B$62,'1.1 Fee Summary By Land use'!$A19,'1.3 Total EDUs Developed'!$E$40:$E$62)</f>
        <v>175.12787800000001</v>
      </c>
      <c r="AV19" s="286">
        <f>SUMIF('1.3 Total EDUs Developed'!$B$70:$B$89,'1.1 Fee Summary By Land use'!$A19,'1.3 Total EDUs Developed'!$E$70:$E$89)</f>
        <v>563.79220399999997</v>
      </c>
      <c r="AW19" s="286">
        <f>SUMIF('1.3 Total EDUs Developed'!$B$97:$B$107,'1.1 Fee Summary By Land use'!$A19,'1.3 Total EDUs Developed'!$E$97:$E$107)</f>
        <v>0</v>
      </c>
      <c r="AX19" s="286">
        <f>SUMIF('1.3 Total EDUs Developed'!$B$115:$B$116,'1.1 Fee Summary By Land use'!$A19,'1.3 Total EDUs Developed'!$E$115:$E$116)</f>
        <v>0</v>
      </c>
      <c r="AY19" s="286">
        <f t="shared" si="25"/>
        <v>738.92008199999998</v>
      </c>
      <c r="BA19" s="291">
        <f t="shared" si="11"/>
        <v>0</v>
      </c>
      <c r="BB19" s="291">
        <f t="shared" si="12"/>
        <v>2326373.2934001875</v>
      </c>
      <c r="BC19" s="291"/>
      <c r="BD19" s="291">
        <f t="shared" si="13"/>
        <v>6078633.4294324061</v>
      </c>
      <c r="BE19" s="291">
        <f t="shared" si="14"/>
        <v>0</v>
      </c>
      <c r="BF19" s="291">
        <f t="shared" si="15"/>
        <v>0</v>
      </c>
      <c r="BG19" s="291">
        <f t="shared" si="26"/>
        <v>8405006.7228325941</v>
      </c>
      <c r="BI19" s="286">
        <f>SUMIF('1.3 Total EDUs Developed'!$B$11:$B$19,'1.1 Fee Summary By Land use'!$A19,'1.3 Total EDUs Developed'!$O$11:$O$19)</f>
        <v>0</v>
      </c>
      <c r="BJ19" s="286">
        <f>SUMIF('1.3 Total EDUs Developed'!$B$40:$B$62,'1.1 Fee Summary By Land use'!$A19,'1.3 Total EDUs Developed'!$O$40:$O$62)</f>
        <v>1094.5492375000001</v>
      </c>
      <c r="BL19" s="286">
        <f>SUMIF('1.3 Total EDUs Developed'!$B$70:$B$89,'1.1 Fee Summary By Land use'!$A19,'1.3 Total EDUs Developed'!$O$70:$O$89)</f>
        <v>3523.7012749999999</v>
      </c>
      <c r="BM19" s="286">
        <f>SUMIF('1.3 Total EDUs Developed'!$B$97:$B$107,'1.1 Fee Summary By Land use'!$A19,'1.3 Total EDUs Developed'!$O$97:$O$107)</f>
        <v>0</v>
      </c>
      <c r="BN19" s="286">
        <f>SUMIF('1.3 Total EDUs Developed'!$B$115:$B$116,'1.1 Fee Summary By Land use'!$A19,'1.3 Total EDUs Developed'!$O$115:$O$116)</f>
        <v>0</v>
      </c>
      <c r="BO19" s="286">
        <f t="shared" si="27"/>
        <v>4618.2505124999998</v>
      </c>
      <c r="BQ19" s="291">
        <f t="shared" si="28"/>
        <v>0</v>
      </c>
      <c r="BR19" s="291">
        <f t="shared" si="29"/>
        <v>2326373.293400187</v>
      </c>
      <c r="BS19" s="291"/>
      <c r="BT19" s="291">
        <f t="shared" si="16"/>
        <v>6078633.429432408</v>
      </c>
      <c r="BU19" s="291">
        <f t="shared" si="17"/>
        <v>0</v>
      </c>
      <c r="BV19" s="291">
        <f t="shared" si="18"/>
        <v>0</v>
      </c>
      <c r="BW19" s="291">
        <f t="shared" si="30"/>
        <v>8405006.7228325941</v>
      </c>
      <c r="BX19" s="97">
        <f t="shared" si="31"/>
        <v>0</v>
      </c>
      <c r="BZ19" s="291">
        <f>SUMIF('1.3 Total EDUs Developed'!$B$11:$B$19,'1.1 Fee Summary By Land use'!$A19,'1.3 Total EDUs Developed'!$S$11:$S$19)</f>
        <v>0</v>
      </c>
      <c r="CA19" s="291">
        <f>SUMIF('1.3 Total EDUs Developed'!$B$40:$B$62,'1.1 Fee Summary By Land use'!$A19,'1.3 Total EDUs Developed'!$S$40:$S$62)</f>
        <v>175127.878</v>
      </c>
      <c r="CB19" s="97"/>
      <c r="CC19" s="291">
        <f>SUMIF('1.3 Total EDUs Developed'!$B$70:$B$89,'1.1 Fee Summary By Land use'!$A19,'1.3 Total EDUs Developed'!$S$70:$S$89)</f>
        <v>563792.20400000003</v>
      </c>
      <c r="CD19" s="291">
        <f>SUMIF('1.3 Total EDUs Developed'!$B$97:$B$107,'1.1 Fee Summary By Land use'!$A19,'1.3 Total EDUs Developed'!$S$97:$S$107)</f>
        <v>0</v>
      </c>
      <c r="CE19" s="291">
        <f>SUMIF('1.3 Total EDUs Developed'!$B$115:$B$116,'1.1 Fee Summary By Land use'!$A19,'1.3 Total EDUs Developed'!$S$115:$S$116)</f>
        <v>0</v>
      </c>
      <c r="CF19" s="291">
        <f t="shared" si="32"/>
        <v>738920.08200000005</v>
      </c>
      <c r="CH19" s="291">
        <f t="shared" si="33"/>
        <v>0</v>
      </c>
      <c r="CI19" s="291">
        <f t="shared" si="34"/>
        <v>1833826.1365251867</v>
      </c>
      <c r="CJ19" s="291"/>
      <c r="CK19" s="291">
        <f t="shared" si="35"/>
        <v>4492967.8556824075</v>
      </c>
      <c r="CL19" s="291">
        <f t="shared" si="36"/>
        <v>0</v>
      </c>
      <c r="CM19" s="291">
        <f t="shared" si="37"/>
        <v>0</v>
      </c>
      <c r="CN19" s="291">
        <f t="shared" si="38"/>
        <v>6326793.9922075942</v>
      </c>
      <c r="CO19" s="97">
        <f t="shared" si="39"/>
        <v>-2078212.7306249999</v>
      </c>
    </row>
    <row r="20" spans="1:93" x14ac:dyDescent="0.2">
      <c r="A20" s="284" t="s">
        <v>229</v>
      </c>
      <c r="B20" s="284"/>
      <c r="C20" s="287" t="s">
        <v>425</v>
      </c>
      <c r="D20" s="285">
        <f>'1.2 EDU Factors'!E18</f>
        <v>1</v>
      </c>
      <c r="E20" s="301">
        <f t="shared" si="0"/>
        <v>3599.6857130645139</v>
      </c>
      <c r="F20" s="301">
        <f t="shared" si="0"/>
        <v>10733.354635104706</v>
      </c>
      <c r="G20" s="326" t="str">
        <f t="shared" si="1"/>
        <v>n/a</v>
      </c>
      <c r="H20" s="301">
        <f t="shared" si="2"/>
        <v>8711.6064680124309</v>
      </c>
      <c r="I20" s="301">
        <f t="shared" si="2"/>
        <v>3762.0481359989499</v>
      </c>
      <c r="J20" s="301">
        <f t="shared" si="2"/>
        <v>7512.8501351122104</v>
      </c>
      <c r="K20" s="326" t="str">
        <f t="shared" si="3"/>
        <v>n/a</v>
      </c>
      <c r="M20" s="287" t="s">
        <v>427</v>
      </c>
      <c r="N20" s="285">
        <f>'1.2 EDU Factors'!J18</f>
        <v>1</v>
      </c>
      <c r="O20" s="301">
        <f t="shared" si="19"/>
        <v>712.80905209198295</v>
      </c>
      <c r="P20" s="301">
        <f t="shared" si="4"/>
        <v>2125.4167594266737</v>
      </c>
      <c r="Q20" s="326" t="str">
        <f t="shared" si="20"/>
        <v>n/a</v>
      </c>
      <c r="R20" s="301">
        <f t="shared" si="4"/>
        <v>1725.0705877252344</v>
      </c>
      <c r="S20" s="301">
        <f t="shared" si="4"/>
        <v>744.96002693048501</v>
      </c>
      <c r="T20" s="301">
        <f t="shared" si="4"/>
        <v>1487.6930960618238</v>
      </c>
      <c r="U20" s="326" t="str">
        <f t="shared" si="21"/>
        <v>n/a</v>
      </c>
      <c r="V20" s="326"/>
      <c r="W20" s="287" t="s">
        <v>425</v>
      </c>
      <c r="X20" s="301">
        <f>'1.2 EDU Factors'!D18</f>
        <v>808</v>
      </c>
      <c r="Y20" s="301">
        <f t="shared" si="22"/>
        <v>1327.1857130645139</v>
      </c>
      <c r="Z20" s="301">
        <f t="shared" si="22"/>
        <v>8460.8546351047025</v>
      </c>
      <c r="AA20" s="326" t="e">
        <f t="shared" si="5"/>
        <v>#VALUE!</v>
      </c>
      <c r="AB20" s="301">
        <f t="shared" si="22"/>
        <v>6439.1064680124337</v>
      </c>
      <c r="AC20" s="301">
        <f t="shared" si="22"/>
        <v>1489.5481359989496</v>
      </c>
      <c r="AD20" s="301">
        <f t="shared" si="22"/>
        <v>5240.3501351122104</v>
      </c>
      <c r="AE20" s="326" t="str">
        <f t="shared" si="7"/>
        <v>n/a</v>
      </c>
      <c r="AG20" s="287" t="s">
        <v>427</v>
      </c>
      <c r="AH20" s="285">
        <f>'1.2 EDU Factors'!H18</f>
        <v>5.05</v>
      </c>
      <c r="AI20" s="301">
        <f t="shared" si="8"/>
        <v>262.80905209198295</v>
      </c>
      <c r="AJ20" s="301">
        <f t="shared" si="9"/>
        <v>1675.4167594266739</v>
      </c>
      <c r="AK20" s="326" t="e">
        <f t="shared" si="23"/>
        <v>#VALUE!</v>
      </c>
      <c r="AL20" s="301">
        <f t="shared" si="10"/>
        <v>1275.0705877252344</v>
      </c>
      <c r="AM20" s="301">
        <f t="shared" si="10"/>
        <v>294.96002693048507</v>
      </c>
      <c r="AN20" s="301">
        <f t="shared" si="10"/>
        <v>1037.6930960618238</v>
      </c>
      <c r="AO20" s="326" t="str">
        <f t="shared" si="24"/>
        <v>n/a</v>
      </c>
      <c r="AR20" s="347"/>
      <c r="AS20" s="286">
        <f>SUMIF('1.3 Total EDUs Developed'!$B$11:$B$19,'1.1 Fee Summary By Land use'!$A20,'1.3 Total EDUs Developed'!$E$11:$E$19)</f>
        <v>162.09944999999999</v>
      </c>
      <c r="AT20" s="286">
        <f>SUMIF('1.3 Total EDUs Developed'!$B$40:$B$62,'1.1 Fee Summary By Land use'!$A20,'1.3 Total EDUs Developed'!$E$40:$E$62)</f>
        <v>1033.033453</v>
      </c>
      <c r="AV20" s="286">
        <f>SUMIF('1.3 Total EDUs Developed'!$B$70:$B$89,'1.1 Fee Summary By Land use'!$A20,'1.3 Total EDUs Developed'!$E$70:$E$89)</f>
        <v>1934.059522</v>
      </c>
      <c r="AW20" s="286">
        <f>SUMIF('1.3 Total EDUs Developed'!$B$97:$B$107,'1.1 Fee Summary By Land use'!$A20,'1.3 Total EDUs Developed'!$E$97:$E$107)</f>
        <v>545.78978700000005</v>
      </c>
      <c r="AX20" s="286">
        <f>SUMIF('1.3 Total EDUs Developed'!$B$115:$B$116,'1.1 Fee Summary By Land use'!$A20,'1.3 Total EDUs Developed'!$E$115:$E$116)</f>
        <v>275.07</v>
      </c>
      <c r="AY20" s="286">
        <f t="shared" si="25"/>
        <v>3950.0522120000005</v>
      </c>
      <c r="BA20" s="291">
        <f t="shared" si="11"/>
        <v>583507.07426061551</v>
      </c>
      <c r="BB20" s="291">
        <f t="shared" si="12"/>
        <v>11087914.400975769</v>
      </c>
      <c r="BC20" s="291"/>
      <c r="BD20" s="291">
        <f t="shared" si="13"/>
        <v>16848765.441376232</v>
      </c>
      <c r="BE20" s="291">
        <f t="shared" si="14"/>
        <v>2053287.450830614</v>
      </c>
      <c r="BF20" s="291">
        <f t="shared" si="15"/>
        <v>2066559.6866653156</v>
      </c>
      <c r="BG20" s="291">
        <f t="shared" si="26"/>
        <v>32640034.054108545</v>
      </c>
      <c r="BI20" s="286">
        <f>SUMIF('1.3 Total EDUs Developed'!$B$11:$B$19,'1.1 Fee Summary By Land use'!$A20,'1.3 Total EDUs Developed'!$O$11:$O$19)</f>
        <v>818.60222249999993</v>
      </c>
      <c r="BJ20" s="286">
        <f>SUMIF('1.3 Total EDUs Developed'!$B$40:$B$62,'1.1 Fee Summary By Land use'!$A20,'1.3 Total EDUs Developed'!$O$40:$O$62)</f>
        <v>5216.8189376499995</v>
      </c>
      <c r="BL20" s="286">
        <f>SUMIF('1.3 Total EDUs Developed'!$B$70:$B$89,'1.1 Fee Summary By Land use'!$A20,'1.3 Total EDUs Developed'!$O$70:$O$89)</f>
        <v>9767.0005860999991</v>
      </c>
      <c r="BM20" s="286">
        <f>SUMIF('1.3 Total EDUs Developed'!$B$97:$B$107,'1.1 Fee Summary By Land use'!$A20,'1.3 Total EDUs Developed'!$O$97:$O$107)</f>
        <v>2756.2384243500001</v>
      </c>
      <c r="BN20" s="286">
        <f>SUMIF('1.3 Total EDUs Developed'!$B$115:$B$116,'1.1 Fee Summary By Land use'!$A20,'1.3 Total EDUs Developed'!$O$115:$O$116)</f>
        <v>1389.1034999999999</v>
      </c>
      <c r="BO20" s="286">
        <f t="shared" si="27"/>
        <v>19947.763670600001</v>
      </c>
      <c r="BQ20" s="291">
        <f t="shared" si="28"/>
        <v>583507.07426061551</v>
      </c>
      <c r="BR20" s="291">
        <f t="shared" si="29"/>
        <v>11087914.400975764</v>
      </c>
      <c r="BS20" s="291"/>
      <c r="BT20" s="291">
        <f t="shared" si="16"/>
        <v>16848765.441376235</v>
      </c>
      <c r="BU20" s="291">
        <f t="shared" si="17"/>
        <v>2053287.4508306137</v>
      </c>
      <c r="BV20" s="291">
        <f t="shared" si="18"/>
        <v>2066559.6866653156</v>
      </c>
      <c r="BW20" s="291">
        <f t="shared" si="30"/>
        <v>32640034.054108541</v>
      </c>
      <c r="BX20" s="97">
        <f t="shared" si="31"/>
        <v>0</v>
      </c>
      <c r="BZ20" s="291">
        <f>SUMIF('1.3 Total EDUs Developed'!$B$11:$B$19,'1.1 Fee Summary By Land use'!$A20,'1.3 Total EDUs Developed'!$S$11:$S$19)</f>
        <v>130976.3556</v>
      </c>
      <c r="CA20" s="291">
        <f>SUMIF('1.3 Total EDUs Developed'!$B$40:$B$62,'1.1 Fee Summary By Land use'!$A20,'1.3 Total EDUs Developed'!$S$40:$S$62)</f>
        <v>834691.03002399998</v>
      </c>
      <c r="CB20" s="97"/>
      <c r="CC20" s="291">
        <f>SUMIF('1.3 Total EDUs Developed'!$B$70:$B$89,'1.1 Fee Summary By Land use'!$A20,'1.3 Total EDUs Developed'!$S$70:$S$89)</f>
        <v>1562720.093776</v>
      </c>
      <c r="CD20" s="291">
        <f>SUMIF('1.3 Total EDUs Developed'!$B$97:$B$107,'1.1 Fee Summary By Land use'!$A20,'1.3 Total EDUs Developed'!$S$97:$S$107)</f>
        <v>440998.14789600001</v>
      </c>
      <c r="CE20" s="291">
        <f>SUMIF('1.3 Total EDUs Developed'!$B$115:$B$116,'1.1 Fee Summary By Land use'!$A20,'1.3 Total EDUs Developed'!$S$115:$S$116)</f>
        <v>222256.56</v>
      </c>
      <c r="CF20" s="291">
        <f t="shared" si="32"/>
        <v>3191642.1872960003</v>
      </c>
      <c r="CH20" s="291">
        <f t="shared" si="33"/>
        <v>215136.07413561552</v>
      </c>
      <c r="CI20" s="291">
        <f t="shared" si="34"/>
        <v>8740345.8790332656</v>
      </c>
      <c r="CJ20" s="291"/>
      <c r="CK20" s="291">
        <f t="shared" si="35"/>
        <v>12453615.177631235</v>
      </c>
      <c r="CL20" s="291">
        <f t="shared" si="36"/>
        <v>812980.15987311385</v>
      </c>
      <c r="CM20" s="291">
        <f t="shared" si="37"/>
        <v>1441463.1116653157</v>
      </c>
      <c r="CN20" s="291">
        <f t="shared" si="38"/>
        <v>23663540.402338546</v>
      </c>
      <c r="CO20" s="97">
        <f t="shared" si="39"/>
        <v>-8976493.6517699994</v>
      </c>
    </row>
    <row r="21" spans="1:93" x14ac:dyDescent="0.2">
      <c r="A21" s="274" t="s">
        <v>230</v>
      </c>
      <c r="B21" s="274"/>
      <c r="C21" s="278" t="s">
        <v>425</v>
      </c>
      <c r="D21" s="286">
        <f>'1.2 EDU Factors'!E19</f>
        <v>1.2376237623762376</v>
      </c>
      <c r="E21" s="291">
        <f t="shared" si="0"/>
        <v>4455.056575574893</v>
      </c>
      <c r="F21" s="291">
        <f t="shared" si="0"/>
        <v>13283.854746416715</v>
      </c>
      <c r="G21" s="325" t="str">
        <f t="shared" si="1"/>
        <v>n/a</v>
      </c>
      <c r="H21" s="291">
        <f t="shared" si="2"/>
        <v>10781.691173282712</v>
      </c>
      <c r="I21" s="291">
        <f t="shared" si="2"/>
        <v>4656.0001683155324</v>
      </c>
      <c r="J21" s="291">
        <f t="shared" si="2"/>
        <v>9298.0818503863993</v>
      </c>
      <c r="K21" s="325" t="str">
        <f t="shared" si="3"/>
        <v>n/a</v>
      </c>
      <c r="M21" s="278" t="s">
        <v>425</v>
      </c>
      <c r="N21" s="286">
        <f>'1.2 EDU Factors'!J19</f>
        <v>6.25</v>
      </c>
      <c r="O21" s="291">
        <f t="shared" si="19"/>
        <v>4455.056575574893</v>
      </c>
      <c r="P21" s="291">
        <f t="shared" si="4"/>
        <v>13283.854746416711</v>
      </c>
      <c r="Q21" s="325" t="str">
        <f t="shared" si="20"/>
        <v>n/a</v>
      </c>
      <c r="R21" s="291">
        <f t="shared" si="4"/>
        <v>10781.691173282716</v>
      </c>
      <c r="S21" s="291">
        <f t="shared" si="4"/>
        <v>4656.0001683155315</v>
      </c>
      <c r="T21" s="291">
        <f t="shared" si="4"/>
        <v>9298.0818503863993</v>
      </c>
      <c r="U21" s="325" t="str">
        <f t="shared" si="21"/>
        <v>n/a</v>
      </c>
      <c r="V21" s="325"/>
      <c r="W21" s="278" t="s">
        <v>425</v>
      </c>
      <c r="X21" s="291">
        <f>'1.2 EDU Factors'!D19</f>
        <v>1000</v>
      </c>
      <c r="Y21" s="291">
        <f t="shared" si="22"/>
        <v>1642.5565755748935</v>
      </c>
      <c r="Z21" s="291">
        <f t="shared" si="22"/>
        <v>10471.354746416711</v>
      </c>
      <c r="AA21" s="325" t="e">
        <f t="shared" si="5"/>
        <v>#VALUE!</v>
      </c>
      <c r="AB21" s="291">
        <f t="shared" si="22"/>
        <v>7969.1911732827148</v>
      </c>
      <c r="AC21" s="291">
        <f t="shared" si="22"/>
        <v>1843.5001683155319</v>
      </c>
      <c r="AD21" s="291">
        <f t="shared" si="22"/>
        <v>6485.5818503863993</v>
      </c>
      <c r="AE21" s="325" t="str">
        <f t="shared" si="7"/>
        <v>n/a</v>
      </c>
      <c r="AG21" s="278" t="s">
        <v>425</v>
      </c>
      <c r="AH21" s="286">
        <f>'1.2 EDU Factors'!H19</f>
        <v>1</v>
      </c>
      <c r="AI21" s="291">
        <f t="shared" si="8"/>
        <v>1642.5565755748935</v>
      </c>
      <c r="AJ21" s="291">
        <f t="shared" si="9"/>
        <v>10471.354746416711</v>
      </c>
      <c r="AK21" s="325" t="e">
        <f t="shared" si="23"/>
        <v>#VALUE!</v>
      </c>
      <c r="AL21" s="291">
        <f t="shared" si="10"/>
        <v>7969.1911732827148</v>
      </c>
      <c r="AM21" s="291">
        <f t="shared" si="10"/>
        <v>1843.5001683155319</v>
      </c>
      <c r="AN21" s="291">
        <f t="shared" si="10"/>
        <v>6485.5818503863993</v>
      </c>
      <c r="AO21" s="325" t="str">
        <f t="shared" si="24"/>
        <v>n/a</v>
      </c>
      <c r="AR21" s="347"/>
      <c r="AS21" s="286">
        <f>SUMIF('1.3 Total EDUs Developed'!$B$11:$B$19,'1.1 Fee Summary By Land use'!$A21,'1.3 Total EDUs Developed'!$E$11:$E$19)</f>
        <v>42.511600999999999</v>
      </c>
      <c r="AT21" s="286">
        <f>SUMIF('1.3 Total EDUs Developed'!$B$40:$B$62,'1.1 Fee Summary By Land use'!$A21,'1.3 Total EDUs Developed'!$E$40:$E$62)</f>
        <v>527.84235899999999</v>
      </c>
      <c r="AV21" s="286">
        <f>SUMIF('1.3 Total EDUs Developed'!$B$70:$B$89,'1.1 Fee Summary By Land use'!$A21,'1.3 Total EDUs Developed'!$E$70:$E$89)</f>
        <v>180.02126100000001</v>
      </c>
      <c r="AW21" s="286">
        <f>SUMIF('1.3 Total EDUs Developed'!$B$97:$B$107,'1.1 Fee Summary By Land use'!$A21,'1.3 Total EDUs Developed'!$E$97:$E$107)</f>
        <v>0</v>
      </c>
      <c r="AX21" s="286">
        <f>SUMIF('1.3 Total EDUs Developed'!$B$115:$B$116,'1.1 Fee Summary By Land use'!$A21,'1.3 Total EDUs Developed'!$E$115:$E$116)</f>
        <v>0</v>
      </c>
      <c r="AY21" s="286">
        <f t="shared" si="25"/>
        <v>750.37522100000001</v>
      </c>
      <c r="BA21" s="291">
        <f t="shared" si="11"/>
        <v>189391.58757326618</v>
      </c>
      <c r="BB21" s="291">
        <f t="shared" si="12"/>
        <v>7011781.225961945</v>
      </c>
      <c r="BC21" s="291"/>
      <c r="BD21" s="291">
        <f t="shared" si="13"/>
        <v>1940933.6407269235</v>
      </c>
      <c r="BE21" s="291">
        <f t="shared" si="14"/>
        <v>0</v>
      </c>
      <c r="BF21" s="291">
        <f t="shared" si="15"/>
        <v>0</v>
      </c>
      <c r="BG21" s="291">
        <f t="shared" si="26"/>
        <v>9142106.4542621356</v>
      </c>
      <c r="BI21" s="286">
        <f>SUMIF('1.3 Total EDUs Developed'!$B$11:$B$19,'1.1 Fee Summary By Land use'!$A21,'1.3 Total EDUs Developed'!$O$11:$O$19)</f>
        <v>265.69750625</v>
      </c>
      <c r="BJ21" s="286">
        <f>SUMIF('1.3 Total EDUs Developed'!$B$40:$B$62,'1.1 Fee Summary By Land use'!$A21,'1.3 Total EDUs Developed'!$O$40:$O$62)</f>
        <v>3299.01474375</v>
      </c>
      <c r="BL21" s="286">
        <f>SUMIF('1.3 Total EDUs Developed'!$B$70:$B$89,'1.1 Fee Summary By Land use'!$A21,'1.3 Total EDUs Developed'!$O$70:$O$89)</f>
        <v>1125.1328812500001</v>
      </c>
      <c r="BM21" s="286">
        <f>SUMIF('1.3 Total EDUs Developed'!$B$97:$B$107,'1.1 Fee Summary By Land use'!$A21,'1.3 Total EDUs Developed'!$O$97:$O$107)</f>
        <v>0</v>
      </c>
      <c r="BN21" s="286">
        <f>SUMIF('1.3 Total EDUs Developed'!$B$115:$B$116,'1.1 Fee Summary By Land use'!$A21,'1.3 Total EDUs Developed'!$O$115:$O$116)</f>
        <v>0</v>
      </c>
      <c r="BO21" s="286">
        <f t="shared" si="27"/>
        <v>4689.8451312500001</v>
      </c>
      <c r="BQ21" s="291">
        <f t="shared" si="28"/>
        <v>189391.58757326621</v>
      </c>
      <c r="BR21" s="291">
        <f t="shared" si="29"/>
        <v>7011781.2259619432</v>
      </c>
      <c r="BS21" s="291"/>
      <c r="BT21" s="291">
        <f t="shared" si="16"/>
        <v>1940933.6407269239</v>
      </c>
      <c r="BU21" s="291">
        <f t="shared" si="17"/>
        <v>0</v>
      </c>
      <c r="BV21" s="291">
        <f t="shared" si="18"/>
        <v>0</v>
      </c>
      <c r="BW21" s="291">
        <f t="shared" si="30"/>
        <v>9142106.4542621337</v>
      </c>
      <c r="BX21" s="97">
        <f t="shared" si="31"/>
        <v>0</v>
      </c>
      <c r="BZ21" s="291">
        <f>SUMIF('1.3 Total EDUs Developed'!$B$11:$B$19,'1.1 Fee Summary By Land use'!$A21,'1.3 Total EDUs Developed'!$S$11:$S$19)</f>
        <v>42511.601000000002</v>
      </c>
      <c r="CA21" s="291">
        <f>SUMIF('1.3 Total EDUs Developed'!$B$40:$B$62,'1.1 Fee Summary By Land use'!$A21,'1.3 Total EDUs Developed'!$S$40:$S$62)</f>
        <v>527842.35899999994</v>
      </c>
      <c r="CB21" s="97"/>
      <c r="CC21" s="291">
        <f>SUMIF('1.3 Total EDUs Developed'!$B$70:$B$89,'1.1 Fee Summary By Land use'!$A21,'1.3 Total EDUs Developed'!$S$70:$S$89)</f>
        <v>180021.261</v>
      </c>
      <c r="CD21" s="291">
        <f>SUMIF('1.3 Total EDUs Developed'!$B$97:$B$107,'1.1 Fee Summary By Land use'!$A21,'1.3 Total EDUs Developed'!$S$97:$S$107)</f>
        <v>0</v>
      </c>
      <c r="CE21" s="291">
        <f>SUMIF('1.3 Total EDUs Developed'!$B$115:$B$116,'1.1 Fee Summary By Land use'!$A21,'1.3 Total EDUs Developed'!$S$115:$S$116)</f>
        <v>0</v>
      </c>
      <c r="CF21" s="291">
        <f t="shared" si="32"/>
        <v>750375.2209999999</v>
      </c>
      <c r="CH21" s="291">
        <f t="shared" si="33"/>
        <v>69827.709760766214</v>
      </c>
      <c r="CI21" s="291">
        <f t="shared" si="34"/>
        <v>5527224.5912744431</v>
      </c>
      <c r="CJ21" s="291"/>
      <c r="CK21" s="291">
        <f t="shared" si="35"/>
        <v>1434623.8441644239</v>
      </c>
      <c r="CL21" s="291">
        <f t="shared" si="36"/>
        <v>0</v>
      </c>
      <c r="CM21" s="291">
        <f t="shared" si="37"/>
        <v>0</v>
      </c>
      <c r="CN21" s="291">
        <f t="shared" si="38"/>
        <v>7031676.1451996332</v>
      </c>
      <c r="CO21" s="97">
        <f t="shared" si="39"/>
        <v>-2110430.3090625023</v>
      </c>
    </row>
    <row r="22" spans="1:93" x14ac:dyDescent="0.2">
      <c r="A22" s="274" t="s">
        <v>231</v>
      </c>
      <c r="B22" s="274"/>
      <c r="C22" s="278" t="s">
        <v>425</v>
      </c>
      <c r="D22" s="286">
        <f>'1.2 EDU Factors'!E20</f>
        <v>1.6658415841584158</v>
      </c>
      <c r="E22" s="291">
        <f t="shared" si="0"/>
        <v>5996.5061507238061</v>
      </c>
      <c r="F22" s="291">
        <f t="shared" si="0"/>
        <v>17880.068488676898</v>
      </c>
      <c r="G22" s="325" t="str">
        <f t="shared" si="1"/>
        <v>n/a</v>
      </c>
      <c r="H22" s="291">
        <f t="shared" si="2"/>
        <v>14512.156319238529</v>
      </c>
      <c r="I22" s="291">
        <f t="shared" si="2"/>
        <v>6266.9762265527061</v>
      </c>
      <c r="J22" s="291">
        <f t="shared" si="2"/>
        <v>12515.218170620092</v>
      </c>
      <c r="K22" s="325" t="str">
        <f t="shared" si="3"/>
        <v>n/a</v>
      </c>
      <c r="M22" s="278" t="s">
        <v>427</v>
      </c>
      <c r="N22" s="286">
        <f>'1.2 EDU Factors'!J20</f>
        <v>0.73124999999999996</v>
      </c>
      <c r="O22" s="291">
        <f t="shared" si="19"/>
        <v>521.24161934226254</v>
      </c>
      <c r="P22" s="291">
        <f t="shared" si="4"/>
        <v>1554.2110053307551</v>
      </c>
      <c r="Q22" s="325" t="str">
        <f t="shared" si="20"/>
        <v>n/a</v>
      </c>
      <c r="R22" s="291">
        <f t="shared" si="4"/>
        <v>1261.4578672740777</v>
      </c>
      <c r="S22" s="291">
        <f t="shared" si="4"/>
        <v>544.75201969291709</v>
      </c>
      <c r="T22" s="291">
        <f t="shared" si="4"/>
        <v>1087.8755764952086</v>
      </c>
      <c r="U22" s="325" t="str">
        <f t="shared" si="21"/>
        <v>n/a</v>
      </c>
      <c r="V22" s="325"/>
      <c r="W22" s="278" t="s">
        <v>425</v>
      </c>
      <c r="X22" s="291">
        <f>'1.2 EDU Factors'!D20</f>
        <v>1346</v>
      </c>
      <c r="Y22" s="291">
        <f t="shared" si="22"/>
        <v>2210.8811507238065</v>
      </c>
      <c r="Z22" s="291">
        <f t="shared" si="22"/>
        <v>14094.443488676894</v>
      </c>
      <c r="AA22" s="325" t="e">
        <f t="shared" si="5"/>
        <v>#VALUE!</v>
      </c>
      <c r="AB22" s="291">
        <f t="shared" si="22"/>
        <v>10726.531319238535</v>
      </c>
      <c r="AC22" s="291">
        <f t="shared" si="22"/>
        <v>2481.3512265527061</v>
      </c>
      <c r="AD22" s="291">
        <f t="shared" si="22"/>
        <v>8729.5931706200936</v>
      </c>
      <c r="AE22" s="325" t="str">
        <f t="shared" si="7"/>
        <v>n/a</v>
      </c>
      <c r="AG22" s="278" t="s">
        <v>427</v>
      </c>
      <c r="AH22" s="286">
        <f>'1.2 EDU Factors'!H20</f>
        <v>11.504273504273504</v>
      </c>
      <c r="AI22" s="291">
        <f t="shared" si="8"/>
        <v>192.17911934226254</v>
      </c>
      <c r="AJ22" s="291">
        <f t="shared" si="9"/>
        <v>1225.1485053307554</v>
      </c>
      <c r="AK22" s="325" t="e">
        <f t="shared" si="23"/>
        <v>#VALUE!</v>
      </c>
      <c r="AL22" s="291">
        <f t="shared" si="10"/>
        <v>932.39536727407767</v>
      </c>
      <c r="AM22" s="291">
        <f t="shared" si="10"/>
        <v>215.68951969291723</v>
      </c>
      <c r="AN22" s="291">
        <f t="shared" si="10"/>
        <v>758.81307649520875</v>
      </c>
      <c r="AO22" s="325" t="str">
        <f t="shared" si="24"/>
        <v>n/a</v>
      </c>
      <c r="AQ22" s="325"/>
      <c r="AR22" s="347"/>
      <c r="AS22" s="286">
        <f>SUMIF('1.3 Total EDUs Developed'!$B$11:$B$19,'1.1 Fee Summary By Land use'!$A22,'1.3 Total EDUs Developed'!$E$11:$E$19)</f>
        <v>55.914966</v>
      </c>
      <c r="AT22" s="286">
        <f>SUMIF('1.3 Total EDUs Developed'!$B$40:$B$62,'1.1 Fee Summary By Land use'!$A22,'1.3 Total EDUs Developed'!$E$40:$E$62)</f>
        <v>19.097294000000002</v>
      </c>
      <c r="AV22" s="286">
        <f>SUMIF('1.3 Total EDUs Developed'!$B$70:$B$89,'1.1 Fee Summary By Land use'!$A22,'1.3 Total EDUs Developed'!$E$70:$E$89)</f>
        <v>113.576701</v>
      </c>
      <c r="AW22" s="286">
        <f>SUMIF('1.3 Total EDUs Developed'!$B$97:$B$107,'1.1 Fee Summary By Land use'!$A22,'1.3 Total EDUs Developed'!$E$97:$E$107)</f>
        <v>48.975785000000002</v>
      </c>
      <c r="AX22" s="286">
        <f>SUMIF('1.3 Total EDUs Developed'!$B$115:$B$116,'1.1 Fee Summary By Land use'!$A22,'1.3 Total EDUs Developed'!$E$115:$E$116)</f>
        <v>0</v>
      </c>
      <c r="AY22" s="286">
        <f t="shared" si="25"/>
        <v>237.56474599999999</v>
      </c>
      <c r="BA22" s="291">
        <f t="shared" si="11"/>
        <v>335294.4375365125</v>
      </c>
      <c r="BB22" s="291">
        <f t="shared" si="12"/>
        <v>341460.92466839839</v>
      </c>
      <c r="BC22" s="291"/>
      <c r="BD22" s="291">
        <f t="shared" si="13"/>
        <v>1648242.8391354149</v>
      </c>
      <c r="BE22" s="291">
        <f t="shared" si="14"/>
        <v>306930.08027175663</v>
      </c>
      <c r="BF22" s="291">
        <f t="shared" si="15"/>
        <v>0</v>
      </c>
      <c r="BG22" s="291">
        <f t="shared" si="26"/>
        <v>2631928.2816120829</v>
      </c>
      <c r="BI22" s="286">
        <f>SUMIF('1.3 Total EDUs Developed'!$B$11:$B$19,'1.1 Fee Summary By Land use'!$A22,'1.3 Total EDUs Developed'!$O$11:$O$19)</f>
        <v>470.384651475</v>
      </c>
      <c r="BJ22" s="286">
        <f>SUMIF('1.3 Total EDUs Developed'!$B$40:$B$62,'1.1 Fee Summary By Land use'!$A22,'1.3 Total EDUs Developed'!$O$40:$O$62)</f>
        <v>160.655985775</v>
      </c>
      <c r="BL22" s="286">
        <f>SUMIF('1.3 Total EDUs Developed'!$B$70:$B$89,'1.1 Fee Summary By Land use'!$A22,'1.3 Total EDUs Developed'!$O$70:$O$89)</f>
        <v>955.46399716249994</v>
      </c>
      <c r="BM22" s="286">
        <f>SUMIF('1.3 Total EDUs Developed'!$B$97:$B$107,'1.1 Fee Summary By Land use'!$A22,'1.3 Total EDUs Developed'!$O$97:$O$107)</f>
        <v>412.00879131250002</v>
      </c>
      <c r="BN22" s="286">
        <f>SUMIF('1.3 Total EDUs Developed'!$B$115:$B$116,'1.1 Fee Summary By Land use'!$A22,'1.3 Total EDUs Developed'!$O$115:$O$116)</f>
        <v>0</v>
      </c>
      <c r="BO22" s="286">
        <f t="shared" si="27"/>
        <v>1998.5134257249999</v>
      </c>
      <c r="BQ22" s="291">
        <f t="shared" si="28"/>
        <v>335294.4375365125</v>
      </c>
      <c r="BR22" s="291">
        <f t="shared" si="29"/>
        <v>341460.92466839828</v>
      </c>
      <c r="BS22" s="291"/>
      <c r="BT22" s="291">
        <f t="shared" si="16"/>
        <v>1648242.8391354154</v>
      </c>
      <c r="BU22" s="291">
        <f t="shared" si="17"/>
        <v>306930.08027175663</v>
      </c>
      <c r="BV22" s="291">
        <f t="shared" si="18"/>
        <v>0</v>
      </c>
      <c r="BW22" s="291">
        <f t="shared" si="30"/>
        <v>2631928.2816120829</v>
      </c>
      <c r="BX22" s="97">
        <f t="shared" si="31"/>
        <v>0</v>
      </c>
      <c r="BZ22" s="291">
        <f>SUMIF('1.3 Total EDUs Developed'!$B$11:$B$19,'1.1 Fee Summary By Land use'!$A22,'1.3 Total EDUs Developed'!$S$11:$S$19)</f>
        <v>75261.544236000002</v>
      </c>
      <c r="CA22" s="291">
        <f>SUMIF('1.3 Total EDUs Developed'!$B$40:$B$62,'1.1 Fee Summary By Land use'!$A22,'1.3 Total EDUs Developed'!$S$40:$S$62)</f>
        <v>25704.957724000004</v>
      </c>
      <c r="CB22" s="97"/>
      <c r="CC22" s="291">
        <f>SUMIF('1.3 Total EDUs Developed'!$B$70:$B$89,'1.1 Fee Summary By Land use'!$A22,'1.3 Total EDUs Developed'!$S$70:$S$89)</f>
        <v>152874.239546</v>
      </c>
      <c r="CD22" s="291">
        <f>SUMIF('1.3 Total EDUs Developed'!$B$97:$B$107,'1.1 Fee Summary By Land use'!$A22,'1.3 Total EDUs Developed'!$S$97:$S$107)</f>
        <v>65921.406610000005</v>
      </c>
      <c r="CE22" s="291">
        <f>SUMIF('1.3 Total EDUs Developed'!$B$115:$B$116,'1.1 Fee Summary By Land use'!$A22,'1.3 Total EDUs Developed'!$S$115:$S$116)</f>
        <v>0</v>
      </c>
      <c r="CF22" s="291">
        <f t="shared" si="32"/>
        <v>319762.148116</v>
      </c>
      <c r="CH22" s="291">
        <f t="shared" si="33"/>
        <v>123621.34437276253</v>
      </c>
      <c r="CI22" s="291">
        <f t="shared" si="34"/>
        <v>269165.73106964835</v>
      </c>
      <c r="CJ22" s="291"/>
      <c r="CK22" s="291">
        <f t="shared" si="35"/>
        <v>1218284.0404122905</v>
      </c>
      <c r="CL22" s="291">
        <f t="shared" si="36"/>
        <v>121526.12418113163</v>
      </c>
      <c r="CM22" s="291">
        <f t="shared" si="37"/>
        <v>0</v>
      </c>
      <c r="CN22" s="291">
        <f t="shared" si="38"/>
        <v>1732597.2400358331</v>
      </c>
      <c r="CO22" s="97">
        <f t="shared" si="39"/>
        <v>-899331.04157624976</v>
      </c>
    </row>
    <row r="23" spans="1:93" x14ac:dyDescent="0.2">
      <c r="A23" s="274" t="s">
        <v>232</v>
      </c>
      <c r="B23" s="274"/>
      <c r="C23" s="278" t="s">
        <v>425</v>
      </c>
      <c r="D23" s="286">
        <f>'1.2 EDU Factors'!E21</f>
        <v>1.386138613861386</v>
      </c>
      <c r="E23" s="291">
        <f t="shared" si="0"/>
        <v>4989.6633646438804</v>
      </c>
      <c r="F23" s="291">
        <f t="shared" si="0"/>
        <v>14877.91731598672</v>
      </c>
      <c r="G23" s="325" t="str">
        <f t="shared" si="1"/>
        <v>n/a</v>
      </c>
      <c r="H23" s="291">
        <f t="shared" si="2"/>
        <v>12075.494114076637</v>
      </c>
      <c r="I23" s="291">
        <f t="shared" si="2"/>
        <v>5214.7201885133954</v>
      </c>
      <c r="J23" s="291">
        <f t="shared" si="2"/>
        <v>10413.851672432766</v>
      </c>
      <c r="K23" s="325" t="str">
        <f t="shared" si="3"/>
        <v>n/a</v>
      </c>
      <c r="M23" s="278" t="s">
        <v>425</v>
      </c>
      <c r="N23" s="286">
        <f>'1.2 EDU Factors'!J21</f>
        <v>7</v>
      </c>
      <c r="O23" s="291">
        <f t="shared" si="19"/>
        <v>4989.6633646438804</v>
      </c>
      <c r="P23" s="291">
        <f t="shared" si="4"/>
        <v>14877.917315986717</v>
      </c>
      <c r="Q23" s="325" t="str">
        <f t="shared" si="20"/>
        <v>n/a</v>
      </c>
      <c r="R23" s="291">
        <f t="shared" si="4"/>
        <v>12075.49411407664</v>
      </c>
      <c r="S23" s="291">
        <f t="shared" si="4"/>
        <v>5214.7201885133954</v>
      </c>
      <c r="T23" s="291">
        <f t="shared" si="4"/>
        <v>10413.851672432767</v>
      </c>
      <c r="U23" s="325" t="str">
        <f t="shared" si="21"/>
        <v>n/a</v>
      </c>
      <c r="V23" s="325"/>
      <c r="W23" s="278" t="s">
        <v>425</v>
      </c>
      <c r="X23" s="291">
        <f>'1.2 EDU Factors'!D21</f>
        <v>1120</v>
      </c>
      <c r="Y23" s="291">
        <f t="shared" si="22"/>
        <v>1839.6633646438806</v>
      </c>
      <c r="Z23" s="291">
        <f t="shared" si="22"/>
        <v>11727.917315986717</v>
      </c>
      <c r="AA23" s="325" t="e">
        <f t="shared" si="5"/>
        <v>#VALUE!</v>
      </c>
      <c r="AB23" s="291">
        <f t="shared" si="22"/>
        <v>8925.4941140766405</v>
      </c>
      <c r="AC23" s="291">
        <f t="shared" si="22"/>
        <v>2064.7201885133959</v>
      </c>
      <c r="AD23" s="291">
        <f t="shared" si="22"/>
        <v>7263.8516724327674</v>
      </c>
      <c r="AE23" s="325" t="str">
        <f t="shared" si="7"/>
        <v>n/a</v>
      </c>
      <c r="AG23" s="278" t="s">
        <v>425</v>
      </c>
      <c r="AH23" s="286">
        <f>'1.2 EDU Factors'!H21</f>
        <v>1</v>
      </c>
      <c r="AI23" s="291">
        <f t="shared" si="8"/>
        <v>1839.6633646438806</v>
      </c>
      <c r="AJ23" s="291">
        <f t="shared" si="9"/>
        <v>11727.917315986717</v>
      </c>
      <c r="AK23" s="325" t="e">
        <f t="shared" si="23"/>
        <v>#VALUE!</v>
      </c>
      <c r="AL23" s="291">
        <f t="shared" si="10"/>
        <v>8925.4941140766405</v>
      </c>
      <c r="AM23" s="291">
        <f t="shared" si="10"/>
        <v>2064.7201885133959</v>
      </c>
      <c r="AN23" s="291">
        <f t="shared" si="10"/>
        <v>7263.8516724327674</v>
      </c>
      <c r="AO23" s="325" t="str">
        <f t="shared" si="24"/>
        <v>n/a</v>
      </c>
      <c r="AP23" s="325"/>
      <c r="AQ23" s="325"/>
      <c r="AR23" s="347"/>
      <c r="AS23" s="286">
        <f>SUMIF('1.3 Total EDUs Developed'!$B$11:$B$19,'1.1 Fee Summary By Land use'!$A23,'1.3 Total EDUs Developed'!$E$11:$E$19)</f>
        <v>13.091668</v>
      </c>
      <c r="AT23" s="286">
        <f>SUMIF('1.3 Total EDUs Developed'!$B$40:$B$62,'1.1 Fee Summary By Land use'!$A23,'1.3 Total EDUs Developed'!$E$40:$E$62)</f>
        <v>22.485962000000001</v>
      </c>
      <c r="AV23" s="286">
        <f>SUMIF('1.3 Total EDUs Developed'!$B$70:$B$89,'1.1 Fee Summary By Land use'!$A23,'1.3 Total EDUs Developed'!$E$70:$E$89)</f>
        <v>20.52543</v>
      </c>
      <c r="AW23" s="286">
        <f>SUMIF('1.3 Total EDUs Developed'!$B$97:$B$107,'1.1 Fee Summary By Land use'!$A23,'1.3 Total EDUs Developed'!$E$97:$E$107)</f>
        <v>0</v>
      </c>
      <c r="AX23" s="286">
        <f>SUMIF('1.3 Total EDUs Developed'!$B$115:$B$116,'1.1 Fee Summary By Land use'!$A23,'1.3 Total EDUs Developed'!$E$115:$E$116)</f>
        <v>0</v>
      </c>
      <c r="AY23" s="286">
        <f t="shared" si="25"/>
        <v>56.103059999999999</v>
      </c>
      <c r="BA23" s="291">
        <f t="shared" si="11"/>
        <v>65323.016201680621</v>
      </c>
      <c r="BB23" s="291">
        <f t="shared" si="12"/>
        <v>334544.28340641939</v>
      </c>
      <c r="BC23" s="291"/>
      <c r="BD23" s="291">
        <f t="shared" si="13"/>
        <v>247854.70915389204</v>
      </c>
      <c r="BE23" s="291">
        <f t="shared" si="14"/>
        <v>0</v>
      </c>
      <c r="BF23" s="291">
        <f t="shared" si="15"/>
        <v>0</v>
      </c>
      <c r="BG23" s="291">
        <f t="shared" si="26"/>
        <v>647722.0087619921</v>
      </c>
      <c r="BI23" s="286">
        <f>SUMIF('1.3 Total EDUs Developed'!$B$11:$B$19,'1.1 Fee Summary By Land use'!$A23,'1.3 Total EDUs Developed'!$O$11:$O$19)</f>
        <v>91.641676000000004</v>
      </c>
      <c r="BJ23" s="286">
        <f>SUMIF('1.3 Total EDUs Developed'!$B$40:$B$62,'1.1 Fee Summary By Land use'!$A23,'1.3 Total EDUs Developed'!$O$40:$O$62)</f>
        <v>157.401734</v>
      </c>
      <c r="BL23" s="286">
        <f>SUMIF('1.3 Total EDUs Developed'!$B$70:$B$89,'1.1 Fee Summary By Land use'!$A23,'1.3 Total EDUs Developed'!$O$70:$O$89)</f>
        <v>143.67801</v>
      </c>
      <c r="BM23" s="286">
        <f>SUMIF('1.3 Total EDUs Developed'!$B$97:$B$107,'1.1 Fee Summary By Land use'!$A23,'1.3 Total EDUs Developed'!$O$97:$O$107)</f>
        <v>0</v>
      </c>
      <c r="BN23" s="286">
        <f>SUMIF('1.3 Total EDUs Developed'!$B$115:$B$116,'1.1 Fee Summary By Land use'!$A23,'1.3 Total EDUs Developed'!$O$115:$O$116)</f>
        <v>0</v>
      </c>
      <c r="BO23" s="286">
        <f t="shared" si="27"/>
        <v>392.72141999999997</v>
      </c>
      <c r="BQ23" s="291">
        <f t="shared" si="28"/>
        <v>65323.016201680628</v>
      </c>
      <c r="BR23" s="291">
        <f t="shared" si="29"/>
        <v>334544.28340641927</v>
      </c>
      <c r="BS23" s="291"/>
      <c r="BT23" s="291">
        <f t="shared" si="16"/>
        <v>247854.70915389212</v>
      </c>
      <c r="BU23" s="291">
        <f t="shared" si="17"/>
        <v>0</v>
      </c>
      <c r="BV23" s="291">
        <f t="shared" si="18"/>
        <v>0</v>
      </c>
      <c r="BW23" s="291">
        <f t="shared" si="30"/>
        <v>647722.00876199198</v>
      </c>
      <c r="BX23" s="97">
        <f t="shared" si="31"/>
        <v>0</v>
      </c>
      <c r="BZ23" s="291">
        <f>SUMIF('1.3 Total EDUs Developed'!$B$11:$B$19,'1.1 Fee Summary By Land use'!$A23,'1.3 Total EDUs Developed'!$S$11:$S$19)</f>
        <v>14662.668160000001</v>
      </c>
      <c r="CA23" s="291">
        <f>SUMIF('1.3 Total EDUs Developed'!$B$40:$B$62,'1.1 Fee Summary By Land use'!$A23,'1.3 Total EDUs Developed'!$S$40:$S$62)</f>
        <v>25184.277440000002</v>
      </c>
      <c r="CB23" s="97"/>
      <c r="CC23" s="291">
        <f>SUMIF('1.3 Total EDUs Developed'!$B$70:$B$89,'1.1 Fee Summary By Land use'!$A23,'1.3 Total EDUs Developed'!$S$70:$S$89)</f>
        <v>22988.481599999999</v>
      </c>
      <c r="CD23" s="291">
        <f>SUMIF('1.3 Total EDUs Developed'!$B$97:$B$107,'1.1 Fee Summary By Land use'!$A23,'1.3 Total EDUs Developed'!$S$97:$S$107)</f>
        <v>0</v>
      </c>
      <c r="CE23" s="291">
        <f>SUMIF('1.3 Total EDUs Developed'!$B$115:$B$116,'1.1 Fee Summary By Land use'!$A23,'1.3 Total EDUs Developed'!$S$115:$S$116)</f>
        <v>0</v>
      </c>
      <c r="CF23" s="291">
        <f t="shared" si="32"/>
        <v>62835.427200000006</v>
      </c>
      <c r="CH23" s="291">
        <f t="shared" si="33"/>
        <v>24084.262001680625</v>
      </c>
      <c r="CI23" s="291">
        <f t="shared" si="34"/>
        <v>263713.50310641935</v>
      </c>
      <c r="CJ23" s="291"/>
      <c r="CK23" s="291">
        <f t="shared" si="35"/>
        <v>183199.60465389211</v>
      </c>
      <c r="CL23" s="291">
        <f t="shared" si="36"/>
        <v>0</v>
      </c>
      <c r="CM23" s="291">
        <f t="shared" si="37"/>
        <v>0</v>
      </c>
      <c r="CN23" s="291">
        <f t="shared" si="38"/>
        <v>470997.36976199207</v>
      </c>
      <c r="CO23" s="97">
        <f t="shared" si="39"/>
        <v>-176724.63900000002</v>
      </c>
    </row>
    <row r="24" spans="1:93" x14ac:dyDescent="0.2">
      <c r="A24" s="274" t="s">
        <v>238</v>
      </c>
      <c r="B24" s="274"/>
      <c r="C24" s="278" t="s">
        <v>425</v>
      </c>
      <c r="D24" s="286">
        <f>'1.2 EDU Factors'!E22</f>
        <v>0</v>
      </c>
      <c r="E24" s="291">
        <f t="shared" si="0"/>
        <v>0</v>
      </c>
      <c r="F24" s="291">
        <f t="shared" si="0"/>
        <v>0</v>
      </c>
      <c r="G24" s="325" t="str">
        <f t="shared" si="1"/>
        <v>n/a</v>
      </c>
      <c r="H24" s="291">
        <f t="shared" si="2"/>
        <v>0</v>
      </c>
      <c r="I24" s="291">
        <f t="shared" si="2"/>
        <v>0</v>
      </c>
      <c r="J24" s="291">
        <f t="shared" si="2"/>
        <v>0</v>
      </c>
      <c r="K24" s="325" t="str">
        <f t="shared" si="3"/>
        <v>n/a</v>
      </c>
      <c r="M24" s="278" t="s">
        <v>425</v>
      </c>
      <c r="N24" s="286">
        <f>'1.2 EDU Factors'!J22</f>
        <v>0</v>
      </c>
      <c r="O24" s="291">
        <f t="shared" si="19"/>
        <v>0</v>
      </c>
      <c r="P24" s="291">
        <f t="shared" si="4"/>
        <v>0</v>
      </c>
      <c r="Q24" s="325" t="str">
        <f t="shared" si="20"/>
        <v>n/a</v>
      </c>
      <c r="R24" s="291">
        <f t="shared" si="4"/>
        <v>0</v>
      </c>
      <c r="S24" s="291">
        <f t="shared" si="4"/>
        <v>0</v>
      </c>
      <c r="T24" s="291">
        <f t="shared" si="4"/>
        <v>0</v>
      </c>
      <c r="U24" s="325" t="str">
        <f t="shared" si="21"/>
        <v>n/a</v>
      </c>
      <c r="V24" s="325"/>
      <c r="W24" s="278" t="s">
        <v>425</v>
      </c>
      <c r="X24" s="291">
        <f>'1.2 EDU Factors'!D22</f>
        <v>0</v>
      </c>
      <c r="Y24" s="291">
        <f t="shared" si="22"/>
        <v>0</v>
      </c>
      <c r="Z24" s="291">
        <f t="shared" si="22"/>
        <v>0</v>
      </c>
      <c r="AA24" s="325" t="e">
        <f t="shared" si="5"/>
        <v>#VALUE!</v>
      </c>
      <c r="AB24" s="291">
        <f t="shared" si="22"/>
        <v>0</v>
      </c>
      <c r="AC24" s="291">
        <f t="shared" si="22"/>
        <v>0</v>
      </c>
      <c r="AD24" s="291">
        <f t="shared" si="22"/>
        <v>0</v>
      </c>
      <c r="AE24" s="325" t="str">
        <f t="shared" si="7"/>
        <v>n/a</v>
      </c>
      <c r="AG24" s="278" t="s">
        <v>425</v>
      </c>
      <c r="AH24" s="286">
        <f>'1.2 EDU Factors'!H22</f>
        <v>1</v>
      </c>
      <c r="AI24" s="291">
        <f t="shared" si="8"/>
        <v>0</v>
      </c>
      <c r="AJ24" s="291">
        <f t="shared" si="9"/>
        <v>0</v>
      </c>
      <c r="AK24" s="325" t="e">
        <f t="shared" si="23"/>
        <v>#VALUE!</v>
      </c>
      <c r="AL24" s="291">
        <f t="shared" si="10"/>
        <v>0</v>
      </c>
      <c r="AM24" s="291">
        <f t="shared" si="10"/>
        <v>0</v>
      </c>
      <c r="AN24" s="291">
        <f t="shared" si="10"/>
        <v>0</v>
      </c>
      <c r="AO24" s="325" t="str">
        <f t="shared" si="24"/>
        <v>n/a</v>
      </c>
      <c r="AP24" s="325"/>
      <c r="AQ24" s="325"/>
      <c r="AR24" s="347"/>
      <c r="AS24" s="286">
        <f>SUMIF('1.3 Total EDUs Developed'!$B$11:$B$19,'1.1 Fee Summary By Land use'!$A24,'1.3 Total EDUs Developed'!$E$11:$E$19)</f>
        <v>0</v>
      </c>
      <c r="AT24" s="286">
        <f>SUMIF('1.3 Total EDUs Developed'!$B$40:$B$62,'1.1 Fee Summary By Land use'!$A24,'1.3 Total EDUs Developed'!$E$40:$E$62)</f>
        <v>15.368535</v>
      </c>
      <c r="AV24" s="286">
        <f>SUMIF('1.3 Total EDUs Developed'!$B$70:$B$89,'1.1 Fee Summary By Land use'!$A24,'1.3 Total EDUs Developed'!$E$70:$E$89)</f>
        <v>0</v>
      </c>
      <c r="AW24" s="286">
        <f>SUMIF('1.3 Total EDUs Developed'!$B$97:$B$107,'1.1 Fee Summary By Land use'!$A24,'1.3 Total EDUs Developed'!$E$97:$E$107)</f>
        <v>428.98151100000001</v>
      </c>
      <c r="AX24" s="286">
        <f>SUMIF('1.3 Total EDUs Developed'!$B$115:$B$116,'1.1 Fee Summary By Land use'!$A24,'1.3 Total EDUs Developed'!$E$115:$E$116)</f>
        <v>0</v>
      </c>
      <c r="AY24" s="286">
        <f t="shared" si="25"/>
        <v>444.35004600000002</v>
      </c>
      <c r="BA24" s="291">
        <f t="shared" si="11"/>
        <v>0</v>
      </c>
      <c r="BB24" s="291">
        <f t="shared" si="12"/>
        <v>0</v>
      </c>
      <c r="BC24" s="291"/>
      <c r="BD24" s="291">
        <f t="shared" si="13"/>
        <v>0</v>
      </c>
      <c r="BE24" s="291">
        <f t="shared" si="14"/>
        <v>0</v>
      </c>
      <c r="BF24" s="291">
        <f t="shared" si="15"/>
        <v>0</v>
      </c>
      <c r="BG24" s="291">
        <f t="shared" si="26"/>
        <v>0</v>
      </c>
      <c r="BI24" s="286">
        <f>SUMIF('1.3 Total EDUs Developed'!$B$11:$B$19,'1.1 Fee Summary By Land use'!$A24,'1.3 Total EDUs Developed'!$O$11:$O$19)</f>
        <v>0</v>
      </c>
      <c r="BJ24" s="286">
        <f>SUMIF('1.3 Total EDUs Developed'!$B$40:$B$62,'1.1 Fee Summary By Land use'!$A24,'1.3 Total EDUs Developed'!$O$40:$O$62)</f>
        <v>0</v>
      </c>
      <c r="BL24" s="286">
        <f>SUMIF('1.3 Total EDUs Developed'!$B$70:$B$89,'1.1 Fee Summary By Land use'!$A24,'1.3 Total EDUs Developed'!$O$70:$O$89)</f>
        <v>0</v>
      </c>
      <c r="BM24" s="286">
        <f>SUMIF('1.3 Total EDUs Developed'!$B$97:$B$107,'1.1 Fee Summary By Land use'!$A24,'1.3 Total EDUs Developed'!$O$97:$O$107)</f>
        <v>0</v>
      </c>
      <c r="BN24" s="286">
        <f>SUMIF('1.3 Total EDUs Developed'!$B$115:$B$116,'1.1 Fee Summary By Land use'!$A24,'1.3 Total EDUs Developed'!$O$115:$O$116)</f>
        <v>0</v>
      </c>
      <c r="BO24" s="286">
        <f t="shared" si="27"/>
        <v>0</v>
      </c>
      <c r="BQ24" s="291">
        <f t="shared" si="28"/>
        <v>0</v>
      </c>
      <c r="BR24" s="291">
        <f t="shared" si="29"/>
        <v>0</v>
      </c>
      <c r="BS24" s="291"/>
      <c r="BT24" s="291">
        <f t="shared" si="16"/>
        <v>0</v>
      </c>
      <c r="BU24" s="291">
        <f t="shared" si="17"/>
        <v>0</v>
      </c>
      <c r="BV24" s="291">
        <f t="shared" si="18"/>
        <v>0</v>
      </c>
      <c r="BW24" s="291">
        <f t="shared" si="30"/>
        <v>0</v>
      </c>
      <c r="BX24" s="97">
        <f t="shared" si="31"/>
        <v>0</v>
      </c>
      <c r="BZ24" s="291">
        <f>SUMIF('1.3 Total EDUs Developed'!$B$11:$B$19,'1.1 Fee Summary By Land use'!$A24,'1.3 Total EDUs Developed'!$S$11:$S$19)</f>
        <v>0</v>
      </c>
      <c r="CA24" s="291">
        <f>SUMIF('1.3 Total EDUs Developed'!$B$40:$B$62,'1.1 Fee Summary By Land use'!$A24,'1.3 Total EDUs Developed'!$S$40:$S$62)</f>
        <v>0</v>
      </c>
      <c r="CB24" s="97"/>
      <c r="CC24" s="291">
        <f>SUMIF('1.3 Total EDUs Developed'!$B$70:$B$89,'1.1 Fee Summary By Land use'!$A24,'1.3 Total EDUs Developed'!$S$70:$S$89)</f>
        <v>0</v>
      </c>
      <c r="CD24" s="291">
        <f>SUMIF('1.3 Total EDUs Developed'!$B$97:$B$107,'1.1 Fee Summary By Land use'!$A24,'1.3 Total EDUs Developed'!$S$97:$S$107)</f>
        <v>0</v>
      </c>
      <c r="CE24" s="291">
        <f>SUMIF('1.3 Total EDUs Developed'!$B$115:$B$116,'1.1 Fee Summary By Land use'!$A24,'1.3 Total EDUs Developed'!$S$115:$S$116)</f>
        <v>0</v>
      </c>
      <c r="CF24" s="291">
        <f t="shared" si="32"/>
        <v>0</v>
      </c>
      <c r="CH24" s="291">
        <f t="shared" si="33"/>
        <v>0</v>
      </c>
      <c r="CI24" s="291">
        <f t="shared" si="34"/>
        <v>0</v>
      </c>
      <c r="CJ24" s="291"/>
      <c r="CK24" s="291">
        <f t="shared" si="35"/>
        <v>0</v>
      </c>
      <c r="CL24" s="291">
        <f t="shared" si="36"/>
        <v>0</v>
      </c>
      <c r="CM24" s="291">
        <f t="shared" si="37"/>
        <v>0</v>
      </c>
      <c r="CN24" s="291">
        <f t="shared" si="38"/>
        <v>0</v>
      </c>
      <c r="CO24" s="97">
        <f t="shared" si="39"/>
        <v>0</v>
      </c>
    </row>
    <row r="25" spans="1:93" x14ac:dyDescent="0.2">
      <c r="A25" s="274" t="s">
        <v>233</v>
      </c>
      <c r="B25" s="274"/>
      <c r="C25" s="278" t="s">
        <v>425</v>
      </c>
      <c r="D25" s="286">
        <f>'1.2 EDU Factors'!E23</f>
        <v>0.49504950495049505</v>
      </c>
      <c r="E25" s="291">
        <f t="shared" si="0"/>
        <v>1782.0226302299575</v>
      </c>
      <c r="F25" s="291">
        <f t="shared" si="0"/>
        <v>5313.5418985666865</v>
      </c>
      <c r="G25" s="325" t="str">
        <f t="shared" si="1"/>
        <v>n/a</v>
      </c>
      <c r="H25" s="291">
        <f t="shared" si="2"/>
        <v>4312.6764693130845</v>
      </c>
      <c r="I25" s="291">
        <f t="shared" si="2"/>
        <v>1862.4000673262128</v>
      </c>
      <c r="J25" s="291">
        <f t="shared" si="2"/>
        <v>3719.2327401545595</v>
      </c>
      <c r="K25" s="325" t="str">
        <f t="shared" si="3"/>
        <v>n/a</v>
      </c>
      <c r="M25" s="278" t="s">
        <v>425</v>
      </c>
      <c r="N25" s="286">
        <f>'1.2 EDU Factors'!J23</f>
        <v>2.5</v>
      </c>
      <c r="O25" s="291">
        <f t="shared" si="19"/>
        <v>1782.0226302299575</v>
      </c>
      <c r="P25" s="291">
        <f t="shared" si="4"/>
        <v>5313.5418985666838</v>
      </c>
      <c r="Q25" s="325" t="str">
        <f t="shared" si="20"/>
        <v>n/a</v>
      </c>
      <c r="R25" s="291">
        <f t="shared" si="4"/>
        <v>4312.6764693130863</v>
      </c>
      <c r="S25" s="291">
        <f t="shared" si="4"/>
        <v>1862.4000673262126</v>
      </c>
      <c r="T25" s="291">
        <f t="shared" si="4"/>
        <v>3719.2327401545595</v>
      </c>
      <c r="U25" s="325" t="str">
        <f t="shared" si="21"/>
        <v>n/a</v>
      </c>
      <c r="V25" s="325"/>
      <c r="W25" s="278" t="s">
        <v>425</v>
      </c>
      <c r="X25" s="291">
        <f>'1.2 EDU Factors'!D23</f>
        <v>400</v>
      </c>
      <c r="Y25" s="291">
        <f t="shared" si="22"/>
        <v>657.02263022995737</v>
      </c>
      <c r="Z25" s="291">
        <f t="shared" si="22"/>
        <v>4188.5418985666847</v>
      </c>
      <c r="AA25" s="325" t="e">
        <f t="shared" si="5"/>
        <v>#VALUE!</v>
      </c>
      <c r="AB25" s="291">
        <f t="shared" si="22"/>
        <v>3187.6764693130858</v>
      </c>
      <c r="AC25" s="291">
        <f t="shared" si="22"/>
        <v>737.40006732621271</v>
      </c>
      <c r="AD25" s="291">
        <f t="shared" si="22"/>
        <v>2594.2327401545599</v>
      </c>
      <c r="AE25" s="325" t="str">
        <f t="shared" si="7"/>
        <v>n/a</v>
      </c>
      <c r="AG25" s="278" t="s">
        <v>425</v>
      </c>
      <c r="AH25" s="286">
        <f>'1.2 EDU Factors'!H23</f>
        <v>1</v>
      </c>
      <c r="AI25" s="291">
        <f t="shared" si="8"/>
        <v>657.02263022995737</v>
      </c>
      <c r="AJ25" s="291">
        <f t="shared" si="9"/>
        <v>4188.5418985666847</v>
      </c>
      <c r="AK25" s="325" t="e">
        <f t="shared" si="23"/>
        <v>#VALUE!</v>
      </c>
      <c r="AL25" s="291">
        <f t="shared" si="10"/>
        <v>3187.6764693130858</v>
      </c>
      <c r="AM25" s="291">
        <f t="shared" si="10"/>
        <v>737.40006732621271</v>
      </c>
      <c r="AN25" s="291">
        <f t="shared" si="10"/>
        <v>2594.2327401545599</v>
      </c>
      <c r="AO25" s="325" t="str">
        <f t="shared" si="24"/>
        <v>n/a</v>
      </c>
      <c r="AP25" s="325"/>
      <c r="AQ25" s="325"/>
      <c r="AR25" s="347"/>
      <c r="AS25" s="286">
        <f>SUMIF('1.3 Total EDUs Developed'!$B$11:$B$19,'1.1 Fee Summary By Land use'!$A25,'1.3 Total EDUs Developed'!$E$11:$E$19)</f>
        <v>8.6079319999999999</v>
      </c>
      <c r="AT25" s="286">
        <f>SUMIF('1.3 Total EDUs Developed'!$B$40:$B$62,'1.1 Fee Summary By Land use'!$A25,'1.3 Total EDUs Developed'!$E$40:$E$62)</f>
        <v>44.270046000000001</v>
      </c>
      <c r="AV25" s="286">
        <f>SUMIF('1.3 Total EDUs Developed'!$B$70:$B$89,'1.1 Fee Summary By Land use'!$A25,'1.3 Total EDUs Developed'!$E$70:$E$89)</f>
        <v>108.351705</v>
      </c>
      <c r="AW25" s="286">
        <f>SUMIF('1.3 Total EDUs Developed'!$B$97:$B$107,'1.1 Fee Summary By Land use'!$A25,'1.3 Total EDUs Developed'!$E$97:$E$107)</f>
        <v>0</v>
      </c>
      <c r="AX25" s="286">
        <f>SUMIF('1.3 Total EDUs Developed'!$B$115:$B$116,'1.1 Fee Summary By Land use'!$A25,'1.3 Total EDUs Developed'!$E$115:$E$116)</f>
        <v>0</v>
      </c>
      <c r="AY25" s="286">
        <f t="shared" si="25"/>
        <v>161.22968299999999</v>
      </c>
      <c r="BA25" s="291">
        <f t="shared" si="11"/>
        <v>15339.529623480617</v>
      </c>
      <c r="BB25" s="291">
        <f t="shared" si="12"/>
        <v>235230.74427247455</v>
      </c>
      <c r="BC25" s="291"/>
      <c r="BD25" s="291">
        <f t="shared" si="13"/>
        <v>467285.84856345283</v>
      </c>
      <c r="BE25" s="291">
        <f t="shared" si="14"/>
        <v>0</v>
      </c>
      <c r="BF25" s="291">
        <f t="shared" si="15"/>
        <v>0</v>
      </c>
      <c r="BG25" s="291">
        <f t="shared" si="26"/>
        <v>717856.12245940801</v>
      </c>
      <c r="BI25" s="286">
        <f>SUMIF('1.3 Total EDUs Developed'!$B$11:$B$19,'1.1 Fee Summary By Land use'!$A25,'1.3 Total EDUs Developed'!$O$11:$O$19)</f>
        <v>21.519829999999999</v>
      </c>
      <c r="BJ25" s="286">
        <f>SUMIF('1.3 Total EDUs Developed'!$B$40:$B$62,'1.1 Fee Summary By Land use'!$A25,'1.3 Total EDUs Developed'!$O$40:$O$62)</f>
        <v>110.67511500000001</v>
      </c>
      <c r="BL25" s="286">
        <f>SUMIF('1.3 Total EDUs Developed'!$B$70:$B$89,'1.1 Fee Summary By Land use'!$A25,'1.3 Total EDUs Developed'!$O$70:$O$89)</f>
        <v>270.87926249999998</v>
      </c>
      <c r="BM25" s="286">
        <f>SUMIF('1.3 Total EDUs Developed'!$B$97:$B$107,'1.1 Fee Summary By Land use'!$A25,'1.3 Total EDUs Developed'!$O$97:$O$107)</f>
        <v>0</v>
      </c>
      <c r="BN25" s="286">
        <f>SUMIF('1.3 Total EDUs Developed'!$B$115:$B$116,'1.1 Fee Summary By Land use'!$A25,'1.3 Total EDUs Developed'!$O$115:$O$116)</f>
        <v>0</v>
      </c>
      <c r="BO25" s="286">
        <f t="shared" si="27"/>
        <v>403.0742075</v>
      </c>
      <c r="BQ25" s="291">
        <f t="shared" si="28"/>
        <v>15339.529623480617</v>
      </c>
      <c r="BR25" s="291">
        <f t="shared" si="29"/>
        <v>235230.74427247446</v>
      </c>
      <c r="BS25" s="291"/>
      <c r="BT25" s="291">
        <f t="shared" si="16"/>
        <v>467285.84856345301</v>
      </c>
      <c r="BU25" s="291">
        <f t="shared" si="17"/>
        <v>0</v>
      </c>
      <c r="BV25" s="291">
        <f t="shared" si="18"/>
        <v>0</v>
      </c>
      <c r="BW25" s="291">
        <f t="shared" si="30"/>
        <v>717856.12245940813</v>
      </c>
      <c r="BX25" s="97">
        <f t="shared" si="31"/>
        <v>0</v>
      </c>
      <c r="BZ25" s="291">
        <f>SUMIF('1.3 Total EDUs Developed'!$B$11:$B$19,'1.1 Fee Summary By Land use'!$A25,'1.3 Total EDUs Developed'!$S$11:$S$19)</f>
        <v>3443.1727999999998</v>
      </c>
      <c r="CA25" s="291">
        <f>SUMIF('1.3 Total EDUs Developed'!$B$40:$B$62,'1.1 Fee Summary By Land use'!$A25,'1.3 Total EDUs Developed'!$S$40:$S$62)</f>
        <v>17708.018400000001</v>
      </c>
      <c r="CB25" s="97"/>
      <c r="CC25" s="291">
        <f>SUMIF('1.3 Total EDUs Developed'!$B$70:$B$89,'1.1 Fee Summary By Land use'!$A25,'1.3 Total EDUs Developed'!$S$70:$S$89)</f>
        <v>43340.682000000001</v>
      </c>
      <c r="CD25" s="291">
        <f>SUMIF('1.3 Total EDUs Developed'!$B$97:$B$107,'1.1 Fee Summary By Land use'!$A25,'1.3 Total EDUs Developed'!$S$97:$S$107)</f>
        <v>0</v>
      </c>
      <c r="CE25" s="291">
        <f>SUMIF('1.3 Total EDUs Developed'!$B$115:$B$116,'1.1 Fee Summary By Land use'!$A25,'1.3 Total EDUs Developed'!$S$115:$S$116)</f>
        <v>0</v>
      </c>
      <c r="CF25" s="291">
        <f t="shared" si="32"/>
        <v>64491.873200000002</v>
      </c>
      <c r="CH25" s="291">
        <f t="shared" si="33"/>
        <v>5655.6061234806175</v>
      </c>
      <c r="CI25" s="291">
        <f t="shared" si="34"/>
        <v>185426.94252247448</v>
      </c>
      <c r="CJ25" s="291"/>
      <c r="CK25" s="291">
        <f t="shared" si="35"/>
        <v>345390.18043845304</v>
      </c>
      <c r="CL25" s="291">
        <f t="shared" si="36"/>
        <v>0</v>
      </c>
      <c r="CM25" s="291">
        <f t="shared" si="37"/>
        <v>0</v>
      </c>
      <c r="CN25" s="291">
        <f t="shared" si="38"/>
        <v>536472.72908440814</v>
      </c>
      <c r="CO25" s="97">
        <f t="shared" si="39"/>
        <v>-181383.39337499987</v>
      </c>
    </row>
    <row r="26" spans="1:93" x14ac:dyDescent="0.2">
      <c r="A26" s="274" t="s">
        <v>239</v>
      </c>
      <c r="B26" s="274"/>
      <c r="C26" s="278" t="s">
        <v>425</v>
      </c>
      <c r="D26" s="286">
        <f>'1.2 EDU Factors'!E24</f>
        <v>0.52599009900990101</v>
      </c>
      <c r="E26" s="291">
        <f t="shared" si="0"/>
        <v>1893.3990446193297</v>
      </c>
      <c r="F26" s="291">
        <f t="shared" si="0"/>
        <v>5645.6382672271047</v>
      </c>
      <c r="G26" s="325" t="str">
        <f t="shared" si="1"/>
        <v>n/a</v>
      </c>
      <c r="H26" s="291">
        <f t="shared" si="2"/>
        <v>4582.218748645153</v>
      </c>
      <c r="I26" s="291">
        <f t="shared" si="2"/>
        <v>1978.8000715341011</v>
      </c>
      <c r="J26" s="291">
        <f t="shared" si="2"/>
        <v>3951.6847864142196</v>
      </c>
      <c r="K26" s="325" t="str">
        <f t="shared" si="3"/>
        <v>n/a</v>
      </c>
      <c r="M26" s="278" t="s">
        <v>425</v>
      </c>
      <c r="N26" s="286">
        <f>'1.2 EDU Factors'!J24</f>
        <v>2.65625</v>
      </c>
      <c r="O26" s="291">
        <f t="shared" si="19"/>
        <v>1893.3990446193297</v>
      </c>
      <c r="P26" s="291">
        <f t="shared" si="4"/>
        <v>5645.638267227102</v>
      </c>
      <c r="Q26" s="325" t="str">
        <f t="shared" si="20"/>
        <v>n/a</v>
      </c>
      <c r="R26" s="291">
        <f t="shared" si="4"/>
        <v>4582.2187486451539</v>
      </c>
      <c r="S26" s="291">
        <f t="shared" si="4"/>
        <v>1978.8000715341009</v>
      </c>
      <c r="T26" s="291">
        <f t="shared" si="4"/>
        <v>3951.6847864142196</v>
      </c>
      <c r="U26" s="325" t="str">
        <f t="shared" si="21"/>
        <v>n/a</v>
      </c>
      <c r="V26" s="325"/>
      <c r="W26" s="278" t="s">
        <v>425</v>
      </c>
      <c r="X26" s="291">
        <f>'1.2 EDU Factors'!D24</f>
        <v>425</v>
      </c>
      <c r="Y26" s="291">
        <f t="shared" si="22"/>
        <v>698.08654461932974</v>
      </c>
      <c r="Z26" s="291">
        <f t="shared" si="22"/>
        <v>4450.325767227102</v>
      </c>
      <c r="AA26" s="325" t="e">
        <f t="shared" si="5"/>
        <v>#VALUE!</v>
      </c>
      <c r="AB26" s="291">
        <f t="shared" si="22"/>
        <v>3386.9062486451539</v>
      </c>
      <c r="AC26" s="291">
        <f t="shared" si="22"/>
        <v>783.48757153410099</v>
      </c>
      <c r="AD26" s="291">
        <f t="shared" si="22"/>
        <v>2756.3722864142196</v>
      </c>
      <c r="AE26" s="325" t="str">
        <f t="shared" si="7"/>
        <v>n/a</v>
      </c>
      <c r="AG26" s="278" t="s">
        <v>425</v>
      </c>
      <c r="AH26" s="286">
        <f>'1.2 EDU Factors'!H24</f>
        <v>1</v>
      </c>
      <c r="AI26" s="291">
        <f t="shared" si="8"/>
        <v>698.08654461932974</v>
      </c>
      <c r="AJ26" s="291">
        <f t="shared" si="9"/>
        <v>4450.325767227102</v>
      </c>
      <c r="AK26" s="325" t="e">
        <f t="shared" si="23"/>
        <v>#VALUE!</v>
      </c>
      <c r="AL26" s="291">
        <f t="shared" si="10"/>
        <v>3386.9062486451539</v>
      </c>
      <c r="AM26" s="291">
        <f t="shared" si="10"/>
        <v>783.48757153410099</v>
      </c>
      <c r="AN26" s="291">
        <f t="shared" si="10"/>
        <v>2756.3722864142196</v>
      </c>
      <c r="AO26" s="325" t="str">
        <f t="shared" si="24"/>
        <v>n/a</v>
      </c>
      <c r="AP26" s="325"/>
      <c r="AQ26" s="325"/>
      <c r="AR26" s="347"/>
      <c r="AS26" s="286">
        <f>SUMIF('1.3 Total EDUs Developed'!$B$11:$B$19,'1.1 Fee Summary By Land use'!$A26,'1.3 Total EDUs Developed'!$E$11:$E$19)</f>
        <v>0</v>
      </c>
      <c r="AT26" s="286">
        <f>SUMIF('1.3 Total EDUs Developed'!$B$40:$B$62,'1.1 Fee Summary By Land use'!$A26,'1.3 Total EDUs Developed'!$E$40:$E$62)</f>
        <v>157.17575600000001</v>
      </c>
      <c r="AV26" s="286">
        <f>SUMIF('1.3 Total EDUs Developed'!$B$70:$B$89,'1.1 Fee Summary By Land use'!$A26,'1.3 Total EDUs Developed'!$E$70:$E$89)</f>
        <v>85.042383999999998</v>
      </c>
      <c r="AW26" s="286">
        <f>SUMIF('1.3 Total EDUs Developed'!$B$97:$B$107,'1.1 Fee Summary By Land use'!$A26,'1.3 Total EDUs Developed'!$E$97:$E$107)</f>
        <v>0</v>
      </c>
      <c r="AX26" s="286">
        <f>SUMIF('1.3 Total EDUs Developed'!$B$115:$B$116,'1.1 Fee Summary By Land use'!$A26,'1.3 Total EDUs Developed'!$E$115:$E$116)</f>
        <v>0</v>
      </c>
      <c r="AY26" s="286">
        <f t="shared" si="25"/>
        <v>242.21814000000001</v>
      </c>
      <c r="BA26" s="291">
        <f t="shared" si="11"/>
        <v>0</v>
      </c>
      <c r="BB26" s="291">
        <f t="shared" si="12"/>
        <v>887357.46275395027</v>
      </c>
      <c r="BC26" s="291"/>
      <c r="BD26" s="291">
        <f t="shared" si="13"/>
        <v>389682.80639428057</v>
      </c>
      <c r="BE26" s="291">
        <f t="shared" si="14"/>
        <v>0</v>
      </c>
      <c r="BF26" s="291">
        <f t="shared" si="15"/>
        <v>0</v>
      </c>
      <c r="BG26" s="291">
        <f t="shared" si="26"/>
        <v>1277040.2691482308</v>
      </c>
      <c r="BI26" s="286">
        <f>SUMIF('1.3 Total EDUs Developed'!$B$11:$B$19,'1.1 Fee Summary By Land use'!$A26,'1.3 Total EDUs Developed'!$O$11:$O$19)</f>
        <v>0</v>
      </c>
      <c r="BJ26" s="286">
        <f>SUMIF('1.3 Total EDUs Developed'!$B$40:$B$62,'1.1 Fee Summary By Land use'!$A26,'1.3 Total EDUs Developed'!$O$40:$O$62)</f>
        <v>417.49810187500003</v>
      </c>
      <c r="BL26" s="286">
        <f>SUMIF('1.3 Total EDUs Developed'!$B$70:$B$89,'1.1 Fee Summary By Land use'!$A26,'1.3 Total EDUs Developed'!$O$70:$O$89)</f>
        <v>225.8938325</v>
      </c>
      <c r="BM26" s="286">
        <f>SUMIF('1.3 Total EDUs Developed'!$B$97:$B$107,'1.1 Fee Summary By Land use'!$A26,'1.3 Total EDUs Developed'!$O$97:$O$107)</f>
        <v>0</v>
      </c>
      <c r="BN26" s="286">
        <f>SUMIF('1.3 Total EDUs Developed'!$B$115:$B$116,'1.1 Fee Summary By Land use'!$A26,'1.3 Total EDUs Developed'!$O$115:$O$116)</f>
        <v>0</v>
      </c>
      <c r="BO26" s="286">
        <f t="shared" si="27"/>
        <v>643.39193437500001</v>
      </c>
      <c r="BQ26" s="291">
        <f t="shared" si="28"/>
        <v>0</v>
      </c>
      <c r="BR26" s="291">
        <f t="shared" si="29"/>
        <v>887357.4627539498</v>
      </c>
      <c r="BS26" s="291"/>
      <c r="BT26" s="291">
        <f t="shared" si="16"/>
        <v>389682.80639428069</v>
      </c>
      <c r="BU26" s="291">
        <f t="shared" si="17"/>
        <v>0</v>
      </c>
      <c r="BV26" s="291">
        <f t="shared" si="18"/>
        <v>0</v>
      </c>
      <c r="BW26" s="291">
        <f t="shared" si="30"/>
        <v>1277040.2691482306</v>
      </c>
      <c r="BX26" s="97">
        <f t="shared" si="31"/>
        <v>0</v>
      </c>
      <c r="BZ26" s="291">
        <f>SUMIF('1.3 Total EDUs Developed'!$B$11:$B$19,'1.1 Fee Summary By Land use'!$A26,'1.3 Total EDUs Developed'!$S$11:$S$19)</f>
        <v>0</v>
      </c>
      <c r="CA26" s="291">
        <f>SUMIF('1.3 Total EDUs Developed'!$B$40:$B$62,'1.1 Fee Summary By Land use'!$A26,'1.3 Total EDUs Developed'!$S$40:$S$62)</f>
        <v>66799.696299999996</v>
      </c>
      <c r="CB26" s="97"/>
      <c r="CC26" s="291">
        <f>SUMIF('1.3 Total EDUs Developed'!$B$70:$B$89,'1.1 Fee Summary By Land use'!$A26,'1.3 Total EDUs Developed'!$S$70:$S$89)</f>
        <v>36143.013200000001</v>
      </c>
      <c r="CD26" s="291">
        <f>SUMIF('1.3 Total EDUs Developed'!$B$97:$B$107,'1.1 Fee Summary By Land use'!$A26,'1.3 Total EDUs Developed'!$S$97:$S$107)</f>
        <v>0</v>
      </c>
      <c r="CE26" s="291">
        <f>SUMIF('1.3 Total EDUs Developed'!$B$115:$B$116,'1.1 Fee Summary By Land use'!$A26,'1.3 Total EDUs Developed'!$S$115:$S$116)</f>
        <v>0</v>
      </c>
      <c r="CF26" s="291">
        <f t="shared" si="32"/>
        <v>102942.7095</v>
      </c>
      <c r="CH26" s="291">
        <f t="shared" si="33"/>
        <v>0</v>
      </c>
      <c r="CI26" s="291">
        <f t="shared" si="34"/>
        <v>699483.31691019982</v>
      </c>
      <c r="CJ26" s="291"/>
      <c r="CK26" s="291">
        <f t="shared" si="35"/>
        <v>288030.58176928066</v>
      </c>
      <c r="CL26" s="291">
        <f t="shared" si="36"/>
        <v>0</v>
      </c>
      <c r="CM26" s="291">
        <f t="shared" si="37"/>
        <v>0</v>
      </c>
      <c r="CN26" s="291">
        <f t="shared" si="38"/>
        <v>987513.89867948042</v>
      </c>
      <c r="CO26" s="97">
        <f t="shared" si="39"/>
        <v>-289526.37046875036</v>
      </c>
    </row>
    <row r="27" spans="1:93" x14ac:dyDescent="0.2">
      <c r="A27" s="274" t="s">
        <v>240</v>
      </c>
      <c r="B27" s="274"/>
      <c r="C27" s="278" t="s">
        <v>425</v>
      </c>
      <c r="D27" s="286">
        <f>'1.2 EDU Factors'!E25</f>
        <v>0.39603960396039606</v>
      </c>
      <c r="E27" s="291">
        <f t="shared" si="0"/>
        <v>1425.6181041839659</v>
      </c>
      <c r="F27" s="291">
        <f t="shared" si="0"/>
        <v>4250.8335188533492</v>
      </c>
      <c r="G27" s="325" t="str">
        <f t="shared" si="1"/>
        <v>n/a</v>
      </c>
      <c r="H27" s="291">
        <f t="shared" si="2"/>
        <v>3450.1411754504679</v>
      </c>
      <c r="I27" s="291">
        <f t="shared" si="2"/>
        <v>1489.9200538609703</v>
      </c>
      <c r="J27" s="291">
        <f t="shared" si="2"/>
        <v>2975.386192123648</v>
      </c>
      <c r="K27" s="325" t="str">
        <f t="shared" si="3"/>
        <v>n/a</v>
      </c>
      <c r="M27" s="278" t="s">
        <v>425</v>
      </c>
      <c r="N27" s="286">
        <f>'1.2 EDU Factors'!J25</f>
        <v>2</v>
      </c>
      <c r="O27" s="291">
        <f t="shared" si="19"/>
        <v>1425.6181041839659</v>
      </c>
      <c r="P27" s="291">
        <f t="shared" si="4"/>
        <v>4250.8335188533474</v>
      </c>
      <c r="Q27" s="325" t="str">
        <f t="shared" si="20"/>
        <v>n/a</v>
      </c>
      <c r="R27" s="291">
        <f t="shared" si="4"/>
        <v>3450.1411754504688</v>
      </c>
      <c r="S27" s="291">
        <f t="shared" si="4"/>
        <v>1489.92005386097</v>
      </c>
      <c r="T27" s="291">
        <f t="shared" si="4"/>
        <v>2975.3861921236476</v>
      </c>
      <c r="U27" s="325" t="str">
        <f t="shared" si="21"/>
        <v>n/a</v>
      </c>
      <c r="V27" s="325"/>
      <c r="W27" s="278" t="s">
        <v>425</v>
      </c>
      <c r="X27" s="291">
        <f>'1.2 EDU Factors'!D25</f>
        <v>320</v>
      </c>
      <c r="Y27" s="291">
        <f t="shared" si="22"/>
        <v>525.6181041839659</v>
      </c>
      <c r="Z27" s="291">
        <f t="shared" si="22"/>
        <v>3350.8335188533474</v>
      </c>
      <c r="AA27" s="325" t="e">
        <f t="shared" si="5"/>
        <v>#VALUE!</v>
      </c>
      <c r="AB27" s="291">
        <f t="shared" si="22"/>
        <v>2550.1411754504688</v>
      </c>
      <c r="AC27" s="291">
        <f t="shared" si="22"/>
        <v>589.92005386097026</v>
      </c>
      <c r="AD27" s="291">
        <f t="shared" si="22"/>
        <v>2075.3861921236476</v>
      </c>
      <c r="AE27" s="325" t="str">
        <f t="shared" si="7"/>
        <v>n/a</v>
      </c>
      <c r="AG27" s="278" t="s">
        <v>425</v>
      </c>
      <c r="AH27" s="286">
        <f>'1.2 EDU Factors'!H25</f>
        <v>1</v>
      </c>
      <c r="AI27" s="291">
        <f t="shared" si="8"/>
        <v>525.6181041839659</v>
      </c>
      <c r="AJ27" s="291">
        <f t="shared" si="9"/>
        <v>3350.8335188533474</v>
      </c>
      <c r="AK27" s="325" t="e">
        <f t="shared" si="23"/>
        <v>#VALUE!</v>
      </c>
      <c r="AL27" s="291">
        <f t="shared" si="10"/>
        <v>2550.1411754504688</v>
      </c>
      <c r="AM27" s="291">
        <f t="shared" si="10"/>
        <v>589.92005386097026</v>
      </c>
      <c r="AN27" s="291">
        <f t="shared" si="10"/>
        <v>2075.3861921236476</v>
      </c>
      <c r="AO27" s="325" t="str">
        <f t="shared" si="24"/>
        <v>n/a</v>
      </c>
      <c r="AP27" s="325"/>
      <c r="AQ27" s="325"/>
      <c r="AR27" s="347"/>
      <c r="AS27" s="286">
        <f>SUMIF('1.3 Total EDUs Developed'!$B$11:$B$19,'1.1 Fee Summary By Land use'!$A27,'1.3 Total EDUs Developed'!$E$11:$E$19)</f>
        <v>0</v>
      </c>
      <c r="AT27" s="286">
        <f>SUMIF('1.3 Total EDUs Developed'!$B$40:$B$62,'1.1 Fee Summary By Land use'!$A27,'1.3 Total EDUs Developed'!$E$40:$E$62)</f>
        <v>115.7075036</v>
      </c>
      <c r="AV27" s="286">
        <f>SUMIF('1.3 Total EDUs Developed'!$B$70:$B$89,'1.1 Fee Summary By Land use'!$A27,'1.3 Total EDUs Developed'!$E$70:$E$89)</f>
        <v>226.11055020000001</v>
      </c>
      <c r="AW27" s="286">
        <f>SUMIF('1.3 Total EDUs Developed'!$B$97:$B$107,'1.1 Fee Summary By Land use'!$A27,'1.3 Total EDUs Developed'!$E$97:$E$107)</f>
        <v>0</v>
      </c>
      <c r="AX27" s="286">
        <f>SUMIF('1.3 Total EDUs Developed'!$B$115:$B$116,'1.1 Fee Summary By Land use'!$A27,'1.3 Total EDUs Developed'!$E$115:$E$116)</f>
        <v>0</v>
      </c>
      <c r="AY27" s="286">
        <f t="shared" si="25"/>
        <v>341.81805380000003</v>
      </c>
      <c r="BA27" s="291">
        <f t="shared" si="11"/>
        <v>0</v>
      </c>
      <c r="BB27" s="291">
        <f t="shared" si="12"/>
        <v>491853.33468572458</v>
      </c>
      <c r="BC27" s="291"/>
      <c r="BD27" s="291">
        <f t="shared" si="13"/>
        <v>780113.31944878004</v>
      </c>
      <c r="BE27" s="291">
        <f t="shared" si="14"/>
        <v>0</v>
      </c>
      <c r="BF27" s="291">
        <f t="shared" si="15"/>
        <v>0</v>
      </c>
      <c r="BG27" s="291">
        <f t="shared" si="26"/>
        <v>1271966.6541345045</v>
      </c>
      <c r="BI27" s="286">
        <f>SUMIF('1.3 Total EDUs Developed'!$B$11:$B$19,'1.1 Fee Summary By Land use'!$A27,'1.3 Total EDUs Developed'!$O$11:$O$19)</f>
        <v>0</v>
      </c>
      <c r="BJ27" s="286">
        <f>SUMIF('1.3 Total EDUs Developed'!$B$40:$B$62,'1.1 Fee Summary By Land use'!$A27,'1.3 Total EDUs Developed'!$O$40:$O$62)</f>
        <v>231.41500719999999</v>
      </c>
      <c r="BL27" s="286">
        <f>SUMIF('1.3 Total EDUs Developed'!$B$70:$B$89,'1.1 Fee Summary By Land use'!$A27,'1.3 Total EDUs Developed'!$O$70:$O$89)</f>
        <v>452.22110040000001</v>
      </c>
      <c r="BM27" s="286">
        <f>SUMIF('1.3 Total EDUs Developed'!$B$97:$B$107,'1.1 Fee Summary By Land use'!$A27,'1.3 Total EDUs Developed'!$O$97:$O$107)</f>
        <v>0</v>
      </c>
      <c r="BN27" s="286">
        <f>SUMIF('1.3 Total EDUs Developed'!$B$115:$B$116,'1.1 Fee Summary By Land use'!$A27,'1.3 Total EDUs Developed'!$O$115:$O$116)</f>
        <v>0</v>
      </c>
      <c r="BO27" s="286">
        <f t="shared" si="27"/>
        <v>683.63610760000006</v>
      </c>
      <c r="BQ27" s="291">
        <f t="shared" si="28"/>
        <v>0</v>
      </c>
      <c r="BR27" s="291">
        <f t="shared" si="29"/>
        <v>491853.33468572435</v>
      </c>
      <c r="BS27" s="291"/>
      <c r="BT27" s="291">
        <f t="shared" si="16"/>
        <v>780113.31944878027</v>
      </c>
      <c r="BU27" s="291">
        <f t="shared" si="17"/>
        <v>0</v>
      </c>
      <c r="BV27" s="291">
        <f t="shared" si="18"/>
        <v>0</v>
      </c>
      <c r="BW27" s="291">
        <f t="shared" si="30"/>
        <v>1271966.6541345045</v>
      </c>
      <c r="BX27" s="97">
        <f t="shared" si="31"/>
        <v>0</v>
      </c>
      <c r="BZ27" s="291">
        <f>SUMIF('1.3 Total EDUs Developed'!$B$11:$B$19,'1.1 Fee Summary By Land use'!$A27,'1.3 Total EDUs Developed'!$S$11:$S$19)</f>
        <v>0</v>
      </c>
      <c r="CA27" s="291">
        <f>SUMIF('1.3 Total EDUs Developed'!$B$40:$B$62,'1.1 Fee Summary By Land use'!$A27,'1.3 Total EDUs Developed'!$S$40:$S$62)</f>
        <v>37026.401151999999</v>
      </c>
      <c r="CB27" s="97"/>
      <c r="CC27" s="291">
        <f>SUMIF('1.3 Total EDUs Developed'!$B$70:$B$89,'1.1 Fee Summary By Land use'!$A27,'1.3 Total EDUs Developed'!$S$70:$S$89)</f>
        <v>72355.376063999996</v>
      </c>
      <c r="CD27" s="291">
        <f>SUMIF('1.3 Total EDUs Developed'!$B$97:$B$107,'1.1 Fee Summary By Land use'!$A27,'1.3 Total EDUs Developed'!$S$97:$S$107)</f>
        <v>0</v>
      </c>
      <c r="CE27" s="291">
        <f>SUMIF('1.3 Total EDUs Developed'!$B$115:$B$116,'1.1 Fee Summary By Land use'!$A27,'1.3 Total EDUs Developed'!$S$115:$S$116)</f>
        <v>0</v>
      </c>
      <c r="CF27" s="291">
        <f t="shared" si="32"/>
        <v>109381.77721599999</v>
      </c>
      <c r="CH27" s="291">
        <f t="shared" si="33"/>
        <v>0</v>
      </c>
      <c r="CI27" s="291">
        <f t="shared" si="34"/>
        <v>387716.58144572435</v>
      </c>
      <c r="CJ27" s="291"/>
      <c r="CK27" s="291">
        <f t="shared" si="35"/>
        <v>576613.82426878018</v>
      </c>
      <c r="CL27" s="291">
        <f t="shared" si="36"/>
        <v>0</v>
      </c>
      <c r="CM27" s="291">
        <f t="shared" si="37"/>
        <v>0</v>
      </c>
      <c r="CN27" s="291">
        <f t="shared" si="38"/>
        <v>964330.40571450454</v>
      </c>
      <c r="CO27" s="97">
        <f t="shared" si="39"/>
        <v>-307636.24841999996</v>
      </c>
    </row>
    <row r="28" spans="1:93" x14ac:dyDescent="0.2">
      <c r="A28" s="274" t="s">
        <v>241</v>
      </c>
      <c r="B28" s="274"/>
      <c r="C28" s="278" t="s">
        <v>425</v>
      </c>
      <c r="D28" s="286">
        <f>'1.2 EDU Factors'!E26</f>
        <v>0</v>
      </c>
      <c r="E28" s="291">
        <f t="shared" si="0"/>
        <v>0</v>
      </c>
      <c r="F28" s="291">
        <f t="shared" si="0"/>
        <v>0</v>
      </c>
      <c r="G28" s="325" t="str">
        <f t="shared" si="1"/>
        <v>n/a</v>
      </c>
      <c r="H28" s="291">
        <f t="shared" si="2"/>
        <v>0</v>
      </c>
      <c r="I28" s="291">
        <f t="shared" si="2"/>
        <v>0</v>
      </c>
      <c r="J28" s="291">
        <f t="shared" si="2"/>
        <v>0</v>
      </c>
      <c r="K28" s="325" t="str">
        <f t="shared" si="3"/>
        <v>n/a</v>
      </c>
      <c r="M28" s="278" t="s">
        <v>425</v>
      </c>
      <c r="N28" s="286">
        <f>'1.2 EDU Factors'!J26</f>
        <v>0</v>
      </c>
      <c r="O28" s="291">
        <f t="shared" si="19"/>
        <v>0</v>
      </c>
      <c r="P28" s="291">
        <f t="shared" si="4"/>
        <v>0</v>
      </c>
      <c r="Q28" s="325" t="str">
        <f t="shared" si="20"/>
        <v>n/a</v>
      </c>
      <c r="R28" s="291">
        <f t="shared" si="4"/>
        <v>0</v>
      </c>
      <c r="S28" s="291">
        <f t="shared" si="4"/>
        <v>0</v>
      </c>
      <c r="T28" s="291">
        <f t="shared" si="4"/>
        <v>0</v>
      </c>
      <c r="U28" s="325" t="str">
        <f t="shared" si="21"/>
        <v>n/a</v>
      </c>
      <c r="V28" s="325"/>
      <c r="W28" s="278" t="s">
        <v>425</v>
      </c>
      <c r="X28" s="291">
        <f>'1.2 EDU Factors'!D26</f>
        <v>0</v>
      </c>
      <c r="Y28" s="291">
        <f t="shared" si="22"/>
        <v>0</v>
      </c>
      <c r="Z28" s="291">
        <f t="shared" si="22"/>
        <v>0</v>
      </c>
      <c r="AA28" s="325" t="e">
        <f t="shared" si="5"/>
        <v>#VALUE!</v>
      </c>
      <c r="AB28" s="291">
        <f t="shared" si="22"/>
        <v>0</v>
      </c>
      <c r="AC28" s="291">
        <f t="shared" si="22"/>
        <v>0</v>
      </c>
      <c r="AD28" s="291">
        <f t="shared" si="22"/>
        <v>0</v>
      </c>
      <c r="AE28" s="325" t="str">
        <f t="shared" si="7"/>
        <v>n/a</v>
      </c>
      <c r="AG28" s="278" t="s">
        <v>425</v>
      </c>
      <c r="AH28" s="286">
        <f>'1.2 EDU Factors'!H26</f>
        <v>0</v>
      </c>
      <c r="AI28" s="291">
        <f t="shared" si="8"/>
        <v>0</v>
      </c>
      <c r="AJ28" s="291">
        <f t="shared" si="9"/>
        <v>0</v>
      </c>
      <c r="AK28" s="325" t="e">
        <f t="shared" si="23"/>
        <v>#VALUE!</v>
      </c>
      <c r="AL28" s="291">
        <f t="shared" si="10"/>
        <v>0</v>
      </c>
      <c r="AM28" s="291">
        <f t="shared" si="10"/>
        <v>0</v>
      </c>
      <c r="AN28" s="291">
        <f t="shared" si="10"/>
        <v>0</v>
      </c>
      <c r="AO28" s="325" t="str">
        <f t="shared" si="24"/>
        <v>n/a</v>
      </c>
      <c r="AP28" s="325"/>
      <c r="AQ28" s="325"/>
      <c r="AR28" s="347"/>
      <c r="AS28" s="286">
        <f>SUMIF('1.3 Total EDUs Developed'!$B$11:$B$19,'1.1 Fee Summary By Land use'!$A28,'1.3 Total EDUs Developed'!$E$11:$E$19)</f>
        <v>0</v>
      </c>
      <c r="AT28" s="286">
        <f>SUMIF('1.3 Total EDUs Developed'!$B$40:$B$62,'1.1 Fee Summary By Land use'!$A28,'1.3 Total EDUs Developed'!$E$40:$E$62)</f>
        <v>230.531015</v>
      </c>
      <c r="AV28" s="286">
        <f>SUMIF('1.3 Total EDUs Developed'!$B$70:$B$89,'1.1 Fee Summary By Land use'!$A28,'1.3 Total EDUs Developed'!$E$70:$E$89)</f>
        <v>91.839230200000003</v>
      </c>
      <c r="AW28" s="286">
        <f>SUMIF('1.3 Total EDUs Developed'!$B$97:$B$107,'1.1 Fee Summary By Land use'!$A28,'1.3 Total EDUs Developed'!$E$97:$E$107)</f>
        <v>0</v>
      </c>
      <c r="AX28" s="286">
        <f>SUMIF('1.3 Total EDUs Developed'!$B$115:$B$116,'1.1 Fee Summary By Land use'!$A28,'1.3 Total EDUs Developed'!$E$115:$E$116)</f>
        <v>0</v>
      </c>
      <c r="AY28" s="286">
        <f t="shared" si="25"/>
        <v>322.3702452</v>
      </c>
      <c r="BA28" s="291">
        <f t="shared" si="11"/>
        <v>0</v>
      </c>
      <c r="BB28" s="291">
        <f t="shared" si="12"/>
        <v>0</v>
      </c>
      <c r="BC28" s="291"/>
      <c r="BD28" s="291">
        <f t="shared" si="13"/>
        <v>0</v>
      </c>
      <c r="BE28" s="291">
        <f t="shared" si="14"/>
        <v>0</v>
      </c>
      <c r="BF28" s="291">
        <f t="shared" si="15"/>
        <v>0</v>
      </c>
      <c r="BG28" s="291">
        <f t="shared" si="26"/>
        <v>0</v>
      </c>
      <c r="BI28" s="286">
        <f>SUMIF('1.3 Total EDUs Developed'!$B$11:$B$19,'1.1 Fee Summary By Land use'!$A28,'1.3 Total EDUs Developed'!$O$11:$O$19)</f>
        <v>0</v>
      </c>
      <c r="BJ28" s="286">
        <f>SUMIF('1.3 Total EDUs Developed'!$B$40:$B$62,'1.1 Fee Summary By Land use'!$A28,'1.3 Total EDUs Developed'!$O$40:$O$62)</f>
        <v>0</v>
      </c>
      <c r="BL28" s="286">
        <f>SUMIF('1.3 Total EDUs Developed'!$B$70:$B$89,'1.1 Fee Summary By Land use'!$A28,'1.3 Total EDUs Developed'!$O$70:$O$89)</f>
        <v>0</v>
      </c>
      <c r="BM28" s="286">
        <f>SUMIF('1.3 Total EDUs Developed'!$B$97:$B$107,'1.1 Fee Summary By Land use'!$A28,'1.3 Total EDUs Developed'!$O$97:$O$107)</f>
        <v>0</v>
      </c>
      <c r="BN28" s="286">
        <f>SUMIF('1.3 Total EDUs Developed'!$B$115:$B$116,'1.1 Fee Summary By Land use'!$A28,'1.3 Total EDUs Developed'!$O$115:$O$116)</f>
        <v>0</v>
      </c>
      <c r="BO28" s="286">
        <f t="shared" si="27"/>
        <v>0</v>
      </c>
      <c r="BQ28" s="291">
        <f t="shared" si="28"/>
        <v>0</v>
      </c>
      <c r="BR28" s="291">
        <f t="shared" si="29"/>
        <v>0</v>
      </c>
      <c r="BS28" s="291"/>
      <c r="BT28" s="291">
        <f t="shared" si="16"/>
        <v>0</v>
      </c>
      <c r="BU28" s="291">
        <f t="shared" si="17"/>
        <v>0</v>
      </c>
      <c r="BV28" s="291">
        <f t="shared" si="18"/>
        <v>0</v>
      </c>
      <c r="BW28" s="291">
        <f t="shared" si="30"/>
        <v>0</v>
      </c>
      <c r="BX28" s="97">
        <f t="shared" si="31"/>
        <v>0</v>
      </c>
      <c r="BZ28" s="291">
        <f>SUMIF('1.3 Total EDUs Developed'!$B$11:$B$19,'1.1 Fee Summary By Land use'!$A28,'1.3 Total EDUs Developed'!$S$11:$S$19)</f>
        <v>0</v>
      </c>
      <c r="CA28" s="291">
        <f>SUMIF('1.3 Total EDUs Developed'!$B$40:$B$62,'1.1 Fee Summary By Land use'!$A28,'1.3 Total EDUs Developed'!$S$40:$S$62)</f>
        <v>0</v>
      </c>
      <c r="CB28" s="97"/>
      <c r="CC28" s="291">
        <f>SUMIF('1.3 Total EDUs Developed'!$B$70:$B$89,'1.1 Fee Summary By Land use'!$A28,'1.3 Total EDUs Developed'!$S$70:$S$89)</f>
        <v>0</v>
      </c>
      <c r="CD28" s="291">
        <f>SUMIF('1.3 Total EDUs Developed'!$B$97:$B$107,'1.1 Fee Summary By Land use'!$A28,'1.3 Total EDUs Developed'!$S$97:$S$107)</f>
        <v>0</v>
      </c>
      <c r="CE28" s="291">
        <f>SUMIF('1.3 Total EDUs Developed'!$B$115:$B$116,'1.1 Fee Summary By Land use'!$A28,'1.3 Total EDUs Developed'!$S$115:$S$116)</f>
        <v>0</v>
      </c>
      <c r="CF28" s="291">
        <f t="shared" si="32"/>
        <v>0</v>
      </c>
      <c r="CH28" s="291">
        <f t="shared" si="33"/>
        <v>0</v>
      </c>
      <c r="CI28" s="291">
        <f t="shared" si="34"/>
        <v>0</v>
      </c>
      <c r="CJ28" s="291"/>
      <c r="CK28" s="291">
        <f t="shared" si="35"/>
        <v>0</v>
      </c>
      <c r="CL28" s="291">
        <f t="shared" si="36"/>
        <v>0</v>
      </c>
      <c r="CM28" s="291">
        <f t="shared" si="37"/>
        <v>0</v>
      </c>
      <c r="CN28" s="291">
        <f t="shared" si="38"/>
        <v>0</v>
      </c>
      <c r="CO28" s="97">
        <f t="shared" si="39"/>
        <v>0</v>
      </c>
    </row>
    <row r="29" spans="1:93" x14ac:dyDescent="0.2">
      <c r="A29" s="274" t="s">
        <v>253</v>
      </c>
      <c r="B29" s="274"/>
      <c r="C29" s="278" t="s">
        <v>425</v>
      </c>
      <c r="D29" s="286">
        <f>'1.2 EDU Factors'!E27</f>
        <v>1.4851485148514851</v>
      </c>
      <c r="E29" s="291">
        <f t="shared" si="0"/>
        <v>5346.067890689872</v>
      </c>
      <c r="F29" s="291">
        <f t="shared" si="0"/>
        <v>15940.625695700059</v>
      </c>
      <c r="G29" s="325" t="str">
        <f t="shared" si="1"/>
        <v>n/a</v>
      </c>
      <c r="H29" s="291">
        <f t="shared" si="2"/>
        <v>12938.029407939253</v>
      </c>
      <c r="I29" s="291">
        <f t="shared" si="2"/>
        <v>5587.2002019786387</v>
      </c>
      <c r="J29" s="291">
        <f t="shared" si="2"/>
        <v>11157.698220463679</v>
      </c>
      <c r="K29" s="325" t="str">
        <f t="shared" si="3"/>
        <v>n/a</v>
      </c>
      <c r="M29" s="278" t="s">
        <v>425</v>
      </c>
      <c r="N29" s="286">
        <f>'1.2 EDU Factors'!J27</f>
        <v>7.5</v>
      </c>
      <c r="O29" s="291">
        <f t="shared" si="19"/>
        <v>5346.067890689872</v>
      </c>
      <c r="P29" s="291">
        <f t="shared" si="4"/>
        <v>15940.625695700053</v>
      </c>
      <c r="Q29" s="325" t="str">
        <f t="shared" si="20"/>
        <v>n/a</v>
      </c>
      <c r="R29" s="291">
        <f t="shared" si="4"/>
        <v>12938.029407939259</v>
      </c>
      <c r="S29" s="291">
        <f t="shared" si="4"/>
        <v>5587.2002019786378</v>
      </c>
      <c r="T29" s="291">
        <f t="shared" si="4"/>
        <v>11157.698220463679</v>
      </c>
      <c r="U29" s="325" t="str">
        <f t="shared" si="21"/>
        <v>n/a</v>
      </c>
      <c r="V29" s="325"/>
      <c r="W29" s="278" t="s">
        <v>425</v>
      </c>
      <c r="X29" s="291">
        <f>'1.2 EDU Factors'!D27</f>
        <v>1200</v>
      </c>
      <c r="Y29" s="291">
        <f t="shared" si="22"/>
        <v>1971.067890689872</v>
      </c>
      <c r="Z29" s="291">
        <f t="shared" si="22"/>
        <v>12565.625695700053</v>
      </c>
      <c r="AA29" s="325" t="e">
        <f t="shared" si="5"/>
        <v>#VALUE!</v>
      </c>
      <c r="AB29" s="291">
        <f t="shared" si="22"/>
        <v>9563.029407939257</v>
      </c>
      <c r="AC29" s="291">
        <f t="shared" si="22"/>
        <v>2212.2002019786382</v>
      </c>
      <c r="AD29" s="291">
        <f t="shared" si="22"/>
        <v>7782.6982204636788</v>
      </c>
      <c r="AE29" s="325" t="str">
        <f t="shared" si="7"/>
        <v>n/a</v>
      </c>
      <c r="AG29" s="278" t="s">
        <v>425</v>
      </c>
      <c r="AH29" s="286">
        <f>'1.2 EDU Factors'!H27</f>
        <v>1</v>
      </c>
      <c r="AI29" s="291">
        <f t="shared" ref="AI29:AI38" si="40">IF($AH29=0,0,Y29/$AH29)</f>
        <v>1971.067890689872</v>
      </c>
      <c r="AJ29" s="291">
        <f t="shared" ref="AJ29:AJ38" si="41">IF($AH29=0,0,Z29/$AH29)</f>
        <v>12565.625695700053</v>
      </c>
      <c r="AK29" s="325" t="e">
        <f t="shared" si="23"/>
        <v>#VALUE!</v>
      </c>
      <c r="AL29" s="291">
        <f t="shared" si="10"/>
        <v>9563.029407939257</v>
      </c>
      <c r="AM29" s="291">
        <f t="shared" si="10"/>
        <v>2212.2002019786382</v>
      </c>
      <c r="AN29" s="291">
        <f t="shared" si="10"/>
        <v>7782.6982204636788</v>
      </c>
      <c r="AO29" s="325" t="str">
        <f t="shared" si="24"/>
        <v>n/a</v>
      </c>
      <c r="AP29" s="325"/>
      <c r="AQ29" s="325"/>
      <c r="AR29" s="347"/>
      <c r="AS29" s="286">
        <f>SUMIF('1.3 Total EDUs Developed'!$B$11:$B$19,'1.1 Fee Summary By Land use'!$A29,'1.3 Total EDUs Developed'!$E$11:$E$19)</f>
        <v>0</v>
      </c>
      <c r="AT29" s="286">
        <f>SUMIF('1.3 Total EDUs Developed'!$B$40:$B$62,'1.1 Fee Summary By Land use'!$A29,'1.3 Total EDUs Developed'!$E$40:$E$62)</f>
        <v>0</v>
      </c>
      <c r="AV29" s="286">
        <f>SUMIF('1.3 Total EDUs Developed'!$B$70:$B$89,'1.1 Fee Summary By Land use'!$A29,'1.3 Total EDUs Developed'!$E$70:$E$89)</f>
        <v>67.739587</v>
      </c>
      <c r="AW29" s="286">
        <f>SUMIF('1.3 Total EDUs Developed'!$B$97:$B$107,'1.1 Fee Summary By Land use'!$A29,'1.3 Total EDUs Developed'!$E$97:$E$107)</f>
        <v>14.000554399999999</v>
      </c>
      <c r="AX29" s="286">
        <f>SUMIF('1.3 Total EDUs Developed'!$B$115:$B$116,'1.1 Fee Summary By Land use'!$A29,'1.3 Total EDUs Developed'!$E$115:$E$116)</f>
        <v>0</v>
      </c>
      <c r="AY29" s="286">
        <f t="shared" si="25"/>
        <v>81.740141399999999</v>
      </c>
      <c r="BA29" s="291">
        <f t="shared" si="11"/>
        <v>0</v>
      </c>
      <c r="BB29" s="291">
        <f t="shared" si="12"/>
        <v>0</v>
      </c>
      <c r="BC29" s="291"/>
      <c r="BD29" s="291">
        <f t="shared" si="13"/>
        <v>876416.76868765953</v>
      </c>
      <c r="BE29" s="291">
        <f t="shared" si="14"/>
        <v>78223.900371492913</v>
      </c>
      <c r="BF29" s="291">
        <f t="shared" si="15"/>
        <v>0</v>
      </c>
      <c r="BG29" s="291">
        <f t="shared" si="26"/>
        <v>954640.66905915248</v>
      </c>
      <c r="BI29" s="286">
        <f>SUMIF('1.3 Total EDUs Developed'!$B$11:$B$19,'1.1 Fee Summary By Land use'!$A29,'1.3 Total EDUs Developed'!$O$11:$O$19)</f>
        <v>0</v>
      </c>
      <c r="BJ29" s="286">
        <f>SUMIF('1.3 Total EDUs Developed'!$B$40:$B$62,'1.1 Fee Summary By Land use'!$A29,'1.3 Total EDUs Developed'!$O$40:$O$62)</f>
        <v>0</v>
      </c>
      <c r="BL29" s="286">
        <f>SUMIF('1.3 Total EDUs Developed'!$B$70:$B$89,'1.1 Fee Summary By Land use'!$A29,'1.3 Total EDUs Developed'!$O$70:$O$89)</f>
        <v>508.04690249999999</v>
      </c>
      <c r="BM29" s="286">
        <f>SUMIF('1.3 Total EDUs Developed'!$B$97:$B$107,'1.1 Fee Summary By Land use'!$A29,'1.3 Total EDUs Developed'!$O$97:$O$107)</f>
        <v>105.00415799999999</v>
      </c>
      <c r="BN29" s="286">
        <f>SUMIF('1.3 Total EDUs Developed'!$B$115:$B$116,'1.1 Fee Summary By Land use'!$A29,'1.3 Total EDUs Developed'!$O$115:$O$116)</f>
        <v>0</v>
      </c>
      <c r="BO29" s="286">
        <f t="shared" si="27"/>
        <v>613.05106049999995</v>
      </c>
      <c r="BQ29" s="291">
        <f t="shared" si="28"/>
        <v>0</v>
      </c>
      <c r="BR29" s="291">
        <f t="shared" si="29"/>
        <v>0</v>
      </c>
      <c r="BS29" s="291"/>
      <c r="BT29" s="291">
        <f t="shared" si="16"/>
        <v>876416.76868765987</v>
      </c>
      <c r="BU29" s="291">
        <f t="shared" si="17"/>
        <v>78223.900371492899</v>
      </c>
      <c r="BV29" s="291">
        <f t="shared" si="18"/>
        <v>0</v>
      </c>
      <c r="BW29" s="291">
        <f t="shared" si="30"/>
        <v>954640.66905915271</v>
      </c>
      <c r="BX29" s="97">
        <f t="shared" si="31"/>
        <v>0</v>
      </c>
      <c r="BZ29" s="291">
        <f>SUMIF('1.3 Total EDUs Developed'!$B$11:$B$19,'1.1 Fee Summary By Land use'!$A29,'1.3 Total EDUs Developed'!$S$11:$S$19)</f>
        <v>0</v>
      </c>
      <c r="CA29" s="291">
        <f>SUMIF('1.3 Total EDUs Developed'!$B$40:$B$62,'1.1 Fee Summary By Land use'!$A29,'1.3 Total EDUs Developed'!$S$40:$S$62)</f>
        <v>0</v>
      </c>
      <c r="CB29" s="97"/>
      <c r="CC29" s="291">
        <f>SUMIF('1.3 Total EDUs Developed'!$B$70:$B$89,'1.1 Fee Summary By Land use'!$A29,'1.3 Total EDUs Developed'!$S$70:$S$89)</f>
        <v>81287.504400000005</v>
      </c>
      <c r="CD29" s="291">
        <f>SUMIF('1.3 Total EDUs Developed'!$B$97:$B$107,'1.1 Fee Summary By Land use'!$A29,'1.3 Total EDUs Developed'!$S$97:$S$107)</f>
        <v>16800.665279999997</v>
      </c>
      <c r="CE29" s="291">
        <f>SUMIF('1.3 Total EDUs Developed'!$B$115:$B$116,'1.1 Fee Summary By Land use'!$A29,'1.3 Total EDUs Developed'!$S$115:$S$116)</f>
        <v>0</v>
      </c>
      <c r="CF29" s="291">
        <f t="shared" si="32"/>
        <v>98088.169680000006</v>
      </c>
      <c r="CH29" s="291">
        <f t="shared" si="33"/>
        <v>0</v>
      </c>
      <c r="CI29" s="291">
        <f t="shared" si="34"/>
        <v>0</v>
      </c>
      <c r="CJ29" s="291"/>
      <c r="CK29" s="291">
        <f t="shared" si="35"/>
        <v>647795.66256265983</v>
      </c>
      <c r="CL29" s="291">
        <f t="shared" si="36"/>
        <v>30972.029271492909</v>
      </c>
      <c r="CM29" s="291">
        <f t="shared" si="37"/>
        <v>0</v>
      </c>
      <c r="CN29" s="291">
        <f t="shared" si="38"/>
        <v>678767.69183415268</v>
      </c>
      <c r="CO29" s="97">
        <f t="shared" si="39"/>
        <v>-275872.97722499981</v>
      </c>
    </row>
    <row r="30" spans="1:93" x14ac:dyDescent="0.2">
      <c r="A30" s="274" t="s">
        <v>242</v>
      </c>
      <c r="B30" s="274"/>
      <c r="C30" s="278" t="s">
        <v>425</v>
      </c>
      <c r="D30" s="286">
        <f>'1.2 EDU Factors'!E28</f>
        <v>3.0606435643564356</v>
      </c>
      <c r="E30" s="291">
        <f t="shared" si="0"/>
        <v>11017.354911396711</v>
      </c>
      <c r="F30" s="291">
        <f t="shared" si="0"/>
        <v>32850.972787888539</v>
      </c>
      <c r="G30" s="325" t="str">
        <f t="shared" si="1"/>
        <v>n/a</v>
      </c>
      <c r="H30" s="291">
        <f t="shared" si="2"/>
        <v>26663.122271528144</v>
      </c>
      <c r="I30" s="291">
        <f t="shared" si="2"/>
        <v>11514.28841624431</v>
      </c>
      <c r="J30" s="291">
        <f t="shared" si="2"/>
        <v>22994.156416005564</v>
      </c>
      <c r="K30" s="325" t="str">
        <f t="shared" si="3"/>
        <v>n/a</v>
      </c>
      <c r="M30" s="278" t="s">
        <v>425</v>
      </c>
      <c r="N30" s="286">
        <f>'1.2 EDU Factors'!J28</f>
        <v>15.456250000000001</v>
      </c>
      <c r="O30" s="291">
        <f t="shared" si="19"/>
        <v>11017.354911396713</v>
      </c>
      <c r="P30" s="291">
        <f t="shared" si="19"/>
        <v>32850.972787888524</v>
      </c>
      <c r="Q30" s="325" t="str">
        <f t="shared" si="20"/>
        <v>n/a</v>
      </c>
      <c r="R30" s="291">
        <f t="shared" si="19"/>
        <v>26663.122271528155</v>
      </c>
      <c r="S30" s="291">
        <f t="shared" si="19"/>
        <v>11514.28841624431</v>
      </c>
      <c r="T30" s="291">
        <f t="shared" si="19"/>
        <v>22994.156416005564</v>
      </c>
      <c r="U30" s="325" t="str">
        <f t="shared" si="21"/>
        <v>n/a</v>
      </c>
      <c r="V30" s="325"/>
      <c r="W30" s="278" t="s">
        <v>425</v>
      </c>
      <c r="X30" s="291">
        <f>'1.2 EDU Factors'!D28</f>
        <v>2473</v>
      </c>
      <c r="Y30" s="291">
        <f t="shared" si="22"/>
        <v>4062.0424113967115</v>
      </c>
      <c r="Z30" s="291">
        <f t="shared" si="22"/>
        <v>25895.660287888528</v>
      </c>
      <c r="AA30" s="325" t="e">
        <f t="shared" si="5"/>
        <v>#VALUE!</v>
      </c>
      <c r="AB30" s="291">
        <f t="shared" si="22"/>
        <v>19707.809771528155</v>
      </c>
      <c r="AC30" s="291">
        <f t="shared" si="22"/>
        <v>4558.9759162443106</v>
      </c>
      <c r="AD30" s="291">
        <f t="shared" si="22"/>
        <v>16038.843916005566</v>
      </c>
      <c r="AE30" s="325" t="str">
        <f t="shared" si="7"/>
        <v>n/a</v>
      </c>
      <c r="AG30" s="278" t="s">
        <v>425</v>
      </c>
      <c r="AH30" s="286">
        <f>'1.2 EDU Factors'!H28</f>
        <v>1</v>
      </c>
      <c r="AI30" s="291">
        <f t="shared" si="40"/>
        <v>4062.0424113967115</v>
      </c>
      <c r="AJ30" s="291">
        <f t="shared" si="41"/>
        <v>25895.660287888528</v>
      </c>
      <c r="AK30" s="325" t="e">
        <f t="shared" si="23"/>
        <v>#VALUE!</v>
      </c>
      <c r="AL30" s="291">
        <f t="shared" si="10"/>
        <v>19707.809771528155</v>
      </c>
      <c r="AM30" s="291">
        <f t="shared" si="10"/>
        <v>4558.9759162443106</v>
      </c>
      <c r="AN30" s="291">
        <f t="shared" si="10"/>
        <v>16038.843916005566</v>
      </c>
      <c r="AO30" s="325" t="str">
        <f t="shared" si="24"/>
        <v>n/a</v>
      </c>
      <c r="AP30" s="325"/>
      <c r="AQ30" s="325"/>
      <c r="AR30" s="347"/>
      <c r="AS30" s="286">
        <f>SUMIF('1.3 Total EDUs Developed'!$B$11:$B$19,'1.1 Fee Summary By Land use'!$A30,'1.3 Total EDUs Developed'!$E$11:$E$19)</f>
        <v>0</v>
      </c>
      <c r="AT30" s="286">
        <f>SUMIF('1.3 Total EDUs Developed'!$B$40:$B$62,'1.1 Fee Summary By Land use'!$A30,'1.3 Total EDUs Developed'!$E$40:$E$62)</f>
        <v>8.6115594000000009</v>
      </c>
      <c r="AV30" s="286">
        <f>SUMIF('1.3 Total EDUs Developed'!$B$70:$B$89,'1.1 Fee Summary By Land use'!$A30,'1.3 Total EDUs Developed'!$E$70:$E$89)</f>
        <v>58.752500999999995</v>
      </c>
      <c r="AW30" s="286">
        <f>SUMIF('1.3 Total EDUs Developed'!$B$97:$B$107,'1.1 Fee Summary By Land use'!$A30,'1.3 Total EDUs Developed'!$E$97:$E$107)</f>
        <v>19.761961200000002</v>
      </c>
      <c r="AX30" s="286">
        <f>SUMIF('1.3 Total EDUs Developed'!$B$115:$B$116,'1.1 Fee Summary By Land use'!$A30,'1.3 Total EDUs Developed'!$E$115:$E$116)</f>
        <v>0</v>
      </c>
      <c r="AY30" s="286">
        <f t="shared" si="25"/>
        <v>87.126021600000001</v>
      </c>
      <c r="BA30" s="291">
        <f t="shared" si="11"/>
        <v>0</v>
      </c>
      <c r="BB30" s="291">
        <f t="shared" si="12"/>
        <v>282898.10351068579</v>
      </c>
      <c r="BC30" s="291"/>
      <c r="BD30" s="291">
        <f t="shared" si="13"/>
        <v>1566525.1179210795</v>
      </c>
      <c r="BE30" s="291">
        <f t="shared" si="14"/>
        <v>227544.92092742951</v>
      </c>
      <c r="BF30" s="291">
        <f t="shared" si="15"/>
        <v>0</v>
      </c>
      <c r="BG30" s="291">
        <f t="shared" si="26"/>
        <v>2076968.1423591948</v>
      </c>
      <c r="BI30" s="286">
        <f>SUMIF('1.3 Total EDUs Developed'!$B$11:$B$19,'1.1 Fee Summary By Land use'!$A30,'1.3 Total EDUs Developed'!$O$11:$O$19)</f>
        <v>0</v>
      </c>
      <c r="BJ30" s="286">
        <f>SUMIF('1.3 Total EDUs Developed'!$B$40:$B$62,'1.1 Fee Summary By Land use'!$A30,'1.3 Total EDUs Developed'!$O$40:$O$62)</f>
        <v>133.10241497625003</v>
      </c>
      <c r="BL30" s="286">
        <f>SUMIF('1.3 Total EDUs Developed'!$B$70:$B$89,'1.1 Fee Summary By Land use'!$A30,'1.3 Total EDUs Developed'!$O$70:$O$89)</f>
        <v>908.09334358125</v>
      </c>
      <c r="BM30" s="286">
        <f>SUMIF('1.3 Total EDUs Developed'!$B$97:$B$107,'1.1 Fee Summary By Land use'!$A30,'1.3 Total EDUs Developed'!$O$97:$O$107)</f>
        <v>305.44581279750003</v>
      </c>
      <c r="BN30" s="286">
        <f>SUMIF('1.3 Total EDUs Developed'!$B$115:$B$116,'1.1 Fee Summary By Land use'!$A30,'1.3 Total EDUs Developed'!$O$115:$O$116)</f>
        <v>0</v>
      </c>
      <c r="BO30" s="286">
        <f t="shared" si="27"/>
        <v>1346.641571355</v>
      </c>
      <c r="BQ30" s="291">
        <f t="shared" si="28"/>
        <v>0</v>
      </c>
      <c r="BR30" s="291">
        <f t="shared" ref="BR30:BR38" si="42">BJ30*P$12</f>
        <v>282898.10351068573</v>
      </c>
      <c r="BS30" s="291"/>
      <c r="BT30" s="291">
        <f t="shared" ref="BT30:BT38" si="43">BL30*R$12</f>
        <v>1566525.1179210802</v>
      </c>
      <c r="BU30" s="291">
        <f t="shared" ref="BU30:BU38" si="44">BM30*S$12</f>
        <v>227544.92092742951</v>
      </c>
      <c r="BV30" s="291">
        <f t="shared" ref="BV30:BV38" si="45">BN30*T$12</f>
        <v>0</v>
      </c>
      <c r="BW30" s="291">
        <f t="shared" si="30"/>
        <v>2076968.1423591955</v>
      </c>
      <c r="BX30" s="97">
        <f t="shared" si="31"/>
        <v>0</v>
      </c>
      <c r="BZ30" s="291">
        <f>SUMIF('1.3 Total EDUs Developed'!$B$11:$B$19,'1.1 Fee Summary By Land use'!$A30,'1.3 Total EDUs Developed'!$S$11:$S$19)</f>
        <v>0</v>
      </c>
      <c r="CA30" s="291">
        <f>SUMIF('1.3 Total EDUs Developed'!$B$40:$B$62,'1.1 Fee Summary By Land use'!$A30,'1.3 Total EDUs Developed'!$S$40:$S$62)</f>
        <v>21296.386396200003</v>
      </c>
      <c r="CB30" s="97"/>
      <c r="CC30" s="291">
        <f>SUMIF('1.3 Total EDUs Developed'!$B$70:$B$89,'1.1 Fee Summary By Land use'!$A30,'1.3 Total EDUs Developed'!$S$70:$S$89)</f>
        <v>145294.934973</v>
      </c>
      <c r="CD30" s="291">
        <f>SUMIF('1.3 Total EDUs Developed'!$B$97:$B$107,'1.1 Fee Summary By Land use'!$A30,'1.3 Total EDUs Developed'!$S$97:$S$107)</f>
        <v>48871.330047600008</v>
      </c>
      <c r="CE30" s="291">
        <f>SUMIF('1.3 Total EDUs Developed'!$B$115:$B$116,'1.1 Fee Summary By Land use'!$A30,'1.3 Total EDUs Developed'!$S$115:$S$116)</f>
        <v>0</v>
      </c>
      <c r="CF30" s="291">
        <f t="shared" si="32"/>
        <v>215462.65141680001</v>
      </c>
      <c r="CH30" s="291">
        <f t="shared" si="33"/>
        <v>0</v>
      </c>
      <c r="CI30" s="291">
        <f t="shared" si="34"/>
        <v>223002.01677137319</v>
      </c>
      <c r="CJ30" s="291"/>
      <c r="CK30" s="291">
        <f t="shared" si="35"/>
        <v>1157883.1133095175</v>
      </c>
      <c r="CL30" s="291">
        <f t="shared" si="36"/>
        <v>90094.305168554522</v>
      </c>
      <c r="CM30" s="291">
        <f t="shared" si="37"/>
        <v>0</v>
      </c>
      <c r="CN30" s="291">
        <f t="shared" si="38"/>
        <v>1470979.435249445</v>
      </c>
      <c r="CO30" s="97">
        <f t="shared" si="39"/>
        <v>-605988.70710974978</v>
      </c>
    </row>
    <row r="31" spans="1:93" x14ac:dyDescent="0.2">
      <c r="A31" s="274" t="s">
        <v>243</v>
      </c>
      <c r="B31" s="274"/>
      <c r="C31" s="278" t="s">
        <v>425</v>
      </c>
      <c r="D31" s="286">
        <f>'1.2 EDU Factors'!E29</f>
        <v>0.92821782178217827</v>
      </c>
      <c r="E31" s="291">
        <f t="shared" si="0"/>
        <v>3341.2924316811705</v>
      </c>
      <c r="F31" s="291">
        <f t="shared" si="0"/>
        <v>9962.8910598125367</v>
      </c>
      <c r="G31" s="325" t="str">
        <f t="shared" si="1"/>
        <v>n/a</v>
      </c>
      <c r="H31" s="291">
        <f t="shared" si="2"/>
        <v>8086.2683799620345</v>
      </c>
      <c r="I31" s="291">
        <f t="shared" si="2"/>
        <v>3492.0001262366491</v>
      </c>
      <c r="J31" s="291">
        <f t="shared" si="2"/>
        <v>6973.5613877897995</v>
      </c>
      <c r="K31" s="325" t="str">
        <f t="shared" si="3"/>
        <v>n/a</v>
      </c>
      <c r="M31" s="278" t="s">
        <v>425</v>
      </c>
      <c r="N31" s="286">
        <f>'1.2 EDU Factors'!J29</f>
        <v>4.6875</v>
      </c>
      <c r="O31" s="291">
        <f t="shared" si="19"/>
        <v>3341.29243168117</v>
      </c>
      <c r="P31" s="291">
        <f t="shared" si="19"/>
        <v>9962.8910598125331</v>
      </c>
      <c r="Q31" s="325" t="str">
        <f t="shared" si="20"/>
        <v>n/a</v>
      </c>
      <c r="R31" s="291">
        <f t="shared" si="19"/>
        <v>8086.2683799620363</v>
      </c>
      <c r="S31" s="291">
        <f t="shared" si="19"/>
        <v>3492.0001262366486</v>
      </c>
      <c r="T31" s="291">
        <f t="shared" si="19"/>
        <v>6973.5613877897986</v>
      </c>
      <c r="U31" s="325" t="str">
        <f t="shared" si="21"/>
        <v>n/a</v>
      </c>
      <c r="V31" s="325"/>
      <c r="W31" s="278" t="s">
        <v>425</v>
      </c>
      <c r="X31" s="291">
        <f>'1.2 EDU Factors'!D29</f>
        <v>750</v>
      </c>
      <c r="Y31" s="291">
        <f t="shared" si="22"/>
        <v>1231.91743168117</v>
      </c>
      <c r="Z31" s="291">
        <f t="shared" si="22"/>
        <v>7853.516059812534</v>
      </c>
      <c r="AA31" s="325" t="e">
        <f t="shared" si="5"/>
        <v>#VALUE!</v>
      </c>
      <c r="AB31" s="291">
        <f t="shared" si="22"/>
        <v>5976.8933799620363</v>
      </c>
      <c r="AC31" s="291">
        <f t="shared" si="22"/>
        <v>1382.6251262366488</v>
      </c>
      <c r="AD31" s="291">
        <f t="shared" si="22"/>
        <v>4864.1863877897995</v>
      </c>
      <c r="AE31" s="325" t="str">
        <f t="shared" si="7"/>
        <v>n/a</v>
      </c>
      <c r="AG31" s="278" t="s">
        <v>425</v>
      </c>
      <c r="AH31" s="286">
        <f>'1.2 EDU Factors'!H29</f>
        <v>1</v>
      </c>
      <c r="AI31" s="291">
        <f t="shared" si="40"/>
        <v>1231.91743168117</v>
      </c>
      <c r="AJ31" s="291">
        <f t="shared" si="41"/>
        <v>7853.516059812534</v>
      </c>
      <c r="AK31" s="325" t="e">
        <f t="shared" si="23"/>
        <v>#VALUE!</v>
      </c>
      <c r="AL31" s="291">
        <f t="shared" si="10"/>
        <v>5976.8933799620363</v>
      </c>
      <c r="AM31" s="291">
        <f t="shared" si="10"/>
        <v>1382.6251262366488</v>
      </c>
      <c r="AN31" s="291">
        <f t="shared" si="10"/>
        <v>4864.1863877897995</v>
      </c>
      <c r="AO31" s="325" t="str">
        <f t="shared" si="24"/>
        <v>n/a</v>
      </c>
      <c r="AP31" s="325"/>
      <c r="AQ31" s="325"/>
      <c r="AR31" s="347"/>
      <c r="AS31" s="286">
        <f>SUMIF('1.3 Total EDUs Developed'!$B$11:$B$19,'1.1 Fee Summary By Land use'!$A31,'1.3 Total EDUs Developed'!$E$11:$E$19)</f>
        <v>0</v>
      </c>
      <c r="AT31" s="286">
        <f>SUMIF('1.3 Total EDUs Developed'!$B$40:$B$62,'1.1 Fee Summary By Land use'!$A31,'1.3 Total EDUs Developed'!$E$40:$E$62)</f>
        <v>8.0869596000000001</v>
      </c>
      <c r="AV31" s="286">
        <f>SUMIF('1.3 Total EDUs Developed'!$B$70:$B$89,'1.1 Fee Summary By Land use'!$A31,'1.3 Total EDUs Developed'!$E$70:$E$89)</f>
        <v>0</v>
      </c>
      <c r="AW31" s="286">
        <f>SUMIF('1.3 Total EDUs Developed'!$B$97:$B$107,'1.1 Fee Summary By Land use'!$A31,'1.3 Total EDUs Developed'!$E$97:$E$107)</f>
        <v>0</v>
      </c>
      <c r="AX31" s="286">
        <f>SUMIF('1.3 Total EDUs Developed'!$B$115:$B$116,'1.1 Fee Summary By Land use'!$A31,'1.3 Total EDUs Developed'!$E$115:$E$116)</f>
        <v>0</v>
      </c>
      <c r="AY31" s="286">
        <f t="shared" si="25"/>
        <v>8.0869596000000001</v>
      </c>
      <c r="BA31" s="291">
        <f t="shared" si="11"/>
        <v>0</v>
      </c>
      <c r="BB31" s="291">
        <f t="shared" si="12"/>
        <v>80569.497499905163</v>
      </c>
      <c r="BC31" s="291"/>
      <c r="BD31" s="291">
        <f t="shared" si="13"/>
        <v>0</v>
      </c>
      <c r="BE31" s="291">
        <f t="shared" si="14"/>
        <v>0</v>
      </c>
      <c r="BF31" s="291">
        <f t="shared" si="15"/>
        <v>0</v>
      </c>
      <c r="BG31" s="291">
        <f t="shared" si="26"/>
        <v>80569.497499905163</v>
      </c>
      <c r="BI31" s="286">
        <f>SUMIF('1.3 Total EDUs Developed'!$B$11:$B$19,'1.1 Fee Summary By Land use'!$A31,'1.3 Total EDUs Developed'!$O$11:$O$19)</f>
        <v>0</v>
      </c>
      <c r="BJ31" s="286">
        <f>SUMIF('1.3 Total EDUs Developed'!$B$40:$B$62,'1.1 Fee Summary By Land use'!$A31,'1.3 Total EDUs Developed'!$O$40:$O$62)</f>
        <v>37.907623125000001</v>
      </c>
      <c r="BL31" s="286">
        <f>SUMIF('1.3 Total EDUs Developed'!$B$70:$B$89,'1.1 Fee Summary By Land use'!$A31,'1.3 Total EDUs Developed'!$O$70:$O$89)</f>
        <v>0</v>
      </c>
      <c r="BM31" s="286">
        <f>SUMIF('1.3 Total EDUs Developed'!$B$97:$B$107,'1.1 Fee Summary By Land use'!$A31,'1.3 Total EDUs Developed'!$O$97:$O$107)</f>
        <v>0</v>
      </c>
      <c r="BN31" s="286">
        <f>SUMIF('1.3 Total EDUs Developed'!$B$115:$B$116,'1.1 Fee Summary By Land use'!$A31,'1.3 Total EDUs Developed'!$O$115:$O$116)</f>
        <v>0</v>
      </c>
      <c r="BO31" s="286">
        <f t="shared" si="27"/>
        <v>37.907623125000001</v>
      </c>
      <c r="BQ31" s="291">
        <f t="shared" si="28"/>
        <v>0</v>
      </c>
      <c r="BR31" s="291">
        <f t="shared" si="42"/>
        <v>80569.497499905134</v>
      </c>
      <c r="BS31" s="291"/>
      <c r="BT31" s="291">
        <f t="shared" si="43"/>
        <v>0</v>
      </c>
      <c r="BU31" s="291">
        <f t="shared" si="44"/>
        <v>0</v>
      </c>
      <c r="BV31" s="291">
        <f t="shared" si="45"/>
        <v>0</v>
      </c>
      <c r="BW31" s="291">
        <f t="shared" si="30"/>
        <v>80569.497499905134</v>
      </c>
      <c r="BX31" s="97">
        <f t="shared" si="31"/>
        <v>0</v>
      </c>
      <c r="BZ31" s="291">
        <f>SUMIF('1.3 Total EDUs Developed'!$B$11:$B$19,'1.1 Fee Summary By Land use'!$A31,'1.3 Total EDUs Developed'!$S$11:$S$19)</f>
        <v>0</v>
      </c>
      <c r="CA31" s="291">
        <f>SUMIF('1.3 Total EDUs Developed'!$B$40:$B$62,'1.1 Fee Summary By Land use'!$A31,'1.3 Total EDUs Developed'!$S$40:$S$62)</f>
        <v>6065.2196999999996</v>
      </c>
      <c r="CB31" s="97"/>
      <c r="CC31" s="291">
        <f>SUMIF('1.3 Total EDUs Developed'!$B$70:$B$89,'1.1 Fee Summary By Land use'!$A31,'1.3 Total EDUs Developed'!$S$70:$S$89)</f>
        <v>0</v>
      </c>
      <c r="CD31" s="291">
        <f>SUMIF('1.3 Total EDUs Developed'!$B$97:$B$107,'1.1 Fee Summary By Land use'!$A31,'1.3 Total EDUs Developed'!$S$97:$S$107)</f>
        <v>0</v>
      </c>
      <c r="CE31" s="291">
        <f>SUMIF('1.3 Total EDUs Developed'!$B$115:$B$116,'1.1 Fee Summary By Land use'!$A31,'1.3 Total EDUs Developed'!$S$115:$S$116)</f>
        <v>0</v>
      </c>
      <c r="CF31" s="291">
        <f t="shared" si="32"/>
        <v>6065.2196999999996</v>
      </c>
      <c r="CH31" s="291">
        <f t="shared" si="33"/>
        <v>0</v>
      </c>
      <c r="CI31" s="291">
        <f t="shared" si="34"/>
        <v>63511.06709365514</v>
      </c>
      <c r="CJ31" s="291"/>
      <c r="CK31" s="291">
        <f t="shared" si="35"/>
        <v>0</v>
      </c>
      <c r="CL31" s="291">
        <f t="shared" si="36"/>
        <v>0</v>
      </c>
      <c r="CM31" s="291">
        <f t="shared" si="37"/>
        <v>0</v>
      </c>
      <c r="CN31" s="291">
        <f t="shared" si="38"/>
        <v>63511.06709365514</v>
      </c>
      <c r="CO31" s="97">
        <f t="shared" si="39"/>
        <v>-17058.430406250023</v>
      </c>
    </row>
    <row r="32" spans="1:93" x14ac:dyDescent="0.2">
      <c r="A32" s="274" t="s">
        <v>244</v>
      </c>
      <c r="B32" s="274"/>
      <c r="C32" s="278" t="s">
        <v>425</v>
      </c>
      <c r="D32" s="286">
        <f>'1.2 EDU Factors'!E30</f>
        <v>1</v>
      </c>
      <c r="E32" s="291">
        <f t="shared" si="0"/>
        <v>3599.6857130645139</v>
      </c>
      <c r="F32" s="291">
        <f t="shared" si="0"/>
        <v>10733.354635104706</v>
      </c>
      <c r="G32" s="325" t="str">
        <f t="shared" si="1"/>
        <v>n/a</v>
      </c>
      <c r="H32" s="291">
        <f t="shared" si="2"/>
        <v>8711.6064680124309</v>
      </c>
      <c r="I32" s="291">
        <f t="shared" si="2"/>
        <v>3762.0481359989499</v>
      </c>
      <c r="J32" s="291">
        <f t="shared" si="2"/>
        <v>7512.8501351122104</v>
      </c>
      <c r="K32" s="325" t="str">
        <f t="shared" si="3"/>
        <v>n/a</v>
      </c>
      <c r="M32" s="278" t="s">
        <v>427</v>
      </c>
      <c r="N32" s="286">
        <f>'1.2 EDU Factors'!J30</f>
        <v>1</v>
      </c>
      <c r="O32" s="291">
        <f t="shared" si="19"/>
        <v>712.80905209198295</v>
      </c>
      <c r="P32" s="291">
        <f t="shared" si="19"/>
        <v>2125.4167594266737</v>
      </c>
      <c r="Q32" s="325" t="str">
        <f t="shared" si="20"/>
        <v>n/a</v>
      </c>
      <c r="R32" s="291">
        <f t="shared" si="19"/>
        <v>1725.0705877252344</v>
      </c>
      <c r="S32" s="291">
        <f t="shared" si="19"/>
        <v>744.96002693048501</v>
      </c>
      <c r="T32" s="291">
        <f t="shared" si="19"/>
        <v>1487.6930960618238</v>
      </c>
      <c r="U32" s="325" t="str">
        <f t="shared" si="21"/>
        <v>n/a</v>
      </c>
      <c r="V32" s="325"/>
      <c r="W32" s="278" t="s">
        <v>425</v>
      </c>
      <c r="X32" s="291">
        <f>'1.2 EDU Factors'!D30</f>
        <v>808</v>
      </c>
      <c r="Y32" s="291">
        <f t="shared" si="22"/>
        <v>1327.1857130645139</v>
      </c>
      <c r="Z32" s="291">
        <f t="shared" si="22"/>
        <v>8460.8546351047025</v>
      </c>
      <c r="AA32" s="325" t="e">
        <f t="shared" si="5"/>
        <v>#VALUE!</v>
      </c>
      <c r="AB32" s="291">
        <f t="shared" si="22"/>
        <v>6439.1064680124337</v>
      </c>
      <c r="AC32" s="291">
        <f t="shared" si="22"/>
        <v>1489.5481359989496</v>
      </c>
      <c r="AD32" s="291">
        <f t="shared" si="22"/>
        <v>5240.3501351122104</v>
      </c>
      <c r="AE32" s="325" t="str">
        <f t="shared" si="7"/>
        <v>n/a</v>
      </c>
      <c r="AG32" s="278" t="s">
        <v>427</v>
      </c>
      <c r="AH32" s="286">
        <f>'1.2 EDU Factors'!H30</f>
        <v>5.05</v>
      </c>
      <c r="AI32" s="291">
        <f t="shared" si="40"/>
        <v>262.80905209198295</v>
      </c>
      <c r="AJ32" s="291">
        <f t="shared" si="41"/>
        <v>1675.4167594266739</v>
      </c>
      <c r="AK32" s="325" t="e">
        <f t="shared" si="23"/>
        <v>#VALUE!</v>
      </c>
      <c r="AL32" s="291">
        <f t="shared" si="10"/>
        <v>1275.0705877252344</v>
      </c>
      <c r="AM32" s="291">
        <f t="shared" si="10"/>
        <v>294.96002693048507</v>
      </c>
      <c r="AN32" s="291">
        <f t="shared" si="10"/>
        <v>1037.6930960618238</v>
      </c>
      <c r="AO32" s="325" t="str">
        <f t="shared" si="24"/>
        <v>n/a</v>
      </c>
      <c r="AP32" s="325"/>
      <c r="AQ32" s="325"/>
      <c r="AR32" s="347"/>
      <c r="AS32" s="286">
        <f>SUMIF('1.3 Total EDUs Developed'!$B$11:$B$19,'1.1 Fee Summary By Land use'!$A32,'1.3 Total EDUs Developed'!$E$11:$E$19)</f>
        <v>0</v>
      </c>
      <c r="AT32" s="286">
        <f>SUMIF('1.3 Total EDUs Developed'!$B$40:$B$62,'1.1 Fee Summary By Land use'!$A32,'1.3 Total EDUs Developed'!$E$40:$E$62)</f>
        <v>150.87493660000001</v>
      </c>
      <c r="AV32" s="286">
        <f>SUMIF('1.3 Total EDUs Developed'!$B$70:$B$89,'1.1 Fee Summary By Land use'!$A32,'1.3 Total EDUs Developed'!$E$70:$E$89)</f>
        <v>96.292030800000006</v>
      </c>
      <c r="AW32" s="286">
        <f>SUMIF('1.3 Total EDUs Developed'!$B$97:$B$107,'1.1 Fee Summary By Land use'!$A32,'1.3 Total EDUs Developed'!$E$97:$E$107)</f>
        <v>29.103878200000004</v>
      </c>
      <c r="AX32" s="286">
        <f>SUMIF('1.3 Total EDUs Developed'!$B$115:$B$116,'1.1 Fee Summary By Land use'!$A32,'1.3 Total EDUs Developed'!$E$115:$E$116)</f>
        <v>0</v>
      </c>
      <c r="AY32" s="286">
        <f t="shared" si="25"/>
        <v>276.27084560000003</v>
      </c>
      <c r="BA32" s="291">
        <f t="shared" si="11"/>
        <v>0</v>
      </c>
      <c r="BB32" s="291">
        <f t="shared" si="12"/>
        <v>1619394.2000767388</v>
      </c>
      <c r="BC32" s="291"/>
      <c r="BD32" s="291">
        <f t="shared" si="13"/>
        <v>838858.27833533229</v>
      </c>
      <c r="BE32" s="291">
        <f t="shared" si="14"/>
        <v>109490.19073265049</v>
      </c>
      <c r="BF32" s="291">
        <f t="shared" si="15"/>
        <v>0</v>
      </c>
      <c r="BG32" s="291">
        <f t="shared" si="26"/>
        <v>2567742.6691447217</v>
      </c>
      <c r="BI32" s="286">
        <f>SUMIF('1.3 Total EDUs Developed'!$B$11:$B$19,'1.1 Fee Summary By Land use'!$A32,'1.3 Total EDUs Developed'!$O$11:$O$19)</f>
        <v>0</v>
      </c>
      <c r="BJ32" s="286">
        <f>SUMIF('1.3 Total EDUs Developed'!$B$40:$B$62,'1.1 Fee Summary By Land use'!$A32,'1.3 Total EDUs Developed'!$O$40:$O$62)</f>
        <v>761.91842983000004</v>
      </c>
      <c r="BL32" s="286">
        <f>SUMIF('1.3 Total EDUs Developed'!$B$70:$B$89,'1.1 Fee Summary By Land use'!$A32,'1.3 Total EDUs Developed'!$O$70:$O$89)</f>
        <v>486.27475554</v>
      </c>
      <c r="BM32" s="286">
        <f>SUMIF('1.3 Total EDUs Developed'!$B$97:$B$107,'1.1 Fee Summary By Land use'!$A32,'1.3 Total EDUs Developed'!$O$97:$O$107)</f>
        <v>146.97458491</v>
      </c>
      <c r="BN32" s="286">
        <f>SUMIF('1.3 Total EDUs Developed'!$B$115:$B$116,'1.1 Fee Summary By Land use'!$A32,'1.3 Total EDUs Developed'!$O$115:$O$116)</f>
        <v>0</v>
      </c>
      <c r="BO32" s="286">
        <f t="shared" si="27"/>
        <v>1395.16777028</v>
      </c>
      <c r="BQ32" s="291">
        <f t="shared" si="28"/>
        <v>0</v>
      </c>
      <c r="BR32" s="291">
        <f t="shared" si="42"/>
        <v>1619394.2000767381</v>
      </c>
      <c r="BS32" s="291"/>
      <c r="BT32" s="291">
        <f t="shared" si="43"/>
        <v>838858.27833533252</v>
      </c>
      <c r="BU32" s="291">
        <f t="shared" si="44"/>
        <v>109490.19073265046</v>
      </c>
      <c r="BV32" s="291">
        <f t="shared" si="45"/>
        <v>0</v>
      </c>
      <c r="BW32" s="291">
        <f t="shared" si="30"/>
        <v>2567742.6691447212</v>
      </c>
      <c r="BX32" s="97">
        <f t="shared" si="31"/>
        <v>0</v>
      </c>
      <c r="BZ32" s="291">
        <f>SUMIF('1.3 Total EDUs Developed'!$B$11:$B$19,'1.1 Fee Summary By Land use'!$A32,'1.3 Total EDUs Developed'!$S$11:$S$19)</f>
        <v>0</v>
      </c>
      <c r="CA32" s="291">
        <f>SUMIF('1.3 Total EDUs Developed'!$B$40:$B$62,'1.1 Fee Summary By Land use'!$A32,'1.3 Total EDUs Developed'!$S$40:$S$62)</f>
        <v>121906.94877280001</v>
      </c>
      <c r="CB32" s="97"/>
      <c r="CC32" s="291">
        <f>SUMIF('1.3 Total EDUs Developed'!$B$70:$B$89,'1.1 Fee Summary By Land use'!$A32,'1.3 Total EDUs Developed'!$S$70:$S$89)</f>
        <v>77803.960886400004</v>
      </c>
      <c r="CD32" s="291">
        <f>SUMIF('1.3 Total EDUs Developed'!$B$97:$B$107,'1.1 Fee Summary By Land use'!$A32,'1.3 Total EDUs Developed'!$S$97:$S$107)</f>
        <v>23515.933585600003</v>
      </c>
      <c r="CE32" s="291">
        <f>SUMIF('1.3 Total EDUs Developed'!$B$115:$B$116,'1.1 Fee Summary By Land use'!$A32,'1.3 Total EDUs Developed'!$S$115:$S$116)</f>
        <v>0</v>
      </c>
      <c r="CF32" s="291">
        <f t="shared" si="32"/>
        <v>223226.84324479999</v>
      </c>
      <c r="CH32" s="291">
        <f t="shared" si="33"/>
        <v>0</v>
      </c>
      <c r="CI32" s="291">
        <f t="shared" si="34"/>
        <v>1276530.9066532382</v>
      </c>
      <c r="CJ32" s="291"/>
      <c r="CK32" s="291">
        <f t="shared" si="35"/>
        <v>620034.63834233244</v>
      </c>
      <c r="CL32" s="291">
        <f t="shared" si="36"/>
        <v>43351.627523150477</v>
      </c>
      <c r="CM32" s="291">
        <f t="shared" si="37"/>
        <v>0</v>
      </c>
      <c r="CN32" s="291">
        <f t="shared" si="38"/>
        <v>1939917.1725187211</v>
      </c>
      <c r="CO32" s="97">
        <f t="shared" si="39"/>
        <v>-627825.49662600062</v>
      </c>
    </row>
    <row r="33" spans="1:93" x14ac:dyDescent="0.2">
      <c r="A33" s="274" t="s">
        <v>245</v>
      </c>
      <c r="B33" s="274"/>
      <c r="C33" s="278" t="s">
        <v>425</v>
      </c>
      <c r="D33" s="286">
        <f>'1.2 EDU Factors'!E31</f>
        <v>0.74257425742574257</v>
      </c>
      <c r="E33" s="291">
        <f t="shared" si="0"/>
        <v>2673.033945344936</v>
      </c>
      <c r="F33" s="291">
        <f t="shared" si="0"/>
        <v>7970.3128478500294</v>
      </c>
      <c r="G33" s="325" t="str">
        <f t="shared" si="1"/>
        <v>n/a</v>
      </c>
      <c r="H33" s="291">
        <f t="shared" si="2"/>
        <v>6469.0147039696267</v>
      </c>
      <c r="I33" s="291">
        <f t="shared" si="2"/>
        <v>2793.6001009893193</v>
      </c>
      <c r="J33" s="291">
        <f t="shared" si="2"/>
        <v>5578.8491102318394</v>
      </c>
      <c r="K33" s="325" t="str">
        <f t="shared" si="3"/>
        <v>n/a</v>
      </c>
      <c r="M33" s="278" t="s">
        <v>425</v>
      </c>
      <c r="N33" s="286">
        <f>'1.2 EDU Factors'!J31</f>
        <v>3.75</v>
      </c>
      <c r="O33" s="291">
        <f t="shared" si="19"/>
        <v>2673.033945344936</v>
      </c>
      <c r="P33" s="291">
        <f t="shared" si="19"/>
        <v>7970.3128478500266</v>
      </c>
      <c r="Q33" s="325" t="str">
        <f t="shared" si="20"/>
        <v>n/a</v>
      </c>
      <c r="R33" s="291">
        <f t="shared" si="19"/>
        <v>6469.0147039696294</v>
      </c>
      <c r="S33" s="291">
        <f t="shared" si="19"/>
        <v>2793.6001009893189</v>
      </c>
      <c r="T33" s="291">
        <f t="shared" si="19"/>
        <v>5578.8491102318394</v>
      </c>
      <c r="U33" s="325" t="str">
        <f t="shared" si="21"/>
        <v>n/a</v>
      </c>
      <c r="V33" s="325"/>
      <c r="W33" s="278" t="s">
        <v>425</v>
      </c>
      <c r="X33" s="291">
        <f>'1.2 EDU Factors'!D31</f>
        <v>600</v>
      </c>
      <c r="Y33" s="291">
        <f t="shared" si="22"/>
        <v>985.533945344936</v>
      </c>
      <c r="Z33" s="291">
        <f t="shared" si="22"/>
        <v>6282.8128478500266</v>
      </c>
      <c r="AA33" s="325" t="e">
        <f t="shared" si="5"/>
        <v>#VALUE!</v>
      </c>
      <c r="AB33" s="291">
        <f t="shared" si="22"/>
        <v>4781.5147039696285</v>
      </c>
      <c r="AC33" s="291">
        <f t="shared" si="22"/>
        <v>1106.1001009893191</v>
      </c>
      <c r="AD33" s="291">
        <f t="shared" si="22"/>
        <v>3891.3491102318394</v>
      </c>
      <c r="AE33" s="325" t="str">
        <f t="shared" si="7"/>
        <v>n/a</v>
      </c>
      <c r="AG33" s="278" t="s">
        <v>425</v>
      </c>
      <c r="AH33" s="286">
        <f>'1.2 EDU Factors'!H31</f>
        <v>1</v>
      </c>
      <c r="AI33" s="291">
        <f t="shared" si="40"/>
        <v>985.533945344936</v>
      </c>
      <c r="AJ33" s="291">
        <f t="shared" si="41"/>
        <v>6282.8128478500266</v>
      </c>
      <c r="AK33" s="325" t="e">
        <f t="shared" si="23"/>
        <v>#VALUE!</v>
      </c>
      <c r="AL33" s="291">
        <f t="shared" si="10"/>
        <v>4781.5147039696285</v>
      </c>
      <c r="AM33" s="291">
        <f t="shared" si="10"/>
        <v>1106.1001009893191</v>
      </c>
      <c r="AN33" s="291">
        <f t="shared" si="10"/>
        <v>3891.3491102318394</v>
      </c>
      <c r="AO33" s="325" t="str">
        <f t="shared" si="24"/>
        <v>n/a</v>
      </c>
      <c r="AP33" s="325"/>
      <c r="AQ33" s="325"/>
      <c r="AR33" s="347"/>
      <c r="AS33" s="286">
        <f>SUMIF('1.3 Total EDUs Developed'!$B$11:$B$19,'1.1 Fee Summary By Land use'!$A33,'1.3 Total EDUs Developed'!$E$11:$E$19)</f>
        <v>0</v>
      </c>
      <c r="AT33" s="286">
        <f>SUMIF('1.3 Total EDUs Developed'!$B$40:$B$62,'1.1 Fee Summary By Land use'!$A33,'1.3 Total EDUs Developed'!$E$40:$E$62)</f>
        <v>22.889894000000002</v>
      </c>
      <c r="AV33" s="286">
        <f>SUMIF('1.3 Total EDUs Developed'!$B$70:$B$89,'1.1 Fee Summary By Land use'!$A33,'1.3 Total EDUs Developed'!$E$70:$E$89)</f>
        <v>0</v>
      </c>
      <c r="AW33" s="286">
        <f>SUMIF('1.3 Total EDUs Developed'!$B$97:$B$107,'1.1 Fee Summary By Land use'!$A33,'1.3 Total EDUs Developed'!$E$97:$E$107)</f>
        <v>0</v>
      </c>
      <c r="AX33" s="286">
        <f>SUMIF('1.3 Total EDUs Developed'!$B$115:$B$116,'1.1 Fee Summary By Land use'!$A33,'1.3 Total EDUs Developed'!$E$115:$E$116)</f>
        <v>0</v>
      </c>
      <c r="AY33" s="286">
        <f t="shared" si="25"/>
        <v>22.889894000000002</v>
      </c>
      <c r="BA33" s="291">
        <f t="shared" si="11"/>
        <v>0</v>
      </c>
      <c r="BB33" s="291">
        <f t="shared" si="12"/>
        <v>182439.61623412531</v>
      </c>
      <c r="BC33" s="291"/>
      <c r="BD33" s="291">
        <f t="shared" si="13"/>
        <v>0</v>
      </c>
      <c r="BE33" s="291">
        <f t="shared" si="14"/>
        <v>0</v>
      </c>
      <c r="BF33" s="291">
        <f t="shared" si="15"/>
        <v>0</v>
      </c>
      <c r="BG33" s="291">
        <f t="shared" si="26"/>
        <v>182439.61623412531</v>
      </c>
      <c r="BI33" s="286">
        <f>SUMIF('1.3 Total EDUs Developed'!$B$11:$B$19,'1.1 Fee Summary By Land use'!$A33,'1.3 Total EDUs Developed'!$O$11:$O$19)</f>
        <v>0</v>
      </c>
      <c r="BJ33" s="286">
        <f>SUMIF('1.3 Total EDUs Developed'!$B$40:$B$62,'1.1 Fee Summary By Land use'!$A33,'1.3 Total EDUs Developed'!$O$40:$O$62)</f>
        <v>85.8371025</v>
      </c>
      <c r="BL33" s="286">
        <f>SUMIF('1.3 Total EDUs Developed'!$B$70:$B$89,'1.1 Fee Summary By Land use'!$A33,'1.3 Total EDUs Developed'!$O$70:$O$89)</f>
        <v>0</v>
      </c>
      <c r="BM33" s="286">
        <f>SUMIF('1.3 Total EDUs Developed'!$B$97:$B$107,'1.1 Fee Summary By Land use'!$A33,'1.3 Total EDUs Developed'!$O$97:$O$107)</f>
        <v>0</v>
      </c>
      <c r="BN33" s="286">
        <f>SUMIF('1.3 Total EDUs Developed'!$B$115:$B$116,'1.1 Fee Summary By Land use'!$A33,'1.3 Total EDUs Developed'!$O$115:$O$116)</f>
        <v>0</v>
      </c>
      <c r="BO33" s="286">
        <f t="shared" si="27"/>
        <v>85.8371025</v>
      </c>
      <c r="BQ33" s="291">
        <f t="shared" si="28"/>
        <v>0</v>
      </c>
      <c r="BR33" s="291">
        <f t="shared" si="42"/>
        <v>182439.61623412522</v>
      </c>
      <c r="BS33" s="291"/>
      <c r="BT33" s="291">
        <f t="shared" si="43"/>
        <v>0</v>
      </c>
      <c r="BU33" s="291">
        <f t="shared" si="44"/>
        <v>0</v>
      </c>
      <c r="BV33" s="291">
        <f t="shared" si="45"/>
        <v>0</v>
      </c>
      <c r="BW33" s="291">
        <f t="shared" si="30"/>
        <v>182439.61623412522</v>
      </c>
      <c r="BX33" s="97">
        <f t="shared" si="31"/>
        <v>0</v>
      </c>
      <c r="BZ33" s="291">
        <f>SUMIF('1.3 Total EDUs Developed'!$B$11:$B$19,'1.1 Fee Summary By Land use'!$A33,'1.3 Total EDUs Developed'!$S$11:$S$19)</f>
        <v>0</v>
      </c>
      <c r="CA33" s="291">
        <f>SUMIF('1.3 Total EDUs Developed'!$B$40:$B$62,'1.1 Fee Summary By Land use'!$A33,'1.3 Total EDUs Developed'!$S$40:$S$62)</f>
        <v>13733.936400000001</v>
      </c>
      <c r="CB33" s="97"/>
      <c r="CC33" s="291">
        <f>SUMIF('1.3 Total EDUs Developed'!$B$70:$B$89,'1.1 Fee Summary By Land use'!$A33,'1.3 Total EDUs Developed'!$S$70:$S$89)</f>
        <v>0</v>
      </c>
      <c r="CD33" s="291">
        <f>SUMIF('1.3 Total EDUs Developed'!$B$97:$B$107,'1.1 Fee Summary By Land use'!$A33,'1.3 Total EDUs Developed'!$S$97:$S$107)</f>
        <v>0</v>
      </c>
      <c r="CE33" s="291">
        <f>SUMIF('1.3 Total EDUs Developed'!$B$115:$B$116,'1.1 Fee Summary By Land use'!$A33,'1.3 Total EDUs Developed'!$S$115:$S$116)</f>
        <v>0</v>
      </c>
      <c r="CF33" s="291">
        <f t="shared" si="32"/>
        <v>13733.936400000001</v>
      </c>
      <c r="CH33" s="291">
        <f t="shared" si="33"/>
        <v>0</v>
      </c>
      <c r="CI33" s="291">
        <f t="shared" si="34"/>
        <v>143812.92010912526</v>
      </c>
      <c r="CJ33" s="291"/>
      <c r="CK33" s="291">
        <f t="shared" si="35"/>
        <v>0</v>
      </c>
      <c r="CL33" s="291">
        <f t="shared" si="36"/>
        <v>0</v>
      </c>
      <c r="CM33" s="291">
        <f t="shared" si="37"/>
        <v>0</v>
      </c>
      <c r="CN33" s="291">
        <f t="shared" si="38"/>
        <v>143812.92010912526</v>
      </c>
      <c r="CO33" s="97">
        <f t="shared" si="39"/>
        <v>-38626.696125000046</v>
      </c>
    </row>
    <row r="34" spans="1:93" x14ac:dyDescent="0.2">
      <c r="A34" s="274" t="s">
        <v>246</v>
      </c>
      <c r="B34" s="274"/>
      <c r="C34" s="278" t="s">
        <v>425</v>
      </c>
      <c r="D34" s="286">
        <f>'1.2 EDU Factors'!E32</f>
        <v>1.6658415841584158</v>
      </c>
      <c r="E34" s="291">
        <f t="shared" si="0"/>
        <v>5996.5061507238061</v>
      </c>
      <c r="F34" s="291">
        <f t="shared" si="0"/>
        <v>17880.068488676898</v>
      </c>
      <c r="G34" s="325" t="str">
        <f t="shared" si="1"/>
        <v>n/a</v>
      </c>
      <c r="H34" s="291">
        <f t="shared" si="2"/>
        <v>14512.156319238529</v>
      </c>
      <c r="I34" s="291">
        <f t="shared" si="2"/>
        <v>6266.9762265527061</v>
      </c>
      <c r="J34" s="291">
        <f t="shared" si="2"/>
        <v>12515.218170620092</v>
      </c>
      <c r="K34" s="325" t="str">
        <f t="shared" si="3"/>
        <v>n/a</v>
      </c>
      <c r="M34" s="278" t="s">
        <v>427</v>
      </c>
      <c r="N34" s="286">
        <f>'1.2 EDU Factors'!J32</f>
        <v>0.73124999999999996</v>
      </c>
      <c r="O34" s="291">
        <f t="shared" si="19"/>
        <v>521.24161934226254</v>
      </c>
      <c r="P34" s="291">
        <f t="shared" si="19"/>
        <v>1554.2110053307551</v>
      </c>
      <c r="Q34" s="325" t="str">
        <f t="shared" si="20"/>
        <v>n/a</v>
      </c>
      <c r="R34" s="291">
        <f t="shared" si="19"/>
        <v>1261.4578672740777</v>
      </c>
      <c r="S34" s="291">
        <f t="shared" si="19"/>
        <v>544.75201969291709</v>
      </c>
      <c r="T34" s="291">
        <f t="shared" si="19"/>
        <v>1087.8755764952086</v>
      </c>
      <c r="U34" s="325" t="str">
        <f t="shared" si="21"/>
        <v>n/a</v>
      </c>
      <c r="V34" s="325"/>
      <c r="W34" s="278" t="s">
        <v>425</v>
      </c>
      <c r="X34" s="291">
        <f>'1.2 EDU Factors'!D32</f>
        <v>1346</v>
      </c>
      <c r="Y34" s="291">
        <f t="shared" si="22"/>
        <v>2210.8811507238065</v>
      </c>
      <c r="Z34" s="291">
        <f t="shared" si="22"/>
        <v>14094.443488676894</v>
      </c>
      <c r="AA34" s="325" t="e">
        <f t="shared" si="5"/>
        <v>#VALUE!</v>
      </c>
      <c r="AB34" s="291">
        <f t="shared" si="22"/>
        <v>10726.531319238535</v>
      </c>
      <c r="AC34" s="291">
        <f t="shared" si="22"/>
        <v>2481.3512265527061</v>
      </c>
      <c r="AD34" s="291">
        <f t="shared" si="22"/>
        <v>8729.5931706200936</v>
      </c>
      <c r="AE34" s="325" t="str">
        <f t="shared" si="7"/>
        <v>n/a</v>
      </c>
      <c r="AG34" s="278" t="s">
        <v>427</v>
      </c>
      <c r="AH34" s="286">
        <f>'1.2 EDU Factors'!H32</f>
        <v>11.504273504273504</v>
      </c>
      <c r="AI34" s="291">
        <f t="shared" si="40"/>
        <v>192.17911934226254</v>
      </c>
      <c r="AJ34" s="291">
        <f t="shared" si="41"/>
        <v>1225.1485053307554</v>
      </c>
      <c r="AK34" s="325" t="e">
        <f t="shared" si="23"/>
        <v>#VALUE!</v>
      </c>
      <c r="AL34" s="291">
        <f t="shared" si="10"/>
        <v>932.39536727407767</v>
      </c>
      <c r="AM34" s="291">
        <f t="shared" si="10"/>
        <v>215.68951969291723</v>
      </c>
      <c r="AN34" s="291">
        <f t="shared" si="10"/>
        <v>758.81307649520875</v>
      </c>
      <c r="AO34" s="325" t="str">
        <f t="shared" si="24"/>
        <v>n/a</v>
      </c>
      <c r="AP34" s="325"/>
      <c r="AQ34" s="325"/>
      <c r="AR34" s="347"/>
      <c r="AS34" s="286">
        <f>SUMIF('1.3 Total EDUs Developed'!$B$11:$B$19,'1.1 Fee Summary By Land use'!$A34,'1.3 Total EDUs Developed'!$E$11:$E$19)</f>
        <v>0</v>
      </c>
      <c r="AT34" s="286">
        <f>SUMIF('1.3 Total EDUs Developed'!$B$40:$B$62,'1.1 Fee Summary By Land use'!$A34,'1.3 Total EDUs Developed'!$E$40:$E$62)</f>
        <v>3.9472383999999998</v>
      </c>
      <c r="AV34" s="286">
        <f>SUMIF('1.3 Total EDUs Developed'!$B$70:$B$89,'1.1 Fee Summary By Land use'!$A34,'1.3 Total EDUs Developed'!$E$70:$E$89)</f>
        <v>0</v>
      </c>
      <c r="AW34" s="286">
        <f>SUMIF('1.3 Total EDUs Developed'!$B$97:$B$107,'1.1 Fee Summary By Land use'!$A34,'1.3 Total EDUs Developed'!$E$97:$E$107)</f>
        <v>0</v>
      </c>
      <c r="AX34" s="286">
        <f>SUMIF('1.3 Total EDUs Developed'!$B$115:$B$116,'1.1 Fee Summary By Land use'!$A34,'1.3 Total EDUs Developed'!$E$115:$E$116)</f>
        <v>0</v>
      </c>
      <c r="AY34" s="286">
        <f t="shared" si="25"/>
        <v>3.9472383999999998</v>
      </c>
      <c r="BA34" s="291">
        <f t="shared" si="11"/>
        <v>0</v>
      </c>
      <c r="BB34" s="291">
        <f t="shared" si="12"/>
        <v>70576.892933135416</v>
      </c>
      <c r="BC34" s="291"/>
      <c r="BD34" s="291">
        <f t="shared" si="13"/>
        <v>0</v>
      </c>
      <c r="BE34" s="291">
        <f t="shared" si="14"/>
        <v>0</v>
      </c>
      <c r="BF34" s="291">
        <f t="shared" si="15"/>
        <v>0</v>
      </c>
      <c r="BG34" s="291">
        <f t="shared" si="26"/>
        <v>70576.892933135416</v>
      </c>
      <c r="BI34" s="286">
        <f>SUMIF('1.3 Total EDUs Developed'!$B$11:$B$19,'1.1 Fee Summary By Land use'!$A34,'1.3 Total EDUs Developed'!$O$11:$O$19)</f>
        <v>0</v>
      </c>
      <c r="BJ34" s="286">
        <f>SUMIF('1.3 Total EDUs Developed'!$B$40:$B$62,'1.1 Fee Summary By Land use'!$A34,'1.3 Total EDUs Developed'!$O$40:$O$62)</f>
        <v>33.206143039999994</v>
      </c>
      <c r="BL34" s="286">
        <f>SUMIF('1.3 Total EDUs Developed'!$B$70:$B$89,'1.1 Fee Summary By Land use'!$A34,'1.3 Total EDUs Developed'!$O$70:$O$89)</f>
        <v>0</v>
      </c>
      <c r="BM34" s="286">
        <f>SUMIF('1.3 Total EDUs Developed'!$B$97:$B$107,'1.1 Fee Summary By Land use'!$A34,'1.3 Total EDUs Developed'!$O$97:$O$107)</f>
        <v>0</v>
      </c>
      <c r="BN34" s="286">
        <f>SUMIF('1.3 Total EDUs Developed'!$B$115:$B$116,'1.1 Fee Summary By Land use'!$A34,'1.3 Total EDUs Developed'!$O$115:$O$116)</f>
        <v>0</v>
      </c>
      <c r="BO34" s="286">
        <f t="shared" si="27"/>
        <v>33.206143039999994</v>
      </c>
      <c r="BQ34" s="291">
        <f t="shared" si="28"/>
        <v>0</v>
      </c>
      <c r="BR34" s="291">
        <f t="shared" si="42"/>
        <v>70576.892933135387</v>
      </c>
      <c r="BS34" s="291"/>
      <c r="BT34" s="291">
        <f t="shared" si="43"/>
        <v>0</v>
      </c>
      <c r="BU34" s="291">
        <f t="shared" si="44"/>
        <v>0</v>
      </c>
      <c r="BV34" s="291">
        <f t="shared" si="45"/>
        <v>0</v>
      </c>
      <c r="BW34" s="291">
        <f t="shared" si="30"/>
        <v>70576.892933135387</v>
      </c>
      <c r="BX34" s="97">
        <f t="shared" si="31"/>
        <v>0</v>
      </c>
      <c r="BZ34" s="291">
        <f>SUMIF('1.3 Total EDUs Developed'!$B$11:$B$19,'1.1 Fee Summary By Land use'!$A34,'1.3 Total EDUs Developed'!$S$11:$S$19)</f>
        <v>0</v>
      </c>
      <c r="CA34" s="291">
        <f>SUMIF('1.3 Total EDUs Developed'!$B$40:$B$62,'1.1 Fee Summary By Land use'!$A34,'1.3 Total EDUs Developed'!$S$40:$S$62)</f>
        <v>5312.9828864000001</v>
      </c>
      <c r="CB34" s="97"/>
      <c r="CC34" s="291">
        <f>SUMIF('1.3 Total EDUs Developed'!$B$70:$B$89,'1.1 Fee Summary By Land use'!$A34,'1.3 Total EDUs Developed'!$S$70:$S$89)</f>
        <v>0</v>
      </c>
      <c r="CD34" s="291">
        <f>SUMIF('1.3 Total EDUs Developed'!$B$97:$B$107,'1.1 Fee Summary By Land use'!$A34,'1.3 Total EDUs Developed'!$S$97:$S$107)</f>
        <v>0</v>
      </c>
      <c r="CE34" s="291">
        <f>SUMIF('1.3 Total EDUs Developed'!$B$115:$B$116,'1.1 Fee Summary By Land use'!$A34,'1.3 Total EDUs Developed'!$S$115:$S$116)</f>
        <v>0</v>
      </c>
      <c r="CF34" s="291">
        <f t="shared" si="32"/>
        <v>5312.9828864000001</v>
      </c>
      <c r="CH34" s="291">
        <f t="shared" si="33"/>
        <v>0</v>
      </c>
      <c r="CI34" s="291">
        <f t="shared" si="34"/>
        <v>55634.128565135397</v>
      </c>
      <c r="CJ34" s="291"/>
      <c r="CK34" s="291">
        <f t="shared" si="35"/>
        <v>0</v>
      </c>
      <c r="CL34" s="291">
        <f t="shared" si="36"/>
        <v>0</v>
      </c>
      <c r="CM34" s="291">
        <f t="shared" si="37"/>
        <v>0</v>
      </c>
      <c r="CN34" s="291">
        <f t="shared" si="38"/>
        <v>55634.128565135397</v>
      </c>
      <c r="CO34" s="97">
        <f t="shared" si="39"/>
        <v>-14942.764368000018</v>
      </c>
    </row>
    <row r="35" spans="1:93" x14ac:dyDescent="0.2">
      <c r="A35" s="274" t="s">
        <v>247</v>
      </c>
      <c r="B35" s="274"/>
      <c r="C35" s="278" t="s">
        <v>425</v>
      </c>
      <c r="D35" s="286">
        <f>'1.2 EDU Factors'!E33</f>
        <v>0.49504950495049505</v>
      </c>
      <c r="E35" s="291">
        <f t="shared" si="0"/>
        <v>1782.0226302299575</v>
      </c>
      <c r="F35" s="291">
        <f t="shared" si="0"/>
        <v>5313.5418985666865</v>
      </c>
      <c r="G35" s="325" t="str">
        <f t="shared" si="1"/>
        <v>n/a</v>
      </c>
      <c r="H35" s="291">
        <f t="shared" si="2"/>
        <v>4312.6764693130845</v>
      </c>
      <c r="I35" s="291">
        <f t="shared" si="2"/>
        <v>1862.4000673262128</v>
      </c>
      <c r="J35" s="291">
        <f t="shared" si="2"/>
        <v>3719.2327401545595</v>
      </c>
      <c r="K35" s="325" t="str">
        <f t="shared" si="3"/>
        <v>n/a</v>
      </c>
      <c r="M35" s="278" t="s">
        <v>425</v>
      </c>
      <c r="N35" s="286">
        <f>'1.2 EDU Factors'!J33</f>
        <v>2.5</v>
      </c>
      <c r="O35" s="291">
        <f t="shared" si="19"/>
        <v>1782.0226302299575</v>
      </c>
      <c r="P35" s="291">
        <f t="shared" si="19"/>
        <v>5313.5418985666838</v>
      </c>
      <c r="Q35" s="325" t="str">
        <f t="shared" si="20"/>
        <v>n/a</v>
      </c>
      <c r="R35" s="291">
        <f t="shared" si="19"/>
        <v>4312.6764693130863</v>
      </c>
      <c r="S35" s="291">
        <f t="shared" si="19"/>
        <v>1862.4000673262126</v>
      </c>
      <c r="T35" s="291">
        <f t="shared" si="19"/>
        <v>3719.2327401545595</v>
      </c>
      <c r="U35" s="325" t="str">
        <f t="shared" si="21"/>
        <v>n/a</v>
      </c>
      <c r="V35" s="325"/>
      <c r="W35" s="278" t="s">
        <v>425</v>
      </c>
      <c r="X35" s="291">
        <f>'1.2 EDU Factors'!D33</f>
        <v>400</v>
      </c>
      <c r="Y35" s="291">
        <f t="shared" si="22"/>
        <v>657.02263022995737</v>
      </c>
      <c r="Z35" s="291">
        <f t="shared" si="22"/>
        <v>4188.5418985666847</v>
      </c>
      <c r="AA35" s="325" t="e">
        <f t="shared" si="5"/>
        <v>#VALUE!</v>
      </c>
      <c r="AB35" s="291">
        <f t="shared" si="22"/>
        <v>3187.6764693130858</v>
      </c>
      <c r="AC35" s="291">
        <f t="shared" si="22"/>
        <v>737.40006732621271</v>
      </c>
      <c r="AD35" s="291">
        <f t="shared" si="22"/>
        <v>2594.2327401545599</v>
      </c>
      <c r="AE35" s="325" t="str">
        <f t="shared" si="7"/>
        <v>n/a</v>
      </c>
      <c r="AG35" s="278" t="s">
        <v>425</v>
      </c>
      <c r="AH35" s="286">
        <f>'1.2 EDU Factors'!H33</f>
        <v>1</v>
      </c>
      <c r="AI35" s="291">
        <f t="shared" si="40"/>
        <v>657.02263022995737</v>
      </c>
      <c r="AJ35" s="291">
        <f t="shared" si="41"/>
        <v>4188.5418985666847</v>
      </c>
      <c r="AK35" s="325" t="e">
        <f t="shared" si="23"/>
        <v>#VALUE!</v>
      </c>
      <c r="AL35" s="291">
        <f t="shared" si="10"/>
        <v>3187.6764693130858</v>
      </c>
      <c r="AM35" s="291">
        <f t="shared" si="10"/>
        <v>737.40006732621271</v>
      </c>
      <c r="AN35" s="291">
        <f t="shared" si="10"/>
        <v>2594.2327401545599</v>
      </c>
      <c r="AO35" s="325" t="str">
        <f t="shared" si="24"/>
        <v>n/a</v>
      </c>
      <c r="AP35" s="325"/>
      <c r="AQ35" s="325"/>
      <c r="AR35" s="347"/>
      <c r="AS35" s="286">
        <f>SUMIF('1.3 Total EDUs Developed'!$B$11:$B$19,'1.1 Fee Summary By Land use'!$A35,'1.3 Total EDUs Developed'!$E$11:$E$19)</f>
        <v>0</v>
      </c>
      <c r="AT35" s="286">
        <f>SUMIF('1.3 Total EDUs Developed'!$B$40:$B$62,'1.1 Fee Summary By Land use'!$A35,'1.3 Total EDUs Developed'!$E$40:$E$62)</f>
        <v>7.5121916000000004</v>
      </c>
      <c r="AV35" s="286">
        <f>SUMIF('1.3 Total EDUs Developed'!$B$70:$B$89,'1.1 Fee Summary By Land use'!$A35,'1.3 Total EDUs Developed'!$E$70:$E$89)</f>
        <v>5.9920850000000003</v>
      </c>
      <c r="AW35" s="286">
        <f>SUMIF('1.3 Total EDUs Developed'!$B$97:$B$107,'1.1 Fee Summary By Land use'!$A35,'1.3 Total EDUs Developed'!$E$97:$E$107)</f>
        <v>0</v>
      </c>
      <c r="AX35" s="286">
        <f>SUMIF('1.3 Total EDUs Developed'!$B$115:$B$116,'1.1 Fee Summary By Land use'!$A35,'1.3 Total EDUs Developed'!$E$115:$E$116)</f>
        <v>0</v>
      </c>
      <c r="AY35" s="286">
        <f t="shared" si="25"/>
        <v>13.504276600000001</v>
      </c>
      <c r="BA35" s="291">
        <f t="shared" si="11"/>
        <v>0</v>
      </c>
      <c r="BB35" s="291">
        <f t="shared" si="12"/>
        <v>39916.34481666072</v>
      </c>
      <c r="BC35" s="291"/>
      <c r="BD35" s="291">
        <f t="shared" si="13"/>
        <v>25841.923981623895</v>
      </c>
      <c r="BE35" s="291">
        <f t="shared" si="14"/>
        <v>0</v>
      </c>
      <c r="BF35" s="291">
        <f t="shared" si="15"/>
        <v>0</v>
      </c>
      <c r="BG35" s="291">
        <f t="shared" si="26"/>
        <v>65758.268798284611</v>
      </c>
      <c r="BI35" s="286">
        <f>SUMIF('1.3 Total EDUs Developed'!$B$11:$B$19,'1.1 Fee Summary By Land use'!$A35,'1.3 Total EDUs Developed'!$O$11:$O$19)</f>
        <v>0</v>
      </c>
      <c r="BJ35" s="286">
        <f>SUMIF('1.3 Total EDUs Developed'!$B$40:$B$62,'1.1 Fee Summary By Land use'!$A35,'1.3 Total EDUs Developed'!$O$40:$O$62)</f>
        <v>18.780479</v>
      </c>
      <c r="BL35" s="286">
        <f>SUMIF('1.3 Total EDUs Developed'!$B$70:$B$89,'1.1 Fee Summary By Land use'!$A35,'1.3 Total EDUs Developed'!$O$70:$O$89)</f>
        <v>14.9802125</v>
      </c>
      <c r="BM35" s="286">
        <f>SUMIF('1.3 Total EDUs Developed'!$B$97:$B$107,'1.1 Fee Summary By Land use'!$A35,'1.3 Total EDUs Developed'!$O$97:$O$107)</f>
        <v>0</v>
      </c>
      <c r="BN35" s="286">
        <f>SUMIF('1.3 Total EDUs Developed'!$B$115:$B$116,'1.1 Fee Summary By Land use'!$A35,'1.3 Total EDUs Developed'!$O$115:$O$116)</f>
        <v>0</v>
      </c>
      <c r="BO35" s="286">
        <f t="shared" si="27"/>
        <v>33.7606915</v>
      </c>
      <c r="BQ35" s="291">
        <f t="shared" si="28"/>
        <v>0</v>
      </c>
      <c r="BR35" s="291">
        <f t="shared" si="42"/>
        <v>39916.344816660698</v>
      </c>
      <c r="BS35" s="291"/>
      <c r="BT35" s="291">
        <f t="shared" si="43"/>
        <v>25841.923981623902</v>
      </c>
      <c r="BU35" s="291">
        <f t="shared" si="44"/>
        <v>0</v>
      </c>
      <c r="BV35" s="291">
        <f t="shared" si="45"/>
        <v>0</v>
      </c>
      <c r="BW35" s="291">
        <f t="shared" si="30"/>
        <v>65758.268798284596</v>
      </c>
      <c r="BX35" s="97">
        <f t="shared" si="31"/>
        <v>0</v>
      </c>
      <c r="BZ35" s="291">
        <f>SUMIF('1.3 Total EDUs Developed'!$B$11:$B$19,'1.1 Fee Summary By Land use'!$A35,'1.3 Total EDUs Developed'!$S$11:$S$19)</f>
        <v>0</v>
      </c>
      <c r="CA35" s="291">
        <f>SUMIF('1.3 Total EDUs Developed'!$B$40:$B$62,'1.1 Fee Summary By Land use'!$A35,'1.3 Total EDUs Developed'!$S$40:$S$62)</f>
        <v>3004.87664</v>
      </c>
      <c r="CB35" s="97"/>
      <c r="CC35" s="291">
        <f>SUMIF('1.3 Total EDUs Developed'!$B$70:$B$89,'1.1 Fee Summary By Land use'!$A35,'1.3 Total EDUs Developed'!$S$70:$S$89)</f>
        <v>2396.8340000000003</v>
      </c>
      <c r="CD35" s="291">
        <f>SUMIF('1.3 Total EDUs Developed'!$B$97:$B$107,'1.1 Fee Summary By Land use'!$A35,'1.3 Total EDUs Developed'!$S$97:$S$107)</f>
        <v>0</v>
      </c>
      <c r="CE35" s="291">
        <f>SUMIF('1.3 Total EDUs Developed'!$B$115:$B$116,'1.1 Fee Summary By Land use'!$A35,'1.3 Total EDUs Developed'!$S$115:$S$116)</f>
        <v>0</v>
      </c>
      <c r="CF35" s="291">
        <f t="shared" si="32"/>
        <v>5401.7106400000002</v>
      </c>
      <c r="CH35" s="291">
        <f t="shared" si="33"/>
        <v>0</v>
      </c>
      <c r="CI35" s="291">
        <f t="shared" si="34"/>
        <v>31465.129266660701</v>
      </c>
      <c r="CJ35" s="291"/>
      <c r="CK35" s="291">
        <f t="shared" si="35"/>
        <v>19100.828356623904</v>
      </c>
      <c r="CL35" s="291">
        <f t="shared" si="36"/>
        <v>0</v>
      </c>
      <c r="CM35" s="291">
        <f t="shared" si="37"/>
        <v>0</v>
      </c>
      <c r="CN35" s="291">
        <f t="shared" si="38"/>
        <v>50565.957623284601</v>
      </c>
      <c r="CO35" s="97">
        <f t="shared" si="39"/>
        <v>-15192.31117500001</v>
      </c>
    </row>
    <row r="36" spans="1:93" x14ac:dyDescent="0.2">
      <c r="A36" s="274" t="s">
        <v>248</v>
      </c>
      <c r="B36" s="274"/>
      <c r="C36" s="278" t="s">
        <v>425</v>
      </c>
      <c r="D36" s="286">
        <f>'1.2 EDU Factors'!E34</f>
        <v>0.52599009900990101</v>
      </c>
      <c r="E36" s="291">
        <f t="shared" si="0"/>
        <v>1893.3990446193297</v>
      </c>
      <c r="F36" s="291">
        <f t="shared" si="0"/>
        <v>5645.6382672271047</v>
      </c>
      <c r="G36" s="325" t="str">
        <f t="shared" si="1"/>
        <v>n/a</v>
      </c>
      <c r="H36" s="291">
        <f t="shared" si="2"/>
        <v>4582.218748645153</v>
      </c>
      <c r="I36" s="291">
        <f t="shared" si="2"/>
        <v>1978.8000715341011</v>
      </c>
      <c r="J36" s="291">
        <f t="shared" si="2"/>
        <v>3951.6847864142196</v>
      </c>
      <c r="K36" s="325" t="str">
        <f t="shared" si="3"/>
        <v>n/a</v>
      </c>
      <c r="M36" s="278" t="s">
        <v>425</v>
      </c>
      <c r="N36" s="286">
        <f>'1.2 EDU Factors'!J34</f>
        <v>2.65625</v>
      </c>
      <c r="O36" s="291">
        <f t="shared" si="19"/>
        <v>1893.3990446193297</v>
      </c>
      <c r="P36" s="291">
        <f t="shared" si="19"/>
        <v>5645.638267227102</v>
      </c>
      <c r="Q36" s="325" t="str">
        <f t="shared" si="20"/>
        <v>n/a</v>
      </c>
      <c r="R36" s="291">
        <f t="shared" si="19"/>
        <v>4582.2187486451539</v>
      </c>
      <c r="S36" s="291">
        <f t="shared" si="19"/>
        <v>1978.8000715341009</v>
      </c>
      <c r="T36" s="291">
        <f t="shared" si="19"/>
        <v>3951.6847864142196</v>
      </c>
      <c r="U36" s="325" t="str">
        <f t="shared" si="21"/>
        <v>n/a</v>
      </c>
      <c r="V36" s="325"/>
      <c r="W36" s="278" t="s">
        <v>425</v>
      </c>
      <c r="X36" s="291">
        <f>'1.2 EDU Factors'!D34</f>
        <v>425</v>
      </c>
      <c r="Y36" s="291">
        <f t="shared" si="22"/>
        <v>698.08654461932974</v>
      </c>
      <c r="Z36" s="291">
        <f t="shared" si="22"/>
        <v>4450.325767227102</v>
      </c>
      <c r="AA36" s="325" t="e">
        <f t="shared" si="5"/>
        <v>#VALUE!</v>
      </c>
      <c r="AB36" s="291">
        <f t="shared" si="22"/>
        <v>3386.9062486451539</v>
      </c>
      <c r="AC36" s="291">
        <f t="shared" si="22"/>
        <v>783.48757153410099</v>
      </c>
      <c r="AD36" s="291">
        <f t="shared" si="22"/>
        <v>2756.3722864142196</v>
      </c>
      <c r="AE36" s="325" t="str">
        <f t="shared" si="7"/>
        <v>n/a</v>
      </c>
      <c r="AG36" s="278" t="s">
        <v>425</v>
      </c>
      <c r="AH36" s="286">
        <f>'1.2 EDU Factors'!H34</f>
        <v>1</v>
      </c>
      <c r="AI36" s="291">
        <f t="shared" si="40"/>
        <v>698.08654461932974</v>
      </c>
      <c r="AJ36" s="291">
        <f t="shared" si="41"/>
        <v>4450.325767227102</v>
      </c>
      <c r="AK36" s="325" t="e">
        <f t="shared" si="23"/>
        <v>#VALUE!</v>
      </c>
      <c r="AL36" s="291">
        <f t="shared" si="10"/>
        <v>3386.9062486451539</v>
      </c>
      <c r="AM36" s="291">
        <f t="shared" si="10"/>
        <v>783.48757153410099</v>
      </c>
      <c r="AN36" s="291">
        <f t="shared" si="10"/>
        <v>2756.3722864142196</v>
      </c>
      <c r="AO36" s="325" t="str">
        <f t="shared" si="24"/>
        <v>n/a</v>
      </c>
      <c r="AP36" s="325"/>
      <c r="AQ36" s="325"/>
      <c r="AR36" s="347"/>
      <c r="AS36" s="286">
        <f>SUMIF('1.3 Total EDUs Developed'!$B$11:$B$19,'1.1 Fee Summary By Land use'!$A36,'1.3 Total EDUs Developed'!$E$11:$E$19)</f>
        <v>0</v>
      </c>
      <c r="AT36" s="286">
        <f>SUMIF('1.3 Total EDUs Developed'!$B$40:$B$62,'1.1 Fee Summary By Land use'!$A36,'1.3 Total EDUs Developed'!$E$40:$E$62)</f>
        <v>2.3305704</v>
      </c>
      <c r="AV36" s="286">
        <f>SUMIF('1.3 Total EDUs Developed'!$B$70:$B$89,'1.1 Fee Summary By Land use'!$A36,'1.3 Total EDUs Developed'!$E$70:$E$89)</f>
        <v>0</v>
      </c>
      <c r="AW36" s="286">
        <f>SUMIF('1.3 Total EDUs Developed'!$B$97:$B$107,'1.1 Fee Summary By Land use'!$A36,'1.3 Total EDUs Developed'!$E$97:$E$107)</f>
        <v>0</v>
      </c>
      <c r="AX36" s="286">
        <f>SUMIF('1.3 Total EDUs Developed'!$B$115:$B$116,'1.1 Fee Summary By Land use'!$A36,'1.3 Total EDUs Developed'!$E$115:$E$116)</f>
        <v>0</v>
      </c>
      <c r="AY36" s="286">
        <f t="shared" si="25"/>
        <v>2.3305704</v>
      </c>
      <c r="BA36" s="291">
        <f t="shared" si="11"/>
        <v>0</v>
      </c>
      <c r="BB36" s="291">
        <f t="shared" si="12"/>
        <v>13157.557434706781</v>
      </c>
      <c r="BC36" s="291"/>
      <c r="BD36" s="291">
        <f t="shared" si="13"/>
        <v>0</v>
      </c>
      <c r="BE36" s="291">
        <f t="shared" si="14"/>
        <v>0</v>
      </c>
      <c r="BF36" s="291">
        <f t="shared" si="15"/>
        <v>0</v>
      </c>
      <c r="BG36" s="291">
        <f t="shared" si="26"/>
        <v>13157.557434706781</v>
      </c>
      <c r="BI36" s="286">
        <f>SUMIF('1.3 Total EDUs Developed'!$B$11:$B$19,'1.1 Fee Summary By Land use'!$A36,'1.3 Total EDUs Developed'!$O$11:$O$19)</f>
        <v>0</v>
      </c>
      <c r="BJ36" s="286">
        <f>SUMIF('1.3 Total EDUs Developed'!$B$40:$B$62,'1.1 Fee Summary By Land use'!$A36,'1.3 Total EDUs Developed'!$O$40:$O$62)</f>
        <v>6.1905776250000004</v>
      </c>
      <c r="BL36" s="286">
        <f>SUMIF('1.3 Total EDUs Developed'!$B$70:$B$89,'1.1 Fee Summary By Land use'!$A36,'1.3 Total EDUs Developed'!$O$70:$O$89)</f>
        <v>0</v>
      </c>
      <c r="BM36" s="286">
        <f>SUMIF('1.3 Total EDUs Developed'!$B$97:$B$107,'1.1 Fee Summary By Land use'!$A36,'1.3 Total EDUs Developed'!$O$97:$O$107)</f>
        <v>0</v>
      </c>
      <c r="BN36" s="286">
        <f>SUMIF('1.3 Total EDUs Developed'!$B$115:$B$116,'1.1 Fee Summary By Land use'!$A36,'1.3 Total EDUs Developed'!$O$115:$O$116)</f>
        <v>0</v>
      </c>
      <c r="BO36" s="286">
        <f t="shared" si="27"/>
        <v>6.1905776250000004</v>
      </c>
      <c r="BQ36" s="291">
        <f t="shared" si="28"/>
        <v>0</v>
      </c>
      <c r="BR36" s="291">
        <f t="shared" si="42"/>
        <v>13157.557434706774</v>
      </c>
      <c r="BS36" s="291"/>
      <c r="BT36" s="291">
        <f t="shared" si="43"/>
        <v>0</v>
      </c>
      <c r="BU36" s="291">
        <f t="shared" si="44"/>
        <v>0</v>
      </c>
      <c r="BV36" s="291">
        <f t="shared" si="45"/>
        <v>0</v>
      </c>
      <c r="BW36" s="291">
        <f t="shared" si="30"/>
        <v>13157.557434706774</v>
      </c>
      <c r="BX36" s="97">
        <f t="shared" si="31"/>
        <v>0</v>
      </c>
      <c r="BZ36" s="291">
        <f>SUMIF('1.3 Total EDUs Developed'!$B$11:$B$19,'1.1 Fee Summary By Land use'!$A36,'1.3 Total EDUs Developed'!$S$11:$S$19)</f>
        <v>0</v>
      </c>
      <c r="CA36" s="291">
        <f>SUMIF('1.3 Total EDUs Developed'!$B$40:$B$62,'1.1 Fee Summary By Land use'!$A36,'1.3 Total EDUs Developed'!$S$40:$S$62)</f>
        <v>990.49242000000004</v>
      </c>
      <c r="CB36" s="97"/>
      <c r="CC36" s="291">
        <f>SUMIF('1.3 Total EDUs Developed'!$B$70:$B$89,'1.1 Fee Summary By Land use'!$A36,'1.3 Total EDUs Developed'!$S$70:$S$89)</f>
        <v>0</v>
      </c>
      <c r="CD36" s="291">
        <f>SUMIF('1.3 Total EDUs Developed'!$B$97:$B$107,'1.1 Fee Summary By Land use'!$A36,'1.3 Total EDUs Developed'!$S$97:$S$107)</f>
        <v>0</v>
      </c>
      <c r="CE36" s="291">
        <f>SUMIF('1.3 Total EDUs Developed'!$B$115:$B$116,'1.1 Fee Summary By Land use'!$A36,'1.3 Total EDUs Developed'!$S$115:$S$116)</f>
        <v>0</v>
      </c>
      <c r="CF36" s="291">
        <f t="shared" si="32"/>
        <v>990.49242000000004</v>
      </c>
      <c r="CH36" s="291">
        <f t="shared" si="33"/>
        <v>0</v>
      </c>
      <c r="CI36" s="291">
        <f t="shared" si="34"/>
        <v>10371.797503456775</v>
      </c>
      <c r="CJ36" s="291"/>
      <c r="CK36" s="291">
        <f t="shared" si="35"/>
        <v>0</v>
      </c>
      <c r="CL36" s="291">
        <f t="shared" si="36"/>
        <v>0</v>
      </c>
      <c r="CM36" s="291">
        <f t="shared" si="37"/>
        <v>0</v>
      </c>
      <c r="CN36" s="291">
        <f t="shared" si="38"/>
        <v>10371.797503456775</v>
      </c>
      <c r="CO36" s="97">
        <f t="shared" si="39"/>
        <v>-2785.759931250006</v>
      </c>
    </row>
    <row r="37" spans="1:93" x14ac:dyDescent="0.2">
      <c r="A37" s="274" t="s">
        <v>249</v>
      </c>
      <c r="B37" s="274"/>
      <c r="C37" s="278" t="s">
        <v>425</v>
      </c>
      <c r="D37" s="286">
        <f>'1.2 EDU Factors'!E35</f>
        <v>0.39603960396039606</v>
      </c>
      <c r="E37" s="291">
        <f t="shared" si="0"/>
        <v>1425.6181041839659</v>
      </c>
      <c r="F37" s="291">
        <f t="shared" si="0"/>
        <v>4250.8335188533492</v>
      </c>
      <c r="G37" s="325" t="str">
        <f t="shared" si="1"/>
        <v>n/a</v>
      </c>
      <c r="H37" s="291">
        <f t="shared" si="2"/>
        <v>3450.1411754504679</v>
      </c>
      <c r="I37" s="291">
        <f t="shared" si="2"/>
        <v>1489.9200538609703</v>
      </c>
      <c r="J37" s="291">
        <f t="shared" si="2"/>
        <v>2975.386192123648</v>
      </c>
      <c r="K37" s="325" t="str">
        <f t="shared" si="3"/>
        <v>n/a</v>
      </c>
      <c r="M37" s="278" t="s">
        <v>427</v>
      </c>
      <c r="N37" s="286">
        <f>'1.2 EDU Factors'!J35</f>
        <v>1</v>
      </c>
      <c r="O37" s="291">
        <f t="shared" si="19"/>
        <v>712.80905209198295</v>
      </c>
      <c r="P37" s="291">
        <f t="shared" si="19"/>
        <v>2125.4167594266737</v>
      </c>
      <c r="Q37" s="325" t="str">
        <f t="shared" si="20"/>
        <v>n/a</v>
      </c>
      <c r="R37" s="291">
        <f t="shared" si="19"/>
        <v>1725.0705877252344</v>
      </c>
      <c r="S37" s="291">
        <f t="shared" si="19"/>
        <v>744.96002693048501</v>
      </c>
      <c r="T37" s="291">
        <f t="shared" si="19"/>
        <v>1487.6930960618238</v>
      </c>
      <c r="U37" s="325" t="str">
        <f t="shared" si="21"/>
        <v>n/a</v>
      </c>
      <c r="V37" s="325"/>
      <c r="W37" s="278" t="s">
        <v>425</v>
      </c>
      <c r="X37" s="291">
        <f>'1.2 EDU Factors'!D35</f>
        <v>320</v>
      </c>
      <c r="Y37" s="291">
        <f t="shared" si="22"/>
        <v>525.6181041839659</v>
      </c>
      <c r="Z37" s="291">
        <f t="shared" si="22"/>
        <v>3350.8335188533474</v>
      </c>
      <c r="AA37" s="325" t="e">
        <f t="shared" si="5"/>
        <v>#VALUE!</v>
      </c>
      <c r="AB37" s="291">
        <f t="shared" si="22"/>
        <v>2550.1411754504688</v>
      </c>
      <c r="AC37" s="291">
        <f t="shared" si="22"/>
        <v>589.92005386097026</v>
      </c>
      <c r="AD37" s="291">
        <f t="shared" si="22"/>
        <v>2075.3861921236476</v>
      </c>
      <c r="AE37" s="325" t="str">
        <f t="shared" si="7"/>
        <v>n/a</v>
      </c>
      <c r="AG37" s="278" t="s">
        <v>427</v>
      </c>
      <c r="AH37" s="286">
        <f>'1.2 EDU Factors'!H35</f>
        <v>2</v>
      </c>
      <c r="AI37" s="291">
        <f t="shared" si="40"/>
        <v>262.80905209198295</v>
      </c>
      <c r="AJ37" s="291">
        <f t="shared" si="41"/>
        <v>1675.4167594266737</v>
      </c>
      <c r="AK37" s="325" t="e">
        <f t="shared" si="23"/>
        <v>#VALUE!</v>
      </c>
      <c r="AL37" s="291">
        <f t="shared" si="10"/>
        <v>1275.0705877252344</v>
      </c>
      <c r="AM37" s="291">
        <f t="shared" si="10"/>
        <v>294.96002693048513</v>
      </c>
      <c r="AN37" s="291">
        <f t="shared" si="10"/>
        <v>1037.6930960618238</v>
      </c>
      <c r="AO37" s="325" t="str">
        <f t="shared" si="24"/>
        <v>n/a</v>
      </c>
      <c r="AP37" s="325"/>
      <c r="AQ37" s="325"/>
      <c r="AR37" s="347"/>
      <c r="AS37" s="286">
        <f>SUMIF('1.3 Total EDUs Developed'!$B$11:$B$19,'1.1 Fee Summary By Land use'!$A37,'1.3 Total EDUs Developed'!$E$11:$E$19)</f>
        <v>0</v>
      </c>
      <c r="AT37" s="286">
        <f>SUMIF('1.3 Total EDUs Developed'!$B$40:$B$62,'1.1 Fee Summary By Land use'!$A37,'1.3 Total EDUs Developed'!$E$40:$E$62)</f>
        <v>70.518666199999998</v>
      </c>
      <c r="AV37" s="286">
        <f>SUMIF('1.3 Total EDUs Developed'!$B$70:$B$89,'1.1 Fee Summary By Land use'!$A37,'1.3 Total EDUs Developed'!$E$70:$E$89)</f>
        <v>15.747380400000001</v>
      </c>
      <c r="AW37" s="286">
        <f>SUMIF('1.3 Total EDUs Developed'!$B$97:$B$107,'1.1 Fee Summary By Land use'!$A37,'1.3 Total EDUs Developed'!$E$97:$E$107)</f>
        <v>39.193680999999998</v>
      </c>
      <c r="AX37" s="286">
        <f>SUMIF('1.3 Total EDUs Developed'!$B$115:$B$116,'1.1 Fee Summary By Land use'!$A37,'1.3 Total EDUs Developed'!$E$115:$E$116)</f>
        <v>0</v>
      </c>
      <c r="AY37" s="286">
        <f t="shared" si="25"/>
        <v>125.45972759999999</v>
      </c>
      <c r="BA37" s="291">
        <f t="shared" si="11"/>
        <v>0</v>
      </c>
      <c r="BB37" s="291">
        <f t="shared" si="12"/>
        <v>299763.10998779075</v>
      </c>
      <c r="BC37" s="291"/>
      <c r="BD37" s="291">
        <f t="shared" si="13"/>
        <v>54330.685523521664</v>
      </c>
      <c r="BE37" s="291">
        <f t="shared" si="14"/>
        <v>58395.451306529685</v>
      </c>
      <c r="BF37" s="291">
        <f t="shared" si="15"/>
        <v>0</v>
      </c>
      <c r="BG37" s="291">
        <f t="shared" si="26"/>
        <v>412489.24681784213</v>
      </c>
      <c r="BI37" s="286">
        <f>SUMIF('1.3 Total EDUs Developed'!$B$11:$B$19,'1.1 Fee Summary By Land use'!$A37,'1.3 Total EDUs Developed'!$O$11:$O$19)</f>
        <v>0</v>
      </c>
      <c r="BJ37" s="286">
        <f>SUMIF('1.3 Total EDUs Developed'!$B$40:$B$62,'1.1 Fee Summary By Land use'!$A37,'1.3 Total EDUs Developed'!$O$40:$O$62)</f>
        <v>141.0373324</v>
      </c>
      <c r="BL37" s="286">
        <f>SUMIF('1.3 Total EDUs Developed'!$B$70:$B$89,'1.1 Fee Summary By Land use'!$A37,'1.3 Total EDUs Developed'!$O$70:$O$89)</f>
        <v>31.494760800000002</v>
      </c>
      <c r="BM37" s="286">
        <f>SUMIF('1.3 Total EDUs Developed'!$B$97:$B$107,'1.1 Fee Summary By Land use'!$A37,'1.3 Total EDUs Developed'!$O$97:$O$107)</f>
        <v>78.387361999999996</v>
      </c>
      <c r="BN37" s="286">
        <f>SUMIF('1.3 Total EDUs Developed'!$B$115:$B$116,'1.1 Fee Summary By Land use'!$A37,'1.3 Total EDUs Developed'!$O$115:$O$116)</f>
        <v>0</v>
      </c>
      <c r="BO37" s="286">
        <f t="shared" si="27"/>
        <v>250.91945519999999</v>
      </c>
      <c r="BQ37" s="291">
        <f t="shared" si="28"/>
        <v>0</v>
      </c>
      <c r="BR37" s="291">
        <f t="shared" si="42"/>
        <v>299763.10998779058</v>
      </c>
      <c r="BS37" s="291"/>
      <c r="BT37" s="291">
        <f t="shared" si="43"/>
        <v>54330.685523521679</v>
      </c>
      <c r="BU37" s="291">
        <f t="shared" si="44"/>
        <v>58395.451306529678</v>
      </c>
      <c r="BV37" s="291">
        <f t="shared" si="45"/>
        <v>0</v>
      </c>
      <c r="BW37" s="291">
        <f t="shared" si="30"/>
        <v>412489.24681784195</v>
      </c>
      <c r="BX37" s="97">
        <f t="shared" si="31"/>
        <v>0</v>
      </c>
      <c r="BZ37" s="291">
        <f>SUMIF('1.3 Total EDUs Developed'!$B$11:$B$19,'1.1 Fee Summary By Land use'!$A37,'1.3 Total EDUs Developed'!$S$11:$S$19)</f>
        <v>0</v>
      </c>
      <c r="CA37" s="291">
        <f>SUMIF('1.3 Total EDUs Developed'!$B$40:$B$62,'1.1 Fee Summary By Land use'!$A37,'1.3 Total EDUs Developed'!$S$40:$S$62)</f>
        <v>22565.973183999999</v>
      </c>
      <c r="CB37" s="97"/>
      <c r="CC37" s="291">
        <f>SUMIF('1.3 Total EDUs Developed'!$B$70:$B$89,'1.1 Fee Summary By Land use'!$A37,'1.3 Total EDUs Developed'!$S$70:$S$89)</f>
        <v>5039.161728</v>
      </c>
      <c r="CD37" s="291">
        <f>SUMIF('1.3 Total EDUs Developed'!$B$97:$B$107,'1.1 Fee Summary By Land use'!$A37,'1.3 Total EDUs Developed'!$S$97:$S$107)</f>
        <v>12541.977919999999</v>
      </c>
      <c r="CE37" s="291">
        <f>SUMIF('1.3 Total EDUs Developed'!$B$115:$B$116,'1.1 Fee Summary By Land use'!$A37,'1.3 Total EDUs Developed'!$S$115:$S$116)</f>
        <v>0</v>
      </c>
      <c r="CF37" s="291">
        <f t="shared" si="32"/>
        <v>40147.112831999999</v>
      </c>
      <c r="CH37" s="291">
        <f t="shared" si="33"/>
        <v>0</v>
      </c>
      <c r="CI37" s="291">
        <f t="shared" si="34"/>
        <v>236296.31040779062</v>
      </c>
      <c r="CJ37" s="291"/>
      <c r="CK37" s="291">
        <f t="shared" si="35"/>
        <v>40158.043163521674</v>
      </c>
      <c r="CL37" s="291">
        <f t="shared" si="36"/>
        <v>23121.138406529684</v>
      </c>
      <c r="CM37" s="291">
        <f t="shared" si="37"/>
        <v>0</v>
      </c>
      <c r="CN37" s="291">
        <f t="shared" si="38"/>
        <v>299575.49197784194</v>
      </c>
      <c r="CO37" s="97">
        <f t="shared" si="39"/>
        <v>-112913.75484000018</v>
      </c>
    </row>
    <row r="38" spans="1:93" x14ac:dyDescent="0.2">
      <c r="A38" s="274" t="s">
        <v>234</v>
      </c>
      <c r="B38" s="274"/>
      <c r="C38" s="278" t="s">
        <v>425</v>
      </c>
      <c r="D38" s="286">
        <f>'1.2 EDU Factors'!E36</f>
        <v>0.39603960396039606</v>
      </c>
      <c r="E38" s="291">
        <f t="shared" si="0"/>
        <v>1425.6181041839659</v>
      </c>
      <c r="F38" s="291">
        <f t="shared" si="0"/>
        <v>4250.8335188533492</v>
      </c>
      <c r="G38" s="325" t="str">
        <f t="shared" si="1"/>
        <v>n/a</v>
      </c>
      <c r="H38" s="291">
        <f t="shared" si="2"/>
        <v>3450.1411754504679</v>
      </c>
      <c r="I38" s="291">
        <f t="shared" si="2"/>
        <v>1489.9200538609703</v>
      </c>
      <c r="J38" s="291">
        <f t="shared" si="2"/>
        <v>2975.386192123648</v>
      </c>
      <c r="K38" s="325" t="str">
        <f t="shared" si="3"/>
        <v>n/a</v>
      </c>
      <c r="M38" s="278" t="s">
        <v>427</v>
      </c>
      <c r="N38" s="286">
        <f>'1.2 EDU Factors'!J36</f>
        <v>1</v>
      </c>
      <c r="O38" s="291">
        <f t="shared" si="19"/>
        <v>712.80905209198295</v>
      </c>
      <c r="P38" s="291">
        <f t="shared" si="19"/>
        <v>2125.4167594266737</v>
      </c>
      <c r="Q38" s="325" t="str">
        <f t="shared" si="20"/>
        <v>n/a</v>
      </c>
      <c r="R38" s="291">
        <f t="shared" si="19"/>
        <v>1725.0705877252344</v>
      </c>
      <c r="S38" s="291">
        <f t="shared" si="19"/>
        <v>744.96002693048501</v>
      </c>
      <c r="T38" s="291">
        <f t="shared" si="19"/>
        <v>1487.6930960618238</v>
      </c>
      <c r="U38" s="325" t="str">
        <f t="shared" si="21"/>
        <v>n/a</v>
      </c>
      <c r="V38" s="325"/>
      <c r="W38" s="278" t="s">
        <v>425</v>
      </c>
      <c r="X38" s="291">
        <f>'1.2 EDU Factors'!D36</f>
        <v>320</v>
      </c>
      <c r="Y38" s="291">
        <f t="shared" si="22"/>
        <v>525.6181041839659</v>
      </c>
      <c r="Z38" s="291">
        <f t="shared" si="22"/>
        <v>3350.8335188533474</v>
      </c>
      <c r="AA38" s="325" t="e">
        <f t="shared" si="5"/>
        <v>#VALUE!</v>
      </c>
      <c r="AB38" s="291">
        <f t="shared" si="22"/>
        <v>2550.1411754504688</v>
      </c>
      <c r="AC38" s="291">
        <f t="shared" si="22"/>
        <v>589.92005386097026</v>
      </c>
      <c r="AD38" s="291">
        <f t="shared" si="22"/>
        <v>2075.3861921236476</v>
      </c>
      <c r="AE38" s="325" t="str">
        <f t="shared" si="7"/>
        <v>n/a</v>
      </c>
      <c r="AG38" s="278" t="s">
        <v>427</v>
      </c>
      <c r="AH38" s="286">
        <f>'1.2 EDU Factors'!H36</f>
        <v>2</v>
      </c>
      <c r="AI38" s="291">
        <f t="shared" si="40"/>
        <v>262.80905209198295</v>
      </c>
      <c r="AJ38" s="291">
        <f t="shared" si="41"/>
        <v>1675.4167594266737</v>
      </c>
      <c r="AK38" s="325" t="e">
        <f t="shared" si="23"/>
        <v>#VALUE!</v>
      </c>
      <c r="AL38" s="291">
        <f t="shared" si="10"/>
        <v>1275.0705877252344</v>
      </c>
      <c r="AM38" s="291">
        <f t="shared" si="10"/>
        <v>294.96002693048513</v>
      </c>
      <c r="AN38" s="291">
        <f t="shared" si="10"/>
        <v>1037.6930960618238</v>
      </c>
      <c r="AO38" s="325" t="str">
        <f t="shared" si="24"/>
        <v>n/a</v>
      </c>
      <c r="AP38" s="325"/>
      <c r="AQ38" s="325"/>
      <c r="AR38" s="347"/>
      <c r="AS38" s="286">
        <f>SUMIF('1.3 Total EDUs Developed'!$B$11:$B$19,'1.1 Fee Summary By Land use'!$A38,'1.3 Total EDUs Developed'!$E$11:$E$19)</f>
        <v>6.7649600000000003</v>
      </c>
      <c r="AT38" s="286">
        <f>SUMIF('1.3 Total EDUs Developed'!$B$40:$B$62,'1.1 Fee Summary By Land use'!$A38,'1.3 Total EDUs Developed'!$E$40:$E$62)</f>
        <v>127.986069</v>
      </c>
      <c r="AV38" s="286">
        <f>SUMIF('1.3 Total EDUs Developed'!$B$70:$B$89,'1.1 Fee Summary By Land use'!$A38,'1.3 Total EDUs Developed'!$E$70:$E$89)</f>
        <v>524.78247399999998</v>
      </c>
      <c r="AW38" s="286">
        <f>SUMIF('1.3 Total EDUs Developed'!$B$97:$B$107,'1.1 Fee Summary By Land use'!$A38,'1.3 Total EDUs Developed'!$E$97:$E$107)</f>
        <v>0</v>
      </c>
      <c r="AX38" s="286">
        <f>SUMIF('1.3 Total EDUs Developed'!$B$115:$B$116,'1.1 Fee Summary By Land use'!$A38,'1.3 Total EDUs Developed'!$E$115:$E$116)</f>
        <v>0</v>
      </c>
      <c r="AY38" s="286">
        <f t="shared" si="25"/>
        <v>659.533503</v>
      </c>
      <c r="BA38" s="291">
        <f t="shared" si="11"/>
        <v>9644.2494500803623</v>
      </c>
      <c r="BB38" s="291">
        <f t="shared" si="12"/>
        <v>544047.47205147753</v>
      </c>
      <c r="BC38" s="291"/>
      <c r="BD38" s="291">
        <f t="shared" si="13"/>
        <v>1810573.6217021646</v>
      </c>
      <c r="BE38" s="291">
        <f t="shared" si="14"/>
        <v>0</v>
      </c>
      <c r="BF38" s="291">
        <f t="shared" si="15"/>
        <v>0</v>
      </c>
      <c r="BG38" s="291">
        <f t="shared" si="26"/>
        <v>2364265.3432037225</v>
      </c>
      <c r="BI38" s="286">
        <f>SUMIF('1.3 Total EDUs Developed'!$B$11:$B$19,'1.1 Fee Summary By Land use'!$A38,'1.3 Total EDUs Developed'!$O$11:$O$19)</f>
        <v>13.529920000000001</v>
      </c>
      <c r="BJ38" s="286">
        <f>SUMIF('1.3 Total EDUs Developed'!$B$40:$B$62,'1.1 Fee Summary By Land use'!$A38,'1.3 Total EDUs Developed'!$O$40:$O$62)</f>
        <v>255.972138</v>
      </c>
      <c r="BL38" s="286">
        <f>SUMIF('1.3 Total EDUs Developed'!$B$70:$B$89,'1.1 Fee Summary By Land use'!$A38,'1.3 Total EDUs Developed'!$O$70:$O$89)</f>
        <v>1049.564948</v>
      </c>
      <c r="BM38" s="286">
        <f>SUMIF('1.3 Total EDUs Developed'!$B$97:$B$107,'1.1 Fee Summary By Land use'!$A38,'1.3 Total EDUs Developed'!$O$97:$O$107)</f>
        <v>0</v>
      </c>
      <c r="BN38" s="286">
        <f>SUMIF('1.3 Total EDUs Developed'!$B$115:$B$116,'1.1 Fee Summary By Land use'!$A38,'1.3 Total EDUs Developed'!$O$115:$O$116)</f>
        <v>0</v>
      </c>
      <c r="BO38" s="286">
        <f t="shared" si="27"/>
        <v>1319.067006</v>
      </c>
      <c r="BQ38" s="291">
        <f t="shared" si="28"/>
        <v>9644.2494500803623</v>
      </c>
      <c r="BR38" s="291">
        <f t="shared" si="42"/>
        <v>544047.47205147729</v>
      </c>
      <c r="BS38" s="291"/>
      <c r="BT38" s="291">
        <f t="shared" si="43"/>
        <v>1810573.6217021651</v>
      </c>
      <c r="BU38" s="291">
        <f t="shared" si="44"/>
        <v>0</v>
      </c>
      <c r="BV38" s="291">
        <f t="shared" si="45"/>
        <v>0</v>
      </c>
      <c r="BW38" s="291">
        <f t="shared" si="30"/>
        <v>2364265.3432037225</v>
      </c>
      <c r="BX38" s="97">
        <f t="shared" si="31"/>
        <v>0</v>
      </c>
      <c r="BZ38" s="291">
        <f>SUMIF('1.3 Total EDUs Developed'!$B$11:$B$19,'1.1 Fee Summary By Land use'!$A38,'1.3 Total EDUs Developed'!$S$11:$S$19)</f>
        <v>2164.7872000000002</v>
      </c>
      <c r="CA38" s="291">
        <f>SUMIF('1.3 Total EDUs Developed'!$B$40:$B$62,'1.1 Fee Summary By Land use'!$A38,'1.3 Total EDUs Developed'!$S$40:$S$62)</f>
        <v>40955.542079999999</v>
      </c>
      <c r="CB38" s="97"/>
      <c r="CC38" s="291">
        <f>SUMIF('1.3 Total EDUs Developed'!$B$70:$B$89,'1.1 Fee Summary By Land use'!$A38,'1.3 Total EDUs Developed'!$S$70:$S$89)</f>
        <v>167930.39168</v>
      </c>
      <c r="CD38" s="291">
        <f>SUMIF('1.3 Total EDUs Developed'!$B$97:$B$107,'1.1 Fee Summary By Land use'!$A38,'1.3 Total EDUs Developed'!$S$97:$S$107)</f>
        <v>0</v>
      </c>
      <c r="CE38" s="291">
        <f>SUMIF('1.3 Total EDUs Developed'!$B$115:$B$116,'1.1 Fee Summary By Land use'!$A38,'1.3 Total EDUs Developed'!$S$115:$S$116)</f>
        <v>0</v>
      </c>
      <c r="CF38" s="291">
        <f t="shared" si="32"/>
        <v>211050.72096000001</v>
      </c>
      <c r="CH38" s="291">
        <f t="shared" si="33"/>
        <v>3555.7854500803624</v>
      </c>
      <c r="CI38" s="291">
        <f t="shared" si="34"/>
        <v>428860.00995147735</v>
      </c>
      <c r="CJ38" s="291"/>
      <c r="CK38" s="291">
        <f t="shared" si="35"/>
        <v>1338269.3951021649</v>
      </c>
      <c r="CL38" s="291">
        <f t="shared" si="36"/>
        <v>0</v>
      </c>
      <c r="CM38" s="291">
        <f t="shared" si="37"/>
        <v>0</v>
      </c>
      <c r="CN38" s="291">
        <f t="shared" si="38"/>
        <v>1770685.1905037225</v>
      </c>
      <c r="CO38" s="97">
        <f t="shared" si="39"/>
        <v>-593580.15269999998</v>
      </c>
    </row>
    <row r="39" spans="1:93" x14ac:dyDescent="0.2">
      <c r="AR39" s="347"/>
      <c r="AS39" s="5"/>
      <c r="AT39" s="5"/>
      <c r="AU39" s="5"/>
      <c r="AV39" s="5"/>
      <c r="AW39" s="5"/>
      <c r="AX39" s="5"/>
      <c r="AY39" s="5"/>
      <c r="BA39" s="244"/>
      <c r="BB39" s="244"/>
      <c r="BC39" s="244"/>
      <c r="BD39" s="244"/>
      <c r="BE39" s="244"/>
      <c r="BF39" s="244"/>
      <c r="BG39" s="244"/>
      <c r="BI39" s="5"/>
      <c r="BJ39" s="5"/>
      <c r="BK39" s="5"/>
      <c r="BL39" s="5"/>
      <c r="BM39" s="5"/>
      <c r="BN39" s="5"/>
      <c r="BO39" s="5"/>
      <c r="BQ39" s="244"/>
      <c r="BR39" s="244"/>
      <c r="BS39" s="244"/>
      <c r="BT39" s="244"/>
      <c r="BU39" s="244"/>
      <c r="BV39" s="244"/>
      <c r="BW39" s="244"/>
      <c r="BZ39" s="244"/>
      <c r="CA39" s="244"/>
      <c r="CB39" s="244"/>
      <c r="CC39" s="244"/>
      <c r="CD39" s="244"/>
      <c r="CE39" s="244"/>
      <c r="CF39" s="244"/>
      <c r="CH39" s="244"/>
      <c r="CI39" s="244"/>
      <c r="CJ39" s="244"/>
      <c r="CK39" s="244"/>
      <c r="CL39" s="244"/>
      <c r="CM39" s="244"/>
      <c r="CN39" s="244"/>
    </row>
    <row r="40" spans="1:93" x14ac:dyDescent="0.2">
      <c r="AR40" s="347"/>
      <c r="BA40" s="97"/>
      <c r="BB40" s="97"/>
      <c r="BC40" s="97"/>
      <c r="BD40" s="97"/>
      <c r="BE40" s="97"/>
      <c r="BF40" s="97"/>
      <c r="BG40" s="97"/>
      <c r="BQ40" s="97"/>
      <c r="BR40" s="97"/>
      <c r="BS40" s="97"/>
      <c r="BT40" s="97"/>
      <c r="BU40" s="97"/>
      <c r="BV40" s="97"/>
      <c r="BW40" s="97"/>
      <c r="BZ40" s="97"/>
      <c r="CA40" s="97"/>
      <c r="CB40" s="97"/>
      <c r="CC40" s="97"/>
      <c r="CD40" s="97"/>
      <c r="CE40" s="97"/>
      <c r="CF40" s="97"/>
      <c r="CH40" s="97"/>
      <c r="CI40" s="97"/>
      <c r="CJ40" s="97"/>
      <c r="CK40" s="97"/>
      <c r="CL40" s="97"/>
      <c r="CM40" s="97"/>
      <c r="CN40" s="97"/>
    </row>
    <row r="41" spans="1:93" x14ac:dyDescent="0.2">
      <c r="AR41" s="347"/>
      <c r="AS41" s="286">
        <f>SUM(AS13:AS39)</f>
        <v>497.23128499999996</v>
      </c>
      <c r="AT41" s="286">
        <f t="shared" ref="AT41:AY41" si="46">SUM(AT13:AT39)</f>
        <v>6202.418192799998</v>
      </c>
      <c r="AU41">
        <f t="shared" si="46"/>
        <v>0</v>
      </c>
      <c r="AV41" s="286">
        <f t="shared" si="46"/>
        <v>4799.8985726000001</v>
      </c>
      <c r="AW41" s="286">
        <f t="shared" si="46"/>
        <v>1549.8470128000001</v>
      </c>
      <c r="AX41" s="286">
        <f t="shared" si="46"/>
        <v>332.95</v>
      </c>
      <c r="AY41" s="286">
        <f t="shared" si="46"/>
        <v>13382.345063199999</v>
      </c>
      <c r="BA41" s="291">
        <f>SUM(BA13:BA39)</f>
        <v>3113237.9081014022</v>
      </c>
      <c r="BB41" s="291">
        <f t="shared" ref="BB41:BG41" si="47">SUM(BB13:BB39)</f>
        <v>27795264.808644213</v>
      </c>
      <c r="BC41" s="342">
        <f t="shared" si="47"/>
        <v>0</v>
      </c>
      <c r="BD41" s="291">
        <f t="shared" si="47"/>
        <v>42800113.611553758</v>
      </c>
      <c r="BE41" s="291">
        <f t="shared" si="47"/>
        <v>4068019.5762639428</v>
      </c>
      <c r="BF41" s="291">
        <f t="shared" si="47"/>
        <v>2470189.4197905893</v>
      </c>
      <c r="BG41" s="291">
        <f t="shared" si="47"/>
        <v>80246825.324353904</v>
      </c>
      <c r="BI41" s="286">
        <f>SUM(BI13:BI39)</f>
        <v>4367.5622510187504</v>
      </c>
      <c r="BJ41" s="286">
        <f t="shared" ref="BJ41:BO41" si="48">SUM(BJ13:BJ39)</f>
        <v>13077.559817558749</v>
      </c>
      <c r="BK41">
        <f t="shared" si="48"/>
        <v>0</v>
      </c>
      <c r="BL41" s="286">
        <f t="shared" si="48"/>
        <v>24810.644802652492</v>
      </c>
      <c r="BM41" s="286">
        <f t="shared" si="48"/>
        <v>5460.7219571575006</v>
      </c>
      <c r="BN41" s="286">
        <f t="shared" si="48"/>
        <v>1660.4159999999999</v>
      </c>
      <c r="BO41" s="286">
        <f t="shared" si="48"/>
        <v>49376.904828387509</v>
      </c>
      <c r="BQ41" s="291">
        <f>SUM(BQ13:BQ39)</f>
        <v>3113237.9081014022</v>
      </c>
      <c r="BR41" s="291">
        <f t="shared" ref="BR41:BW41" si="49">SUM(BR13:BR39)</f>
        <v>27795264.808644198</v>
      </c>
      <c r="BS41" s="342">
        <f t="shared" si="49"/>
        <v>0</v>
      </c>
      <c r="BT41" s="291">
        <f t="shared" si="49"/>
        <v>42800113.611553773</v>
      </c>
      <c r="BU41" s="291">
        <f t="shared" si="49"/>
        <v>4068019.5762639428</v>
      </c>
      <c r="BV41" s="291">
        <f t="shared" si="49"/>
        <v>2470189.4197905893</v>
      </c>
      <c r="BW41" s="291">
        <f t="shared" si="49"/>
        <v>80246825.324353904</v>
      </c>
      <c r="BZ41" s="291">
        <f>SUM(BZ13:BZ39)</f>
        <v>698809.96016300004</v>
      </c>
      <c r="CA41" s="291">
        <f t="shared" ref="CA41:CF41" si="50">SUM(CA13:CA39)</f>
        <v>2092409.5708093999</v>
      </c>
      <c r="CB41" s="97">
        <f t="shared" si="50"/>
        <v>0</v>
      </c>
      <c r="CC41" s="291">
        <f t="shared" si="50"/>
        <v>3969703.1684244</v>
      </c>
      <c r="CD41" s="291">
        <f t="shared" si="50"/>
        <v>873715.51314519986</v>
      </c>
      <c r="CE41" s="291">
        <f t="shared" si="50"/>
        <v>265666.56</v>
      </c>
      <c r="CF41" s="291">
        <f t="shared" si="50"/>
        <v>7900304.7725419998</v>
      </c>
      <c r="CH41" s="291">
        <f>SUM(CH13:CH39)</f>
        <v>1147834.8951429653</v>
      </c>
      <c r="CI41" s="291">
        <f t="shared" ref="CI41:CN41" si="51">SUM(CI13:CI39)</f>
        <v>21910362.89074276</v>
      </c>
      <c r="CJ41" s="342">
        <f t="shared" si="51"/>
        <v>0</v>
      </c>
      <c r="CK41" s="291">
        <f t="shared" si="51"/>
        <v>31635323.450360157</v>
      </c>
      <c r="CL41" s="291">
        <f t="shared" si="51"/>
        <v>1610694.6955430678</v>
      </c>
      <c r="CM41" s="291">
        <f t="shared" si="51"/>
        <v>1723002.2197905893</v>
      </c>
      <c r="CN41" s="291">
        <f t="shared" si="51"/>
        <v>58027218.151579536</v>
      </c>
    </row>
    <row r="42" spans="1:93" x14ac:dyDescent="0.2">
      <c r="A42" s="224" t="s">
        <v>11</v>
      </c>
    </row>
    <row r="44" spans="1:93" x14ac:dyDescent="0.2">
      <c r="A44" s="171"/>
    </row>
  </sheetData>
  <mergeCells count="4">
    <mergeCell ref="E8:K8"/>
    <mergeCell ref="O8:U8"/>
    <mergeCell ref="Y8:AE8"/>
    <mergeCell ref="AI8:AO8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7" workbookViewId="0">
      <selection activeCell="D20" sqref="D20"/>
    </sheetView>
  </sheetViews>
  <sheetFormatPr defaultRowHeight="12.75" x14ac:dyDescent="0.2"/>
  <cols>
    <col min="4" max="4" width="12.42578125" customWidth="1"/>
    <col min="6" max="6" width="7.7109375" customWidth="1"/>
    <col min="9" max="9" width="11.28515625" customWidth="1"/>
    <col min="10" max="10" width="16.140625" bestFit="1" customWidth="1"/>
  </cols>
  <sheetData>
    <row r="1" spans="1:11" x14ac:dyDescent="0.2">
      <c r="A1" s="171" t="s">
        <v>443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v9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41291</v>
      </c>
      <c r="K3" s="171"/>
    </row>
    <row r="4" spans="1:11" x14ac:dyDescent="0.2">
      <c r="A4" s="171" t="s">
        <v>436</v>
      </c>
    </row>
    <row r="9" spans="1:11" ht="56.45" customHeight="1" x14ac:dyDescent="0.2">
      <c r="A9" s="302" t="s">
        <v>422</v>
      </c>
      <c r="B9" s="274"/>
      <c r="C9" s="302" t="s">
        <v>428</v>
      </c>
      <c r="D9" s="302" t="s">
        <v>452</v>
      </c>
      <c r="E9" s="302" t="s">
        <v>426</v>
      </c>
      <c r="G9" s="302" t="s">
        <v>428</v>
      </c>
      <c r="H9" s="302" t="s">
        <v>429</v>
      </c>
      <c r="I9" s="302" t="s">
        <v>453</v>
      </c>
      <c r="J9" s="302" t="s">
        <v>430</v>
      </c>
    </row>
    <row r="10" spans="1:11" x14ac:dyDescent="0.2">
      <c r="A10" s="299"/>
      <c r="B10" s="274"/>
      <c r="C10" s="299"/>
      <c r="D10" s="299"/>
      <c r="E10" s="299"/>
      <c r="F10" s="199"/>
      <c r="G10" s="299"/>
      <c r="H10" s="299"/>
      <c r="I10" s="299"/>
      <c r="J10" s="299"/>
      <c r="K10" s="199"/>
    </row>
    <row r="11" spans="1:11" x14ac:dyDescent="0.2">
      <c r="A11" s="299"/>
      <c r="B11" s="274"/>
      <c r="C11" s="299"/>
      <c r="D11" s="299"/>
      <c r="E11" s="299"/>
      <c r="F11" s="199"/>
      <c r="G11" s="299"/>
      <c r="H11" s="299"/>
      <c r="I11" s="299"/>
      <c r="J11" s="299"/>
      <c r="K11" s="199"/>
    </row>
    <row r="12" spans="1:11" x14ac:dyDescent="0.2">
      <c r="A12" s="274" t="s">
        <v>236</v>
      </c>
      <c r="B12" s="274"/>
      <c r="C12" s="278" t="s">
        <v>425</v>
      </c>
      <c r="D12" s="286">
        <v>0</v>
      </c>
      <c r="E12" s="286">
        <f t="shared" ref="E12:E36" si="0">D12/$D$18</f>
        <v>0</v>
      </c>
      <c r="G12" s="278" t="s">
        <v>425</v>
      </c>
      <c r="H12" s="288"/>
      <c r="I12" s="275">
        <f>D12</f>
        <v>0</v>
      </c>
      <c r="J12" s="286">
        <f t="shared" ref="J12:J36" si="1">I12/$I$18</f>
        <v>0</v>
      </c>
    </row>
    <row r="13" spans="1:11" x14ac:dyDescent="0.2">
      <c r="A13" s="274" t="s">
        <v>252</v>
      </c>
      <c r="B13" s="274"/>
      <c r="C13" s="278" t="s">
        <v>425</v>
      </c>
      <c r="D13" s="291">
        <v>1200</v>
      </c>
      <c r="E13" s="286">
        <f t="shared" si="0"/>
        <v>1.4851485148514851</v>
      </c>
      <c r="G13" s="278" t="s">
        <v>425</v>
      </c>
      <c r="H13" s="288">
        <v>1</v>
      </c>
      <c r="I13" s="275">
        <f>D13</f>
        <v>1200</v>
      </c>
      <c r="J13" s="286">
        <f t="shared" si="1"/>
        <v>7.5</v>
      </c>
    </row>
    <row r="14" spans="1:11" x14ac:dyDescent="0.2">
      <c r="A14" s="274" t="s">
        <v>226</v>
      </c>
      <c r="B14" s="274"/>
      <c r="C14" s="278" t="s">
        <v>425</v>
      </c>
      <c r="D14" s="291">
        <v>2473</v>
      </c>
      <c r="E14" s="286">
        <f t="shared" si="0"/>
        <v>3.0606435643564356</v>
      </c>
      <c r="G14" s="278" t="s">
        <v>425</v>
      </c>
      <c r="H14" s="288">
        <v>1</v>
      </c>
      <c r="I14" s="275">
        <f>D14</f>
        <v>2473</v>
      </c>
      <c r="J14" s="286">
        <f t="shared" si="1"/>
        <v>15.456250000000001</v>
      </c>
    </row>
    <row r="15" spans="1:11" x14ac:dyDescent="0.2">
      <c r="A15" s="274" t="s">
        <v>227</v>
      </c>
      <c r="B15" s="274"/>
      <c r="C15" s="278" t="s">
        <v>425</v>
      </c>
      <c r="D15" s="291">
        <v>750</v>
      </c>
      <c r="E15" s="286">
        <f t="shared" si="0"/>
        <v>0.92821782178217827</v>
      </c>
      <c r="G15" s="278" t="s">
        <v>425</v>
      </c>
      <c r="H15" s="288">
        <v>1</v>
      </c>
      <c r="I15" s="275">
        <f>D15</f>
        <v>750</v>
      </c>
      <c r="J15" s="286">
        <f t="shared" si="1"/>
        <v>4.6875</v>
      </c>
    </row>
    <row r="16" spans="1:11" x14ac:dyDescent="0.2">
      <c r="A16" s="274" t="s">
        <v>228</v>
      </c>
      <c r="B16" s="274"/>
      <c r="C16" s="278" t="s">
        <v>425</v>
      </c>
      <c r="D16" s="291">
        <v>2337</v>
      </c>
      <c r="E16" s="286">
        <f t="shared" si="0"/>
        <v>2.8923267326732671</v>
      </c>
      <c r="G16" s="278" t="s">
        <v>427</v>
      </c>
      <c r="H16" s="288">
        <f>D16/I16</f>
        <v>19.974358974358974</v>
      </c>
      <c r="I16" s="275">
        <v>117</v>
      </c>
      <c r="J16" s="286">
        <f t="shared" si="1"/>
        <v>0.73124999999999996</v>
      </c>
    </row>
    <row r="17" spans="1:10" x14ac:dyDescent="0.2">
      <c r="A17" s="274" t="s">
        <v>237</v>
      </c>
      <c r="B17" s="274"/>
      <c r="C17" s="278" t="s">
        <v>425</v>
      </c>
      <c r="D17" s="291">
        <v>1000</v>
      </c>
      <c r="E17" s="286">
        <f t="shared" si="0"/>
        <v>1.2376237623762376</v>
      </c>
      <c r="G17" s="278" t="s">
        <v>425</v>
      </c>
      <c r="H17" s="288">
        <v>1</v>
      </c>
      <c r="I17" s="275">
        <f>D17</f>
        <v>1000</v>
      </c>
      <c r="J17" s="286">
        <f t="shared" si="1"/>
        <v>6.25</v>
      </c>
    </row>
    <row r="18" spans="1:10" x14ac:dyDescent="0.2">
      <c r="A18" s="284" t="s">
        <v>229</v>
      </c>
      <c r="B18" s="284"/>
      <c r="C18" s="287" t="s">
        <v>425</v>
      </c>
      <c r="D18" s="301">
        <v>808</v>
      </c>
      <c r="E18" s="285">
        <f t="shared" si="0"/>
        <v>1</v>
      </c>
      <c r="G18" s="287" t="s">
        <v>427</v>
      </c>
      <c r="H18" s="289">
        <f>D18/I18</f>
        <v>5.05</v>
      </c>
      <c r="I18" s="283">
        <v>160</v>
      </c>
      <c r="J18" s="285">
        <f t="shared" si="1"/>
        <v>1</v>
      </c>
    </row>
    <row r="19" spans="1:10" x14ac:dyDescent="0.2">
      <c r="A19" s="274" t="s">
        <v>230</v>
      </c>
      <c r="B19" s="274"/>
      <c r="C19" s="278" t="s">
        <v>425</v>
      </c>
      <c r="D19" s="291">
        <v>1000</v>
      </c>
      <c r="E19" s="286">
        <f t="shared" si="0"/>
        <v>1.2376237623762376</v>
      </c>
      <c r="G19" s="278" t="s">
        <v>425</v>
      </c>
      <c r="H19" s="288">
        <v>1</v>
      </c>
      <c r="I19" s="275">
        <f>D19</f>
        <v>1000</v>
      </c>
      <c r="J19" s="286">
        <f t="shared" si="1"/>
        <v>6.25</v>
      </c>
    </row>
    <row r="20" spans="1:10" x14ac:dyDescent="0.2">
      <c r="A20" s="274" t="s">
        <v>231</v>
      </c>
      <c r="B20" s="274"/>
      <c r="C20" s="278" t="s">
        <v>425</v>
      </c>
      <c r="D20" s="291">
        <v>1346</v>
      </c>
      <c r="E20" s="286">
        <f t="shared" si="0"/>
        <v>1.6658415841584158</v>
      </c>
      <c r="G20" s="278" t="s">
        <v>427</v>
      </c>
      <c r="H20" s="288">
        <f>D20/I20</f>
        <v>11.504273504273504</v>
      </c>
      <c r="I20" s="275">
        <v>117</v>
      </c>
      <c r="J20" s="286">
        <f t="shared" si="1"/>
        <v>0.73124999999999996</v>
      </c>
    </row>
    <row r="21" spans="1:10" x14ac:dyDescent="0.2">
      <c r="A21" s="274" t="s">
        <v>232</v>
      </c>
      <c r="B21" s="274"/>
      <c r="C21" s="278" t="s">
        <v>425</v>
      </c>
      <c r="D21" s="291">
        <v>1120</v>
      </c>
      <c r="E21" s="286">
        <f t="shared" si="0"/>
        <v>1.386138613861386</v>
      </c>
      <c r="G21" s="278" t="s">
        <v>425</v>
      </c>
      <c r="H21" s="288">
        <v>1</v>
      </c>
      <c r="I21" s="275">
        <f t="shared" ref="I21:I29" si="2">D21</f>
        <v>1120</v>
      </c>
      <c r="J21" s="286">
        <f t="shared" si="1"/>
        <v>7</v>
      </c>
    </row>
    <row r="22" spans="1:10" x14ac:dyDescent="0.2">
      <c r="A22" s="274" t="s">
        <v>238</v>
      </c>
      <c r="B22" s="274"/>
      <c r="C22" s="278" t="s">
        <v>425</v>
      </c>
      <c r="D22" s="291">
        <v>0</v>
      </c>
      <c r="E22" s="286">
        <f t="shared" si="0"/>
        <v>0</v>
      </c>
      <c r="G22" s="278" t="s">
        <v>425</v>
      </c>
      <c r="H22" s="288">
        <v>1</v>
      </c>
      <c r="I22" s="275">
        <f t="shared" si="2"/>
        <v>0</v>
      </c>
      <c r="J22" s="286">
        <f t="shared" si="1"/>
        <v>0</v>
      </c>
    </row>
    <row r="23" spans="1:10" x14ac:dyDescent="0.2">
      <c r="A23" s="274" t="s">
        <v>233</v>
      </c>
      <c r="B23" s="274"/>
      <c r="C23" s="278" t="s">
        <v>425</v>
      </c>
      <c r="D23" s="291">
        <v>400</v>
      </c>
      <c r="E23" s="286">
        <f t="shared" si="0"/>
        <v>0.49504950495049505</v>
      </c>
      <c r="G23" s="278" t="s">
        <v>425</v>
      </c>
      <c r="H23" s="288">
        <v>1</v>
      </c>
      <c r="I23" s="275">
        <f t="shared" si="2"/>
        <v>400</v>
      </c>
      <c r="J23" s="286">
        <f t="shared" si="1"/>
        <v>2.5</v>
      </c>
    </row>
    <row r="24" spans="1:10" x14ac:dyDescent="0.2">
      <c r="A24" s="274" t="s">
        <v>239</v>
      </c>
      <c r="B24" s="274"/>
      <c r="C24" s="278" t="s">
        <v>425</v>
      </c>
      <c r="D24" s="291">
        <v>425</v>
      </c>
      <c r="E24" s="286">
        <f t="shared" si="0"/>
        <v>0.52599009900990101</v>
      </c>
      <c r="G24" s="278" t="s">
        <v>425</v>
      </c>
      <c r="H24" s="288">
        <v>1</v>
      </c>
      <c r="I24" s="275">
        <f t="shared" si="2"/>
        <v>425</v>
      </c>
      <c r="J24" s="286">
        <f t="shared" si="1"/>
        <v>2.65625</v>
      </c>
    </row>
    <row r="25" spans="1:10" x14ac:dyDescent="0.2">
      <c r="A25" s="274" t="s">
        <v>240</v>
      </c>
      <c r="B25" s="274"/>
      <c r="C25" s="278" t="s">
        <v>425</v>
      </c>
      <c r="D25" s="291">
        <v>320</v>
      </c>
      <c r="E25" s="286">
        <f t="shared" si="0"/>
        <v>0.39603960396039606</v>
      </c>
      <c r="G25" s="278" t="s">
        <v>425</v>
      </c>
      <c r="H25" s="288">
        <v>1</v>
      </c>
      <c r="I25" s="275">
        <f t="shared" si="2"/>
        <v>320</v>
      </c>
      <c r="J25" s="286">
        <f t="shared" si="1"/>
        <v>2</v>
      </c>
    </row>
    <row r="26" spans="1:10" x14ac:dyDescent="0.2">
      <c r="A26" s="274" t="s">
        <v>241</v>
      </c>
      <c r="B26" s="274"/>
      <c r="C26" s="278" t="s">
        <v>425</v>
      </c>
      <c r="D26" s="291">
        <v>0</v>
      </c>
      <c r="E26" s="286">
        <f t="shared" si="0"/>
        <v>0</v>
      </c>
      <c r="G26" s="278" t="s">
        <v>425</v>
      </c>
      <c r="H26" s="288"/>
      <c r="I26" s="275">
        <f t="shared" si="2"/>
        <v>0</v>
      </c>
      <c r="J26" s="286">
        <f t="shared" si="1"/>
        <v>0</v>
      </c>
    </row>
    <row r="27" spans="1:10" x14ac:dyDescent="0.2">
      <c r="A27" s="274" t="s">
        <v>253</v>
      </c>
      <c r="B27" s="274"/>
      <c r="C27" s="278" t="s">
        <v>425</v>
      </c>
      <c r="D27" s="291">
        <v>1200</v>
      </c>
      <c r="E27" s="286">
        <f t="shared" si="0"/>
        <v>1.4851485148514851</v>
      </c>
      <c r="G27" s="278" t="s">
        <v>425</v>
      </c>
      <c r="H27" s="288">
        <v>1</v>
      </c>
      <c r="I27" s="275">
        <f t="shared" si="2"/>
        <v>1200</v>
      </c>
      <c r="J27" s="286">
        <f t="shared" si="1"/>
        <v>7.5</v>
      </c>
    </row>
    <row r="28" spans="1:10" x14ac:dyDescent="0.2">
      <c r="A28" s="274" t="s">
        <v>242</v>
      </c>
      <c r="B28" s="274"/>
      <c r="C28" s="278" t="s">
        <v>425</v>
      </c>
      <c r="D28" s="291">
        <v>2473</v>
      </c>
      <c r="E28" s="286">
        <f t="shared" si="0"/>
        <v>3.0606435643564356</v>
      </c>
      <c r="G28" s="278" t="s">
        <v>425</v>
      </c>
      <c r="H28" s="288">
        <v>1</v>
      </c>
      <c r="I28" s="275">
        <f t="shared" si="2"/>
        <v>2473</v>
      </c>
      <c r="J28" s="286">
        <f t="shared" si="1"/>
        <v>15.456250000000001</v>
      </c>
    </row>
    <row r="29" spans="1:10" x14ac:dyDescent="0.2">
      <c r="A29" s="274" t="s">
        <v>243</v>
      </c>
      <c r="B29" s="274"/>
      <c r="C29" s="278" t="s">
        <v>425</v>
      </c>
      <c r="D29" s="291">
        <v>750</v>
      </c>
      <c r="E29" s="286">
        <f t="shared" si="0"/>
        <v>0.92821782178217827</v>
      </c>
      <c r="G29" s="278" t="s">
        <v>425</v>
      </c>
      <c r="H29" s="288">
        <v>1</v>
      </c>
      <c r="I29" s="275">
        <f t="shared" si="2"/>
        <v>750</v>
      </c>
      <c r="J29" s="286">
        <f t="shared" si="1"/>
        <v>4.6875</v>
      </c>
    </row>
    <row r="30" spans="1:10" x14ac:dyDescent="0.2">
      <c r="A30" s="274" t="s">
        <v>244</v>
      </c>
      <c r="B30" s="274"/>
      <c r="C30" s="278" t="s">
        <v>425</v>
      </c>
      <c r="D30" s="291">
        <v>808</v>
      </c>
      <c r="E30" s="286">
        <f t="shared" si="0"/>
        <v>1</v>
      </c>
      <c r="G30" s="278" t="s">
        <v>427</v>
      </c>
      <c r="H30" s="288">
        <f>D30/I30</f>
        <v>5.05</v>
      </c>
      <c r="I30" s="275">
        <v>160</v>
      </c>
      <c r="J30" s="286">
        <f t="shared" si="1"/>
        <v>1</v>
      </c>
    </row>
    <row r="31" spans="1:10" x14ac:dyDescent="0.2">
      <c r="A31" s="274" t="s">
        <v>245</v>
      </c>
      <c r="B31" s="274"/>
      <c r="C31" s="278" t="s">
        <v>425</v>
      </c>
      <c r="D31" s="291">
        <v>600</v>
      </c>
      <c r="E31" s="286">
        <f t="shared" si="0"/>
        <v>0.74257425742574257</v>
      </c>
      <c r="G31" s="278" t="s">
        <v>425</v>
      </c>
      <c r="H31" s="288">
        <v>1</v>
      </c>
      <c r="I31" s="275">
        <f>D31</f>
        <v>600</v>
      </c>
      <c r="J31" s="286">
        <f t="shared" si="1"/>
        <v>3.75</v>
      </c>
    </row>
    <row r="32" spans="1:10" x14ac:dyDescent="0.2">
      <c r="A32" s="274" t="s">
        <v>246</v>
      </c>
      <c r="B32" s="274"/>
      <c r="C32" s="278" t="s">
        <v>425</v>
      </c>
      <c r="D32" s="291">
        <v>1346</v>
      </c>
      <c r="E32" s="286">
        <f t="shared" si="0"/>
        <v>1.6658415841584158</v>
      </c>
      <c r="G32" s="278" t="s">
        <v>427</v>
      </c>
      <c r="H32" s="288">
        <f>D32/I32</f>
        <v>11.504273504273504</v>
      </c>
      <c r="I32" s="275">
        <v>117</v>
      </c>
      <c r="J32" s="286">
        <f t="shared" si="1"/>
        <v>0.73124999999999996</v>
      </c>
    </row>
    <row r="33" spans="1:10" x14ac:dyDescent="0.2">
      <c r="A33" s="274" t="s">
        <v>247</v>
      </c>
      <c r="B33" s="274"/>
      <c r="C33" s="278" t="s">
        <v>425</v>
      </c>
      <c r="D33" s="291">
        <v>400</v>
      </c>
      <c r="E33" s="286">
        <f t="shared" si="0"/>
        <v>0.49504950495049505</v>
      </c>
      <c r="G33" s="278" t="s">
        <v>425</v>
      </c>
      <c r="H33" s="288">
        <v>1</v>
      </c>
      <c r="I33" s="275">
        <f>D33</f>
        <v>400</v>
      </c>
      <c r="J33" s="286">
        <f t="shared" si="1"/>
        <v>2.5</v>
      </c>
    </row>
    <row r="34" spans="1:10" x14ac:dyDescent="0.2">
      <c r="A34" s="274" t="s">
        <v>248</v>
      </c>
      <c r="B34" s="274"/>
      <c r="C34" s="278" t="s">
        <v>425</v>
      </c>
      <c r="D34" s="291">
        <v>425</v>
      </c>
      <c r="E34" s="286">
        <f t="shared" si="0"/>
        <v>0.52599009900990101</v>
      </c>
      <c r="G34" s="278" t="s">
        <v>425</v>
      </c>
      <c r="H34" s="288">
        <v>1</v>
      </c>
      <c r="I34" s="275">
        <f>D34</f>
        <v>425</v>
      </c>
      <c r="J34" s="286">
        <f t="shared" si="1"/>
        <v>2.65625</v>
      </c>
    </row>
    <row r="35" spans="1:10" x14ac:dyDescent="0.2">
      <c r="A35" s="274" t="s">
        <v>249</v>
      </c>
      <c r="B35" s="274"/>
      <c r="C35" s="278" t="s">
        <v>425</v>
      </c>
      <c r="D35" s="291">
        <v>320</v>
      </c>
      <c r="E35" s="286">
        <f t="shared" si="0"/>
        <v>0.39603960396039606</v>
      </c>
      <c r="G35" s="278" t="s">
        <v>427</v>
      </c>
      <c r="H35" s="288">
        <f>D35/I35</f>
        <v>2</v>
      </c>
      <c r="I35" s="275">
        <v>160</v>
      </c>
      <c r="J35" s="286">
        <f t="shared" si="1"/>
        <v>1</v>
      </c>
    </row>
    <row r="36" spans="1:10" x14ac:dyDescent="0.2">
      <c r="A36" s="274" t="s">
        <v>234</v>
      </c>
      <c r="B36" s="274"/>
      <c r="C36" s="278" t="s">
        <v>425</v>
      </c>
      <c r="D36" s="291">
        <v>320</v>
      </c>
      <c r="E36" s="286">
        <f t="shared" si="0"/>
        <v>0.39603960396039606</v>
      </c>
      <c r="G36" s="278" t="s">
        <v>427</v>
      </c>
      <c r="H36" s="288">
        <f>D36/I36</f>
        <v>2</v>
      </c>
      <c r="I36" s="275">
        <v>160</v>
      </c>
      <c r="J36" s="286">
        <f t="shared" si="1"/>
        <v>1</v>
      </c>
    </row>
    <row r="39" spans="1:10" x14ac:dyDescent="0.2">
      <c r="A39" s="320" t="s">
        <v>11</v>
      </c>
    </row>
    <row r="40" spans="1:10" x14ac:dyDescent="0.2">
      <c r="A40" s="274"/>
    </row>
    <row r="41" spans="1:10" x14ac:dyDescent="0.2">
      <c r="A41" s="274" t="s">
        <v>424</v>
      </c>
    </row>
  </sheetData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workbookViewId="0">
      <pane ySplit="8" topLeftCell="A64" activePane="bottomLeft" state="frozen"/>
      <selection pane="bottomLeft" activeCell="R82" sqref="R82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8.85546875" style="274"/>
    <col min="5" max="5" width="9.85546875" style="282" customWidth="1"/>
    <col min="6" max="6" width="4.140625" style="282" customWidth="1"/>
    <col min="7" max="7" width="11.28515625" style="274" hidden="1" customWidth="1"/>
    <col min="8" max="8" width="9.85546875" hidden="1" customWidth="1"/>
    <col min="9" max="9" width="11.28515625" hidden="1" customWidth="1"/>
    <col min="10" max="10" width="5.7109375" hidden="1" customWidth="1"/>
    <col min="11" max="11" width="10" hidden="1" customWidth="1"/>
    <col min="12" max="12" width="7" hidden="1" customWidth="1"/>
    <col min="13" max="13" width="9.28515625" hidden="1" customWidth="1"/>
    <col min="14" max="14" width="7.5703125" hidden="1" customWidth="1"/>
    <col min="15" max="15" width="8.28515625" hidden="1" customWidth="1"/>
    <col min="16" max="16" width="5.7109375" customWidth="1"/>
    <col min="17" max="17" width="8.7109375" customWidth="1"/>
    <col min="18" max="18" width="7.5703125" bestFit="1" customWidth="1"/>
    <col min="19" max="19" width="16.28515625" customWidth="1"/>
    <col min="20" max="20" width="3.28515625" customWidth="1"/>
    <col min="21" max="21" width="5.85546875" customWidth="1"/>
    <col min="22" max="22" width="10.5703125" bestFit="1" customWidth="1"/>
    <col min="23" max="23" width="9.7109375" customWidth="1"/>
    <col min="24" max="24" width="4.5703125" customWidth="1"/>
    <col min="25" max="25" width="13.85546875" customWidth="1"/>
    <col min="26" max="26" width="9.42578125" customWidth="1"/>
    <col min="27" max="27" width="12.42578125" customWidth="1"/>
    <col min="28" max="28" width="10.7109375" customWidth="1"/>
  </cols>
  <sheetData>
    <row r="1" spans="1:32" x14ac:dyDescent="0.2">
      <c r="A1" s="171" t="s">
        <v>454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S1" s="220" t="str">
        <f>Assumptions!$B$12</f>
        <v>Internal</v>
      </c>
    </row>
    <row r="2" spans="1:32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S2" s="221" t="str">
        <f>Assumptions!$B$13</f>
        <v>Working Draft - v9</v>
      </c>
    </row>
    <row r="3" spans="1:32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S3" s="222">
        <f>Assumptions!$B$14</f>
        <v>41291</v>
      </c>
    </row>
    <row r="4" spans="1:32" x14ac:dyDescent="0.2">
      <c r="A4" s="171" t="s">
        <v>444</v>
      </c>
      <c r="B4"/>
      <c r="C4"/>
      <c r="D4"/>
      <c r="E4"/>
      <c r="F4"/>
      <c r="G4"/>
    </row>
    <row r="8" spans="1:32" ht="34.15" customHeight="1" x14ac:dyDescent="0.2">
      <c r="A8" s="302" t="s">
        <v>448</v>
      </c>
      <c r="B8" s="302" t="s">
        <v>422</v>
      </c>
      <c r="C8" s="319" t="s">
        <v>437</v>
      </c>
      <c r="D8" s="302" t="s">
        <v>478</v>
      </c>
      <c r="E8" s="319" t="s">
        <v>477</v>
      </c>
      <c r="F8" s="273"/>
      <c r="G8" s="302" t="s">
        <v>428</v>
      </c>
      <c r="H8" s="302" t="s">
        <v>426</v>
      </c>
      <c r="I8" s="302" t="s">
        <v>431</v>
      </c>
      <c r="J8" s="300"/>
      <c r="K8" s="302" t="s">
        <v>428</v>
      </c>
      <c r="L8" s="302" t="s">
        <v>429</v>
      </c>
      <c r="M8" s="302" t="s">
        <v>432</v>
      </c>
      <c r="N8" s="302" t="s">
        <v>430</v>
      </c>
      <c r="O8" s="302" t="s">
        <v>431</v>
      </c>
      <c r="Q8" s="302" t="s">
        <v>428</v>
      </c>
      <c r="R8" s="302" t="s">
        <v>481</v>
      </c>
      <c r="S8" s="302" t="s">
        <v>482</v>
      </c>
    </row>
    <row r="9" spans="1:32" s="199" customFormat="1" x14ac:dyDescent="0.2">
      <c r="A9" s="294"/>
      <c r="B9" s="295"/>
      <c r="C9" s="296"/>
      <c r="D9" s="295"/>
      <c r="E9" s="296"/>
      <c r="F9" s="297"/>
      <c r="G9" s="295"/>
      <c r="H9" s="295"/>
      <c r="I9" s="295"/>
      <c r="K9" s="295"/>
      <c r="L9" s="295"/>
      <c r="M9" s="295"/>
      <c r="N9" s="295"/>
      <c r="O9" s="295"/>
      <c r="Q9" s="295"/>
      <c r="R9" s="295"/>
      <c r="S9" s="295"/>
    </row>
    <row r="10" spans="1:32" x14ac:dyDescent="0.2">
      <c r="A10" s="336" t="s">
        <v>472</v>
      </c>
      <c r="B10" s="272"/>
      <c r="C10" s="273"/>
      <c r="D10" s="272"/>
      <c r="E10" s="273"/>
      <c r="F10" s="273"/>
      <c r="G10" s="272"/>
      <c r="Q10" s="272"/>
      <c r="AE10" s="274"/>
      <c r="AF10" s="275"/>
    </row>
    <row r="11" spans="1:32" x14ac:dyDescent="0.2">
      <c r="A11" s="276"/>
      <c r="B11" s="330" t="s">
        <v>226</v>
      </c>
      <c r="C11" s="329">
        <f>76.184444+50.457075</f>
        <v>126.641519</v>
      </c>
      <c r="D11" s="340">
        <f t="shared" ref="D11:D19" si="0">IF(ISERROR(FIND("UR",B11)),1,0.2)</f>
        <v>1</v>
      </c>
      <c r="E11" s="329">
        <f>C11*D11</f>
        <v>126.641519</v>
      </c>
      <c r="F11" s="273"/>
      <c r="G11" s="293" t="str">
        <f>LOOKUP(B11,'1.2 EDU Factors'!$A$12:$A$36, '1.2 EDU Factors'!$C$12:$C$36)</f>
        <v>Acre</v>
      </c>
      <c r="H11" s="290">
        <f>LOOKUP(B11,'1.2 EDU Factors'!$A$12:$A$36, '1.2 EDU Factors'!$E$12:$E$36)</f>
        <v>3.0606435643564356</v>
      </c>
      <c r="I11" s="291">
        <f t="shared" ref="I11:I19" si="1">H11*E11</f>
        <v>387.60455010767328</v>
      </c>
      <c r="K11" s="293" t="str">
        <f>LOOKUP(B11,'1.2 EDU Factors'!$A$12:$A$36, '1.2 EDU Factors'!$G$12:$G$36)</f>
        <v>Acre</v>
      </c>
      <c r="L11" s="290">
        <f>LOOKUP(B11,'1.2 EDU Factors'!$A$12:$A$36, '1.2 EDU Factors'!$H$12:$H$36)</f>
        <v>1</v>
      </c>
      <c r="M11" s="292">
        <f t="shared" ref="M11:M19" si="2">L11*E11</f>
        <v>126.641519</v>
      </c>
      <c r="N11" s="290">
        <f>LOOKUP(B11,'1.2 EDU Factors'!$A$12:$A$36, '1.2 EDU Factors'!$J$12:$J$36)</f>
        <v>15.456250000000001</v>
      </c>
      <c r="O11" s="291">
        <f t="shared" ref="O11:O19" si="3">N11*M11</f>
        <v>1957.4029780437502</v>
      </c>
      <c r="Q11" s="293" t="str">
        <f>LOOKUP(B11,'1.2 EDU Factors'!$A$12:$A$36, '1.2 EDU Factors'!$C$12:$C$36)</f>
        <v>Acre</v>
      </c>
      <c r="R11" s="345">
        <f>LOOKUP(B11,'1.2 EDU Factors'!$A$12:$A$36, '1.2 EDU Factors'!$D$12:$D$36)</f>
        <v>2473</v>
      </c>
      <c r="S11" s="291">
        <f>R11*E11</f>
        <v>313184.47648700001</v>
      </c>
      <c r="AE11" s="274"/>
      <c r="AF11" s="275"/>
    </row>
    <row r="12" spans="1:32" x14ac:dyDescent="0.2">
      <c r="A12" s="276"/>
      <c r="B12" s="330" t="s">
        <v>227</v>
      </c>
      <c r="C12" s="329">
        <f>36.631224+10.055575</f>
        <v>46.686799000000001</v>
      </c>
      <c r="D12" s="340">
        <f t="shared" si="0"/>
        <v>1</v>
      </c>
      <c r="E12" s="329">
        <f t="shared" ref="E12:E19" si="4">C12*D12</f>
        <v>46.686799000000001</v>
      </c>
      <c r="F12" s="273"/>
      <c r="G12" s="293" t="str">
        <f>LOOKUP(B12,'1.2 EDU Factors'!$A$12:$A$36, '1.2 EDU Factors'!$C$12:$C$36)</f>
        <v>Acre</v>
      </c>
      <c r="H12" s="290">
        <f>LOOKUP(B12,'1.2 EDU Factors'!$A$12:$A$36, '1.2 EDU Factors'!$E$12:$E$36)</f>
        <v>0.92821782178217827</v>
      </c>
      <c r="I12" s="291">
        <f t="shared" si="1"/>
        <v>43.335518873762382</v>
      </c>
      <c r="K12" s="293" t="str">
        <f>LOOKUP(B12,'1.2 EDU Factors'!$A$12:$A$36, '1.2 EDU Factors'!$G$12:$G$36)</f>
        <v>Acre</v>
      </c>
      <c r="L12" s="290">
        <f>LOOKUP(B12,'1.2 EDU Factors'!$A$12:$A$36, '1.2 EDU Factors'!$H$12:$H$36)</f>
        <v>1</v>
      </c>
      <c r="M12" s="291">
        <f t="shared" si="2"/>
        <v>46.686799000000001</v>
      </c>
      <c r="N12" s="290">
        <f>LOOKUP(B12,'1.2 EDU Factors'!$A$12:$A$36, '1.2 EDU Factors'!$J$12:$J$36)</f>
        <v>4.6875</v>
      </c>
      <c r="O12" s="291">
        <f t="shared" si="3"/>
        <v>218.84437031249999</v>
      </c>
      <c r="Q12" s="293" t="str">
        <f>LOOKUP(B12,'1.2 EDU Factors'!$A$12:$A$36, '1.2 EDU Factors'!$C$12:$C$36)</f>
        <v>Acre</v>
      </c>
      <c r="R12" s="345">
        <f>LOOKUP(B12,'1.2 EDU Factors'!$A$12:$A$36, '1.2 EDU Factors'!$D$12:$D$36)</f>
        <v>750</v>
      </c>
      <c r="S12" s="291">
        <f t="shared" ref="S12:S19" si="5">R12*E12</f>
        <v>35015.099249999999</v>
      </c>
      <c r="AE12" s="274"/>
      <c r="AF12" s="275"/>
    </row>
    <row r="13" spans="1:32" x14ac:dyDescent="0.2">
      <c r="A13" s="276"/>
      <c r="B13" s="272" t="s">
        <v>228</v>
      </c>
      <c r="C13" s="273">
        <v>34.912390000000002</v>
      </c>
      <c r="D13" s="340">
        <f t="shared" si="0"/>
        <v>1</v>
      </c>
      <c r="E13" s="273">
        <f t="shared" si="4"/>
        <v>34.912390000000002</v>
      </c>
      <c r="F13" s="273"/>
      <c r="G13" s="293" t="str">
        <f>LOOKUP(B13,'1.2 EDU Factors'!$A$12:$A$36, '1.2 EDU Factors'!$C$12:$C$36)</f>
        <v>Acre</v>
      </c>
      <c r="H13" s="290">
        <f>LOOKUP(B13,'1.2 EDU Factors'!$A$12:$A$36, '1.2 EDU Factors'!$E$12:$E$36)</f>
        <v>2.8923267326732671</v>
      </c>
      <c r="I13" s="291">
        <f t="shared" si="1"/>
        <v>100.97803889851485</v>
      </c>
      <c r="K13" s="293" t="str">
        <f>LOOKUP(B13,'1.2 EDU Factors'!$A$12:$A$36, '1.2 EDU Factors'!$G$12:$G$36)</f>
        <v>Dwelling Unit</v>
      </c>
      <c r="L13" s="290">
        <f>LOOKUP(B13,'1.2 EDU Factors'!$A$12:$A$36, '1.2 EDU Factors'!$H$12:$H$36)</f>
        <v>19.974358974358974</v>
      </c>
      <c r="M13" s="291">
        <f t="shared" si="2"/>
        <v>697.35261051282055</v>
      </c>
      <c r="N13" s="290">
        <f>LOOKUP(B13,'1.2 EDU Factors'!$A$12:$A$36, '1.2 EDU Factors'!$J$12:$J$36)</f>
        <v>0.73124999999999996</v>
      </c>
      <c r="O13" s="291">
        <f t="shared" si="3"/>
        <v>509.93909643749998</v>
      </c>
      <c r="Q13" s="293" t="str">
        <f>LOOKUP(B13,'1.2 EDU Factors'!$A$12:$A$36, '1.2 EDU Factors'!$C$12:$C$36)</f>
        <v>Acre</v>
      </c>
      <c r="R13" s="345">
        <f>LOOKUP(B13,'1.2 EDU Factors'!$A$12:$A$36, '1.2 EDU Factors'!$D$12:$D$36)</f>
        <v>2337</v>
      </c>
      <c r="S13" s="291">
        <f t="shared" si="5"/>
        <v>81590.255430000005</v>
      </c>
      <c r="AE13" s="274"/>
      <c r="AF13" s="275"/>
    </row>
    <row r="14" spans="1:32" x14ac:dyDescent="0.2">
      <c r="A14" s="276"/>
      <c r="B14" s="330" t="s">
        <v>229</v>
      </c>
      <c r="C14" s="329">
        <f>155.287542+6.811908</f>
        <v>162.09944999999999</v>
      </c>
      <c r="D14" s="340">
        <f t="shared" si="0"/>
        <v>1</v>
      </c>
      <c r="E14" s="329">
        <f t="shared" si="4"/>
        <v>162.09944999999999</v>
      </c>
      <c r="F14" s="273"/>
      <c r="G14" s="293" t="str">
        <f>LOOKUP(B14,'1.2 EDU Factors'!$A$12:$A$36, '1.2 EDU Factors'!$C$12:$C$36)</f>
        <v>Acre</v>
      </c>
      <c r="H14" s="290">
        <f>LOOKUP(B14,'1.2 EDU Factors'!$A$12:$A$36, '1.2 EDU Factors'!$E$12:$E$36)</f>
        <v>1</v>
      </c>
      <c r="I14" s="291">
        <f t="shared" si="1"/>
        <v>162.09944999999999</v>
      </c>
      <c r="K14" s="293" t="str">
        <f>LOOKUP(B14,'1.2 EDU Factors'!$A$12:$A$36, '1.2 EDU Factors'!$G$12:$G$36)</f>
        <v>Dwelling Unit</v>
      </c>
      <c r="L14" s="290">
        <f>LOOKUP(B14,'1.2 EDU Factors'!$A$12:$A$36, '1.2 EDU Factors'!$H$12:$H$36)</f>
        <v>5.05</v>
      </c>
      <c r="M14" s="291">
        <f t="shared" si="2"/>
        <v>818.60222249999993</v>
      </c>
      <c r="N14" s="290">
        <f>LOOKUP(B14,'1.2 EDU Factors'!$A$12:$A$36, '1.2 EDU Factors'!$J$12:$J$36)</f>
        <v>1</v>
      </c>
      <c r="O14" s="291">
        <f t="shared" si="3"/>
        <v>818.60222249999993</v>
      </c>
      <c r="Q14" s="293" t="str">
        <f>LOOKUP(B14,'1.2 EDU Factors'!$A$12:$A$36, '1.2 EDU Factors'!$C$12:$C$36)</f>
        <v>Acre</v>
      </c>
      <c r="R14" s="345">
        <f>LOOKUP(B14,'1.2 EDU Factors'!$A$12:$A$36, '1.2 EDU Factors'!$D$12:$D$36)</f>
        <v>808</v>
      </c>
      <c r="S14" s="291">
        <f t="shared" si="5"/>
        <v>130976.3556</v>
      </c>
      <c r="AE14" s="274"/>
      <c r="AF14" s="275"/>
    </row>
    <row r="15" spans="1:32" x14ac:dyDescent="0.2">
      <c r="A15" s="276"/>
      <c r="B15" s="330" t="s">
        <v>230</v>
      </c>
      <c r="C15" s="329">
        <f>7.910844+34.600757</f>
        <v>42.511600999999999</v>
      </c>
      <c r="D15" s="340">
        <f t="shared" si="0"/>
        <v>1</v>
      </c>
      <c r="E15" s="329">
        <f t="shared" si="4"/>
        <v>42.511600999999999</v>
      </c>
      <c r="F15" s="273"/>
      <c r="G15" s="293" t="str">
        <f>LOOKUP(B15,'1.2 EDU Factors'!$A$12:$A$36, '1.2 EDU Factors'!$C$12:$C$36)</f>
        <v>Acre</v>
      </c>
      <c r="H15" s="290">
        <f>LOOKUP(B15,'1.2 EDU Factors'!$A$12:$A$36, '1.2 EDU Factors'!$E$12:$E$36)</f>
        <v>1.2376237623762376</v>
      </c>
      <c r="I15" s="291">
        <f t="shared" si="1"/>
        <v>52.613367574257424</v>
      </c>
      <c r="K15" s="293" t="str">
        <f>LOOKUP(B15,'1.2 EDU Factors'!$A$12:$A$36, '1.2 EDU Factors'!$G$12:$G$36)</f>
        <v>Acre</v>
      </c>
      <c r="L15" s="290">
        <f>LOOKUP(B15,'1.2 EDU Factors'!$A$12:$A$36, '1.2 EDU Factors'!$H$12:$H$36)</f>
        <v>1</v>
      </c>
      <c r="M15" s="291">
        <f t="shared" si="2"/>
        <v>42.511600999999999</v>
      </c>
      <c r="N15" s="290">
        <f>LOOKUP(B15,'1.2 EDU Factors'!$A$12:$A$36, '1.2 EDU Factors'!$J$12:$J$36)</f>
        <v>6.25</v>
      </c>
      <c r="O15" s="291">
        <f t="shared" si="3"/>
        <v>265.69750625</v>
      </c>
      <c r="Q15" s="293" t="str">
        <f>LOOKUP(B15,'1.2 EDU Factors'!$A$12:$A$36, '1.2 EDU Factors'!$C$12:$C$36)</f>
        <v>Acre</v>
      </c>
      <c r="R15" s="345">
        <f>LOOKUP(B15,'1.2 EDU Factors'!$A$12:$A$36, '1.2 EDU Factors'!$D$12:$D$36)</f>
        <v>1000</v>
      </c>
      <c r="S15" s="291">
        <f t="shared" si="5"/>
        <v>42511.601000000002</v>
      </c>
      <c r="AE15" s="274"/>
      <c r="AF15" s="275"/>
    </row>
    <row r="16" spans="1:32" x14ac:dyDescent="0.2">
      <c r="A16" s="276"/>
      <c r="B16" s="272" t="s">
        <v>231</v>
      </c>
      <c r="C16" s="273">
        <v>55.914966</v>
      </c>
      <c r="D16" s="340">
        <f t="shared" si="0"/>
        <v>1</v>
      </c>
      <c r="E16" s="273">
        <f t="shared" si="4"/>
        <v>55.914966</v>
      </c>
      <c r="F16" s="273"/>
      <c r="G16" s="293" t="str">
        <f>LOOKUP(B16,'1.2 EDU Factors'!$A$12:$A$36, '1.2 EDU Factors'!$C$12:$C$36)</f>
        <v>Acre</v>
      </c>
      <c r="H16" s="290">
        <f>LOOKUP(B16,'1.2 EDU Factors'!$A$12:$A$36, '1.2 EDU Factors'!$E$12:$E$36)</f>
        <v>1.6658415841584158</v>
      </c>
      <c r="I16" s="291">
        <f t="shared" si="1"/>
        <v>93.14547553960395</v>
      </c>
      <c r="K16" s="293" t="str">
        <f>LOOKUP(B16,'1.2 EDU Factors'!$A$12:$A$36, '1.2 EDU Factors'!$G$12:$G$36)</f>
        <v>Dwelling Unit</v>
      </c>
      <c r="L16" s="290">
        <f>LOOKUP(B16,'1.2 EDU Factors'!$A$12:$A$36, '1.2 EDU Factors'!$H$12:$H$36)</f>
        <v>11.504273504273504</v>
      </c>
      <c r="M16" s="291">
        <f t="shared" si="2"/>
        <v>643.26106184615389</v>
      </c>
      <c r="N16" s="290">
        <f>LOOKUP(B16,'1.2 EDU Factors'!$A$12:$A$36, '1.2 EDU Factors'!$J$12:$J$36)</f>
        <v>0.73124999999999996</v>
      </c>
      <c r="O16" s="291">
        <f t="shared" si="3"/>
        <v>470.384651475</v>
      </c>
      <c r="Q16" s="293" t="str">
        <f>LOOKUP(B16,'1.2 EDU Factors'!$A$12:$A$36, '1.2 EDU Factors'!$C$12:$C$36)</f>
        <v>Acre</v>
      </c>
      <c r="R16" s="345">
        <f>LOOKUP(B16,'1.2 EDU Factors'!$A$12:$A$36, '1.2 EDU Factors'!$D$12:$D$36)</f>
        <v>1346</v>
      </c>
      <c r="S16" s="291">
        <f t="shared" si="5"/>
        <v>75261.544236000002</v>
      </c>
      <c r="AE16" s="274"/>
      <c r="AF16" s="275"/>
    </row>
    <row r="17" spans="1:32" x14ac:dyDescent="0.2">
      <c r="A17" s="276"/>
      <c r="B17" s="272" t="s">
        <v>232</v>
      </c>
      <c r="C17" s="273">
        <v>13.091668</v>
      </c>
      <c r="D17" s="340">
        <f t="shared" si="0"/>
        <v>1</v>
      </c>
      <c r="E17" s="273">
        <f t="shared" si="4"/>
        <v>13.091668</v>
      </c>
      <c r="F17" s="273"/>
      <c r="G17" s="293" t="str">
        <f>LOOKUP(B17,'1.2 EDU Factors'!$A$12:$A$36, '1.2 EDU Factors'!$C$12:$C$36)</f>
        <v>Acre</v>
      </c>
      <c r="H17" s="290">
        <f>LOOKUP(B17,'1.2 EDU Factors'!$A$12:$A$36, '1.2 EDU Factors'!$E$12:$E$36)</f>
        <v>1.386138613861386</v>
      </c>
      <c r="I17" s="291">
        <f t="shared" si="1"/>
        <v>18.146866534653466</v>
      </c>
      <c r="K17" s="293" t="str">
        <f>LOOKUP(B17,'1.2 EDU Factors'!$A$12:$A$36, '1.2 EDU Factors'!$G$12:$G$36)</f>
        <v>Acre</v>
      </c>
      <c r="L17" s="290">
        <f>LOOKUP(B17,'1.2 EDU Factors'!$A$12:$A$36, '1.2 EDU Factors'!$H$12:$H$36)</f>
        <v>1</v>
      </c>
      <c r="M17" s="291">
        <f t="shared" si="2"/>
        <v>13.091668</v>
      </c>
      <c r="N17" s="290">
        <f>LOOKUP(B17,'1.2 EDU Factors'!$A$12:$A$36, '1.2 EDU Factors'!$J$12:$J$36)</f>
        <v>7</v>
      </c>
      <c r="O17" s="291">
        <f t="shared" si="3"/>
        <v>91.641676000000004</v>
      </c>
      <c r="Q17" s="293" t="str">
        <f>LOOKUP(B17,'1.2 EDU Factors'!$A$12:$A$36, '1.2 EDU Factors'!$C$12:$C$36)</f>
        <v>Acre</v>
      </c>
      <c r="R17" s="345">
        <f>LOOKUP(B17,'1.2 EDU Factors'!$A$12:$A$36, '1.2 EDU Factors'!$D$12:$D$36)</f>
        <v>1120</v>
      </c>
      <c r="S17" s="291">
        <f t="shared" si="5"/>
        <v>14662.668160000001</v>
      </c>
      <c r="AE17" s="274"/>
      <c r="AF17" s="275"/>
    </row>
    <row r="18" spans="1:32" x14ac:dyDescent="0.2">
      <c r="A18" s="276"/>
      <c r="B18" s="272" t="s">
        <v>233</v>
      </c>
      <c r="C18" s="273">
        <v>8.6079319999999999</v>
      </c>
      <c r="D18" s="340">
        <f t="shared" si="0"/>
        <v>1</v>
      </c>
      <c r="E18" s="273">
        <f t="shared" si="4"/>
        <v>8.6079319999999999</v>
      </c>
      <c r="F18" s="273"/>
      <c r="G18" s="293" t="str">
        <f>LOOKUP(B18,'1.2 EDU Factors'!$A$12:$A$36, '1.2 EDU Factors'!$C$12:$C$36)</f>
        <v>Acre</v>
      </c>
      <c r="H18" s="290">
        <f>LOOKUP(B18,'1.2 EDU Factors'!$A$12:$A$36, '1.2 EDU Factors'!$E$12:$E$36)</f>
        <v>0.49504950495049505</v>
      </c>
      <c r="I18" s="291">
        <f t="shared" si="1"/>
        <v>4.2613524752475245</v>
      </c>
      <c r="K18" s="293" t="str">
        <f>LOOKUP(B18,'1.2 EDU Factors'!$A$12:$A$36, '1.2 EDU Factors'!$G$12:$G$36)</f>
        <v>Acre</v>
      </c>
      <c r="L18" s="290">
        <f>LOOKUP(B18,'1.2 EDU Factors'!$A$12:$A$36, '1.2 EDU Factors'!$H$12:$H$36)</f>
        <v>1</v>
      </c>
      <c r="M18" s="291">
        <f t="shared" si="2"/>
        <v>8.6079319999999999</v>
      </c>
      <c r="N18" s="290">
        <f>LOOKUP(B18,'1.2 EDU Factors'!$A$12:$A$36, '1.2 EDU Factors'!$J$12:$J$36)</f>
        <v>2.5</v>
      </c>
      <c r="O18" s="291">
        <f t="shared" si="3"/>
        <v>21.519829999999999</v>
      </c>
      <c r="Q18" s="293" t="str">
        <f>LOOKUP(B18,'1.2 EDU Factors'!$A$12:$A$36, '1.2 EDU Factors'!$C$12:$C$36)</f>
        <v>Acre</v>
      </c>
      <c r="R18" s="345">
        <f>LOOKUP(B18,'1.2 EDU Factors'!$A$12:$A$36, '1.2 EDU Factors'!$D$12:$D$36)</f>
        <v>400</v>
      </c>
      <c r="S18" s="291">
        <f t="shared" si="5"/>
        <v>3443.1727999999998</v>
      </c>
      <c r="AE18" s="274"/>
      <c r="AF18" s="275"/>
    </row>
    <row r="19" spans="1:32" x14ac:dyDescent="0.2">
      <c r="A19" s="276"/>
      <c r="B19" s="272" t="s">
        <v>234</v>
      </c>
      <c r="C19" s="273">
        <v>6.7649600000000003</v>
      </c>
      <c r="D19" s="340">
        <f t="shared" si="0"/>
        <v>1</v>
      </c>
      <c r="E19" s="273">
        <f t="shared" si="4"/>
        <v>6.7649600000000003</v>
      </c>
      <c r="F19" s="273"/>
      <c r="G19" s="293" t="str">
        <f>LOOKUP(B19,'1.2 EDU Factors'!$A$12:$A$36, '1.2 EDU Factors'!$C$12:$C$36)</f>
        <v>Acre</v>
      </c>
      <c r="H19" s="290">
        <f>LOOKUP(B19,'1.2 EDU Factors'!$A$12:$A$36, '1.2 EDU Factors'!$E$12:$E$36)</f>
        <v>0.39603960396039606</v>
      </c>
      <c r="I19" s="291">
        <f t="shared" si="1"/>
        <v>2.6791920792079211</v>
      </c>
      <c r="K19" s="293" t="str">
        <f>LOOKUP(B19,'1.2 EDU Factors'!$A$12:$A$36, '1.2 EDU Factors'!$G$12:$G$36)</f>
        <v>Dwelling Unit</v>
      </c>
      <c r="L19" s="290">
        <f>LOOKUP(B19,'1.2 EDU Factors'!$A$12:$A$36, '1.2 EDU Factors'!$H$12:$H$36)</f>
        <v>2</v>
      </c>
      <c r="M19" s="291">
        <f t="shared" si="2"/>
        <v>13.529920000000001</v>
      </c>
      <c r="N19" s="290">
        <f>LOOKUP(B19,'1.2 EDU Factors'!$A$12:$A$36, '1.2 EDU Factors'!$J$12:$J$36)</f>
        <v>1</v>
      </c>
      <c r="O19" s="291">
        <f t="shared" si="3"/>
        <v>13.529920000000001</v>
      </c>
      <c r="Q19" s="293" t="str">
        <f>LOOKUP(B19,'1.2 EDU Factors'!$A$12:$A$36, '1.2 EDU Factors'!$C$12:$C$36)</f>
        <v>Acre</v>
      </c>
      <c r="R19" s="345">
        <f>LOOKUP(B19,'1.2 EDU Factors'!$A$12:$A$36, '1.2 EDU Factors'!$D$12:$D$36)</f>
        <v>320</v>
      </c>
      <c r="S19" s="291">
        <f t="shared" si="5"/>
        <v>2164.7872000000002</v>
      </c>
      <c r="AE19" s="274"/>
      <c r="AF19" s="275"/>
    </row>
    <row r="20" spans="1:32" x14ac:dyDescent="0.2">
      <c r="A20" s="276"/>
      <c r="B20" s="272"/>
      <c r="C20" s="306"/>
      <c r="D20" s="272"/>
      <c r="E20" s="306"/>
      <c r="F20" s="273"/>
      <c r="G20" s="293"/>
      <c r="H20" s="290"/>
      <c r="I20" s="307"/>
      <c r="K20" s="293"/>
      <c r="L20" s="290"/>
      <c r="M20" s="291"/>
      <c r="N20" s="290"/>
      <c r="O20" s="307"/>
      <c r="Q20" s="293"/>
      <c r="R20" s="290"/>
      <c r="S20" s="307"/>
      <c r="AE20" s="274"/>
      <c r="AF20" s="275"/>
    </row>
    <row r="21" spans="1:32" x14ac:dyDescent="0.2">
      <c r="A21" s="276"/>
      <c r="B21" s="272"/>
      <c r="C21" s="273"/>
      <c r="D21" s="272"/>
      <c r="E21" s="273"/>
      <c r="F21" s="273"/>
      <c r="G21" s="293"/>
      <c r="H21" s="290"/>
      <c r="I21" s="291"/>
      <c r="K21" s="293"/>
      <c r="L21" s="290"/>
      <c r="M21" s="291"/>
      <c r="N21" s="290"/>
      <c r="O21" s="291"/>
      <c r="Q21" s="293"/>
      <c r="R21" s="290"/>
      <c r="S21" s="291"/>
      <c r="AE21" s="274"/>
      <c r="AF21" s="275"/>
    </row>
    <row r="22" spans="1:32" x14ac:dyDescent="0.2">
      <c r="A22" s="276" t="s">
        <v>439</v>
      </c>
      <c r="B22" s="272"/>
      <c r="C22" s="273">
        <f>SUM(C10:C20)</f>
        <v>497.23128499999996</v>
      </c>
      <c r="D22" s="272"/>
      <c r="E22" s="343">
        <f>SUM(E10:E20)</f>
        <v>497.23128499999996</v>
      </c>
      <c r="F22" s="273"/>
      <c r="G22" s="293"/>
      <c r="H22" s="290"/>
      <c r="I22" s="273">
        <f>SUM(I10:I20)</f>
        <v>864.86381208292084</v>
      </c>
      <c r="K22" s="293"/>
      <c r="L22" s="290"/>
      <c r="M22" s="291"/>
      <c r="N22" s="290"/>
      <c r="O22" s="273">
        <f>SUM(O10:O20)</f>
        <v>4367.5622510187504</v>
      </c>
      <c r="Q22" s="293"/>
      <c r="R22" s="290"/>
      <c r="S22" s="273">
        <f>SUM(S10:S20)</f>
        <v>698809.96016300004</v>
      </c>
      <c r="AE22" s="274"/>
      <c r="AF22" s="275"/>
    </row>
    <row r="23" spans="1:32" x14ac:dyDescent="0.2">
      <c r="A23" s="279" t="s">
        <v>433</v>
      </c>
      <c r="I23" s="291">
        <f>$I$127</f>
        <v>808</v>
      </c>
      <c r="J23" s="286"/>
      <c r="K23" s="293"/>
      <c r="L23" s="290"/>
      <c r="M23" s="291"/>
      <c r="N23" s="290"/>
      <c r="O23" s="291">
        <f>$O$127</f>
        <v>160</v>
      </c>
      <c r="Q23" s="274"/>
      <c r="S23" s="291"/>
    </row>
    <row r="24" spans="1:32" x14ac:dyDescent="0.2">
      <c r="A24" s="279" t="s">
        <v>434</v>
      </c>
      <c r="I24" s="291">
        <f>I22*I23</f>
        <v>698809.96016300004</v>
      </c>
      <c r="J24" s="286"/>
      <c r="K24" s="286"/>
      <c r="L24" s="286"/>
      <c r="M24" s="291"/>
      <c r="N24" s="286"/>
      <c r="O24" s="291">
        <f>O22*O23</f>
        <v>698809.96016300004</v>
      </c>
      <c r="Q24" s="274"/>
      <c r="S24" s="291"/>
    </row>
    <row r="25" spans="1:32" x14ac:dyDescent="0.2">
      <c r="A25" s="276"/>
      <c r="B25" s="272"/>
      <c r="C25" s="273"/>
      <c r="D25" s="272"/>
      <c r="E25" s="273"/>
      <c r="F25" s="273"/>
      <c r="G25" s="293"/>
      <c r="H25" s="290"/>
      <c r="I25" s="291"/>
      <c r="K25" s="293"/>
      <c r="L25" s="290"/>
      <c r="M25" s="291"/>
      <c r="N25" s="290"/>
      <c r="O25" s="291"/>
      <c r="Q25" s="293"/>
      <c r="R25" s="290"/>
      <c r="S25" s="291"/>
      <c r="AE25" s="274"/>
      <c r="AF25" s="275"/>
    </row>
    <row r="26" spans="1:32" hidden="1" x14ac:dyDescent="0.2">
      <c r="A26" s="271" t="s">
        <v>474</v>
      </c>
      <c r="B26" s="272" t="s">
        <v>226</v>
      </c>
      <c r="C26" s="273">
        <v>50.457075000000003</v>
      </c>
      <c r="D26" s="272"/>
      <c r="E26" s="273">
        <v>50.457075000000003</v>
      </c>
      <c r="F26" s="273"/>
      <c r="G26" s="293" t="str">
        <f>LOOKUP(B26,'1.2 EDU Factors'!$A$12:$A$36, '1.2 EDU Factors'!$C$12:$C$36)</f>
        <v>Acre</v>
      </c>
      <c r="H26" s="290">
        <f>LOOKUP(B26,'1.2 EDU Factors'!$A$12:$A$36, '1.2 EDU Factors'!$E$12:$E$36)</f>
        <v>3.0606435643564356</v>
      </c>
      <c r="I26" s="291">
        <f>H26*E26</f>
        <v>154.431121875</v>
      </c>
      <c r="K26" s="293" t="str">
        <f>LOOKUP(B26,'1.2 EDU Factors'!$A$12:$A$36, '1.2 EDU Factors'!$G$12:$G$36)</f>
        <v>Acre</v>
      </c>
      <c r="L26" s="290">
        <f>LOOKUP(B26,'1.2 EDU Factors'!$A$12:$A$36, '1.2 EDU Factors'!$H$12:$H$36)</f>
        <v>1</v>
      </c>
      <c r="M26" s="291">
        <f>L26*E26</f>
        <v>50.457075000000003</v>
      </c>
      <c r="N26" s="290">
        <f>LOOKUP(B26,'1.2 EDU Factors'!$A$12:$A$36, '1.2 EDU Factors'!$J$12:$J$36)</f>
        <v>15.456250000000001</v>
      </c>
      <c r="O26" s="291">
        <f t="shared" ref="O26:O29" si="6">N26*M26</f>
        <v>779.87716546875004</v>
      </c>
      <c r="Q26" s="293" t="e">
        <f>LOOKUP(L26,'1.2 EDU Factors'!$A$12:$A$36, '1.2 EDU Factors'!$C$12:$C$36)</f>
        <v>#N/A</v>
      </c>
      <c r="R26" s="290">
        <f>LOOKUP(B26,'1.2 EDU Factors'!$A$12:$A$36, '1.2 EDU Factors'!$E$12:$E$36)</f>
        <v>3.0606435643564356</v>
      </c>
      <c r="S26" s="291">
        <f>R26*O26</f>
        <v>2386.9260274804687</v>
      </c>
    </row>
    <row r="27" spans="1:32" hidden="1" x14ac:dyDescent="0.2">
      <c r="A27" s="276"/>
      <c r="B27" s="272" t="s">
        <v>227</v>
      </c>
      <c r="C27" s="273">
        <v>10.055574999999999</v>
      </c>
      <c r="D27" s="272"/>
      <c r="E27" s="273">
        <v>10.055574999999999</v>
      </c>
      <c r="F27" s="273"/>
      <c r="G27" s="293" t="str">
        <f>LOOKUP(B27,'1.2 EDU Factors'!$A$12:$A$36, '1.2 EDU Factors'!$C$12:$C$36)</f>
        <v>Acre</v>
      </c>
      <c r="H27" s="290">
        <f>LOOKUP(B27,'1.2 EDU Factors'!$A$12:$A$36, '1.2 EDU Factors'!$E$12:$E$36)</f>
        <v>0.92821782178217827</v>
      </c>
      <c r="I27" s="291">
        <f>H27*E27</f>
        <v>9.3337639232673268</v>
      </c>
      <c r="K27" s="293" t="str">
        <f>LOOKUP(B27,'1.2 EDU Factors'!$A$12:$A$36, '1.2 EDU Factors'!$G$12:$G$36)</f>
        <v>Acre</v>
      </c>
      <c r="L27" s="290">
        <f>LOOKUP(B27,'1.2 EDU Factors'!$A$12:$A$36, '1.2 EDU Factors'!$H$12:$H$36)</f>
        <v>1</v>
      </c>
      <c r="M27" s="291">
        <f>L27*E27</f>
        <v>10.055574999999999</v>
      </c>
      <c r="N27" s="290">
        <f>LOOKUP(B27,'1.2 EDU Factors'!$A$12:$A$36, '1.2 EDU Factors'!$J$12:$J$36)</f>
        <v>4.6875</v>
      </c>
      <c r="O27" s="291">
        <f t="shared" si="6"/>
        <v>47.135507812499995</v>
      </c>
      <c r="Q27" s="293" t="e">
        <f>LOOKUP(L27,'1.2 EDU Factors'!$A$12:$A$36, '1.2 EDU Factors'!$C$12:$C$36)</f>
        <v>#N/A</v>
      </c>
      <c r="R27" s="290">
        <f>LOOKUP(B27,'1.2 EDU Factors'!$A$12:$A$36, '1.2 EDU Factors'!$E$12:$E$36)</f>
        <v>0.92821782178217827</v>
      </c>
      <c r="S27" s="291">
        <f>R27*O27</f>
        <v>43.752018390315591</v>
      </c>
    </row>
    <row r="28" spans="1:32" hidden="1" x14ac:dyDescent="0.2">
      <c r="A28" s="276"/>
      <c r="B28" s="272" t="s">
        <v>229</v>
      </c>
      <c r="C28" s="273">
        <v>6.8119079999999999</v>
      </c>
      <c r="D28" s="272"/>
      <c r="E28" s="273">
        <v>6.8119079999999999</v>
      </c>
      <c r="F28" s="273"/>
      <c r="G28" s="293" t="str">
        <f>LOOKUP(B28,'1.2 EDU Factors'!$A$12:$A$36, '1.2 EDU Factors'!$C$12:$C$36)</f>
        <v>Acre</v>
      </c>
      <c r="H28" s="290">
        <f>LOOKUP(B28,'1.2 EDU Factors'!$A$12:$A$36, '1.2 EDU Factors'!$E$12:$E$36)</f>
        <v>1</v>
      </c>
      <c r="I28" s="291">
        <f>H28*E28</f>
        <v>6.8119079999999999</v>
      </c>
      <c r="K28" s="293" t="str">
        <f>LOOKUP(B28,'1.2 EDU Factors'!$A$12:$A$36, '1.2 EDU Factors'!$G$12:$G$36)</f>
        <v>Dwelling Unit</v>
      </c>
      <c r="L28" s="290">
        <f>LOOKUP(B28,'1.2 EDU Factors'!$A$12:$A$36, '1.2 EDU Factors'!$H$12:$H$36)</f>
        <v>5.05</v>
      </c>
      <c r="M28" s="291">
        <f>L28*E28</f>
        <v>34.400135399999996</v>
      </c>
      <c r="N28" s="290">
        <f>LOOKUP(B28,'1.2 EDU Factors'!$A$12:$A$36, '1.2 EDU Factors'!$J$12:$J$36)</f>
        <v>1</v>
      </c>
      <c r="O28" s="291">
        <f t="shared" si="6"/>
        <v>34.400135399999996</v>
      </c>
      <c r="Q28" s="293" t="e">
        <f>LOOKUP(L28,'1.2 EDU Factors'!$A$12:$A$36, '1.2 EDU Factors'!$C$12:$C$36)</f>
        <v>#N/A</v>
      </c>
      <c r="R28" s="290">
        <f>LOOKUP(B28,'1.2 EDU Factors'!$A$12:$A$36, '1.2 EDU Factors'!$E$12:$E$36)</f>
        <v>1</v>
      </c>
      <c r="S28" s="291">
        <f>R28*O28</f>
        <v>34.400135399999996</v>
      </c>
    </row>
    <row r="29" spans="1:32" hidden="1" x14ac:dyDescent="0.2">
      <c r="A29" s="276"/>
      <c r="B29" s="272" t="s">
        <v>230</v>
      </c>
      <c r="C29" s="273">
        <v>34.600757000000002</v>
      </c>
      <c r="D29" s="272"/>
      <c r="E29" s="273">
        <v>34.600757000000002</v>
      </c>
      <c r="F29" s="273"/>
      <c r="G29" s="293" t="str">
        <f>LOOKUP(B29,'1.2 EDU Factors'!$A$12:$A$36, '1.2 EDU Factors'!$C$12:$C$36)</f>
        <v>Acre</v>
      </c>
      <c r="H29" s="290">
        <f>LOOKUP(B29,'1.2 EDU Factors'!$A$12:$A$36, '1.2 EDU Factors'!$E$12:$E$36)</f>
        <v>1.2376237623762376</v>
      </c>
      <c r="I29" s="291">
        <f>H29*E29</f>
        <v>42.822719059405941</v>
      </c>
      <c r="K29" s="293" t="str">
        <f>LOOKUP(B29,'1.2 EDU Factors'!$A$12:$A$36, '1.2 EDU Factors'!$G$12:$G$36)</f>
        <v>Acre</v>
      </c>
      <c r="L29" s="290">
        <f>LOOKUP(B29,'1.2 EDU Factors'!$A$12:$A$36, '1.2 EDU Factors'!$H$12:$H$36)</f>
        <v>1</v>
      </c>
      <c r="M29" s="291">
        <f>L29*E29</f>
        <v>34.600757000000002</v>
      </c>
      <c r="N29" s="290">
        <f>LOOKUP(B29,'1.2 EDU Factors'!$A$12:$A$36, '1.2 EDU Factors'!$J$12:$J$36)</f>
        <v>6.25</v>
      </c>
      <c r="O29" s="291">
        <f t="shared" si="6"/>
        <v>216.25473125000002</v>
      </c>
      <c r="Q29" s="293" t="e">
        <f>LOOKUP(L29,'1.2 EDU Factors'!$A$12:$A$36, '1.2 EDU Factors'!$C$12:$C$36)</f>
        <v>#N/A</v>
      </c>
      <c r="R29" s="290">
        <f>LOOKUP(B29,'1.2 EDU Factors'!$A$12:$A$36, '1.2 EDU Factors'!$E$12:$E$36)</f>
        <v>1.2376237623762376</v>
      </c>
      <c r="S29" s="291">
        <f>R29*O29</f>
        <v>267.64199412128715</v>
      </c>
    </row>
    <row r="30" spans="1:32" hidden="1" x14ac:dyDescent="0.2">
      <c r="A30" s="276"/>
      <c r="B30" s="272"/>
      <c r="C30" s="306"/>
      <c r="D30" s="272"/>
      <c r="E30" s="306"/>
      <c r="F30" s="273"/>
      <c r="G30" s="293"/>
      <c r="H30" s="290"/>
      <c r="I30" s="307"/>
      <c r="K30" s="293"/>
      <c r="L30" s="290"/>
      <c r="M30" s="291"/>
      <c r="N30" s="290"/>
      <c r="O30" s="307"/>
      <c r="Q30" s="293"/>
      <c r="R30" s="290"/>
      <c r="S30" s="307"/>
    </row>
    <row r="31" spans="1:32" hidden="1" x14ac:dyDescent="0.2">
      <c r="A31" s="276"/>
      <c r="B31" s="272"/>
      <c r="C31" s="273"/>
      <c r="D31" s="272"/>
      <c r="E31" s="273"/>
      <c r="F31" s="273"/>
      <c r="G31" s="293"/>
      <c r="H31" s="290"/>
      <c r="I31" s="291"/>
      <c r="K31" s="293"/>
      <c r="L31" s="290"/>
      <c r="M31" s="291"/>
      <c r="N31" s="290"/>
      <c r="O31" s="291"/>
      <c r="Q31" s="293"/>
      <c r="R31" s="290"/>
      <c r="S31" s="291"/>
    </row>
    <row r="32" spans="1:32" hidden="1" x14ac:dyDescent="0.2">
      <c r="A32" s="276" t="s">
        <v>441</v>
      </c>
      <c r="B32" s="272"/>
      <c r="C32" s="273">
        <f>SUM(C26:C30)</f>
        <v>101.925315</v>
      </c>
      <c r="D32" s="272"/>
      <c r="E32" s="273">
        <f>SUM(E26:E30)</f>
        <v>101.925315</v>
      </c>
      <c r="F32" s="273"/>
      <c r="G32" s="293"/>
      <c r="H32" s="290"/>
      <c r="I32" s="273">
        <f>SUM(I26:I30)</f>
        <v>213.39951285767324</v>
      </c>
      <c r="K32" s="293"/>
      <c r="L32" s="290"/>
      <c r="M32" s="291"/>
      <c r="N32" s="290"/>
      <c r="O32" s="273">
        <f>SUM(O26:O30)</f>
        <v>1077.6675399312501</v>
      </c>
      <c r="Q32" s="293"/>
      <c r="R32" s="290"/>
      <c r="S32" s="273">
        <f>SUM(S26:S30)</f>
        <v>2732.7201753920717</v>
      </c>
    </row>
    <row r="33" spans="1:32" hidden="1" x14ac:dyDescent="0.2">
      <c r="A33" s="279" t="s">
        <v>433</v>
      </c>
      <c r="I33" s="291">
        <f>$I$127</f>
        <v>808</v>
      </c>
      <c r="J33" s="286"/>
      <c r="K33" s="293"/>
      <c r="L33" s="290"/>
      <c r="M33" s="291"/>
      <c r="N33" s="290"/>
      <c r="O33" s="291">
        <f>$O$127</f>
        <v>160</v>
      </c>
      <c r="Q33" s="274"/>
      <c r="S33" s="291">
        <f>$I$127</f>
        <v>808</v>
      </c>
    </row>
    <row r="34" spans="1:32" hidden="1" x14ac:dyDescent="0.2">
      <c r="A34" s="279" t="s">
        <v>434</v>
      </c>
      <c r="I34" s="291">
        <f>I32*I33</f>
        <v>172426.80638899998</v>
      </c>
      <c r="J34" s="286"/>
      <c r="K34" s="286"/>
      <c r="L34" s="286"/>
      <c r="M34" s="291"/>
      <c r="N34" s="286"/>
      <c r="O34" s="291">
        <f>O32*O33</f>
        <v>172426.806389</v>
      </c>
      <c r="Q34" s="274"/>
      <c r="S34" s="291">
        <f>S32*S33</f>
        <v>2208037.9017167939</v>
      </c>
    </row>
    <row r="35" spans="1:32" hidden="1" x14ac:dyDescent="0.2">
      <c r="A35" s="276"/>
      <c r="B35" s="272"/>
      <c r="C35" s="273"/>
      <c r="D35" s="272"/>
      <c r="E35" s="273"/>
      <c r="F35" s="273"/>
      <c r="G35" s="293"/>
      <c r="H35" s="290"/>
      <c r="I35" s="291"/>
      <c r="K35" s="293"/>
      <c r="L35" s="290"/>
      <c r="M35" s="291"/>
      <c r="N35" s="290"/>
      <c r="O35" s="291"/>
      <c r="Q35" s="293"/>
      <c r="R35" s="290"/>
      <c r="S35" s="291"/>
      <c r="AE35" s="274"/>
      <c r="AF35" s="275"/>
    </row>
    <row r="36" spans="1:32" hidden="1" x14ac:dyDescent="0.2">
      <c r="A36" s="276"/>
      <c r="B36" s="272"/>
      <c r="C36" s="273"/>
      <c r="D36" s="272"/>
      <c r="E36" s="273"/>
      <c r="F36" s="273"/>
      <c r="G36" s="293"/>
      <c r="H36" s="290"/>
      <c r="I36" s="291"/>
      <c r="K36" s="293"/>
      <c r="L36" s="290"/>
      <c r="M36" s="291"/>
      <c r="N36" s="290"/>
      <c r="O36" s="291"/>
      <c r="Q36" s="293"/>
      <c r="R36" s="290"/>
      <c r="S36" s="291"/>
      <c r="AE36" s="274"/>
      <c r="AF36" s="275"/>
    </row>
    <row r="37" spans="1:32" hidden="1" x14ac:dyDescent="0.2">
      <c r="A37" s="276"/>
      <c r="B37" s="272"/>
      <c r="C37" s="273"/>
      <c r="D37" s="272"/>
      <c r="E37" s="273"/>
      <c r="F37" s="273"/>
      <c r="G37" s="293"/>
      <c r="H37" s="290"/>
      <c r="I37" s="291"/>
      <c r="K37" s="293"/>
      <c r="L37" s="290"/>
      <c r="M37" s="291"/>
      <c r="N37" s="290"/>
      <c r="O37" s="291"/>
      <c r="Q37" s="293"/>
      <c r="R37" s="290"/>
      <c r="S37" s="291"/>
      <c r="AE37" s="274"/>
      <c r="AF37" s="275"/>
    </row>
    <row r="38" spans="1:32" hidden="1" x14ac:dyDescent="0.2">
      <c r="A38" s="276"/>
      <c r="B38" s="272"/>
      <c r="C38" s="273"/>
      <c r="D38" s="272"/>
      <c r="E38" s="273"/>
      <c r="F38" s="273"/>
      <c r="G38" s="293"/>
      <c r="H38" s="290"/>
      <c r="I38" s="291"/>
      <c r="K38" s="293"/>
      <c r="L38" s="290"/>
      <c r="M38" s="291"/>
      <c r="N38" s="290"/>
      <c r="O38" s="291"/>
      <c r="Q38" s="293"/>
      <c r="R38" s="290"/>
      <c r="S38" s="291"/>
      <c r="AE38" s="274"/>
      <c r="AF38" s="275"/>
    </row>
    <row r="39" spans="1:32" hidden="1" x14ac:dyDescent="0.2">
      <c r="A39" s="276"/>
      <c r="B39" s="272"/>
      <c r="C39" s="273"/>
      <c r="D39" s="272"/>
      <c r="E39" s="273"/>
      <c r="F39" s="273"/>
      <c r="G39" s="293"/>
      <c r="H39" s="290"/>
      <c r="I39" s="291"/>
      <c r="K39" s="293"/>
      <c r="L39" s="290"/>
      <c r="M39" s="291"/>
      <c r="N39" s="290"/>
      <c r="O39" s="291"/>
      <c r="Q39" s="293"/>
      <c r="R39" s="290"/>
      <c r="S39" s="291"/>
      <c r="AE39" s="274"/>
      <c r="AF39" s="275"/>
    </row>
    <row r="40" spans="1:32" x14ac:dyDescent="0.2">
      <c r="A40" s="271" t="s">
        <v>235</v>
      </c>
      <c r="B40" s="272" t="s">
        <v>236</v>
      </c>
      <c r="C40" s="273">
        <v>3385.3006839999998</v>
      </c>
      <c r="D40" s="340">
        <f t="shared" ref="D40:D62" si="7">IF(ISERROR(FIND("UR",B40)),1,0.2)</f>
        <v>1</v>
      </c>
      <c r="E40" s="273">
        <f t="shared" ref="E40:E62" si="8">C40*D40</f>
        <v>3385.3006839999998</v>
      </c>
      <c r="F40" s="273"/>
      <c r="G40" s="293" t="str">
        <f>LOOKUP(B40,'1.2 EDU Factors'!$A$12:$A$36, '1.2 EDU Factors'!$C$12:$C$36)</f>
        <v>Acre</v>
      </c>
      <c r="H40" s="290">
        <f>LOOKUP(B40,'1.2 EDU Factors'!$A$12:$A$36, '1.2 EDU Factors'!$E$12:$E$36)</f>
        <v>0</v>
      </c>
      <c r="I40" s="291">
        <f t="shared" ref="I40:I62" si="9">H40*E40</f>
        <v>0</v>
      </c>
      <c r="K40" s="293" t="str">
        <f>LOOKUP(B40,'1.2 EDU Factors'!$A$12:$A$36, '1.2 EDU Factors'!$G$12:$G$36)</f>
        <v>Acre</v>
      </c>
      <c r="L40" s="290">
        <f>LOOKUP(B40,'1.2 EDU Factors'!$A$12:$A$36, '1.2 EDU Factors'!$H$12:$H$36)</f>
        <v>0</v>
      </c>
      <c r="M40" s="291">
        <f t="shared" ref="M40:M62" si="10">L40*E40</f>
        <v>0</v>
      </c>
      <c r="N40" s="290">
        <f>LOOKUP(B40,'1.2 EDU Factors'!$A$12:$A$36, '1.2 EDU Factors'!$J$12:$J$36)</f>
        <v>0</v>
      </c>
      <c r="O40" s="291">
        <f t="shared" ref="O40:O62" si="11">N40*M40</f>
        <v>0</v>
      </c>
      <c r="Q40" s="293" t="str">
        <f>LOOKUP(B40,'1.2 EDU Factors'!$A$12:$A$36, '1.2 EDU Factors'!$C$12:$C$36)</f>
        <v>Acre</v>
      </c>
      <c r="R40" s="345">
        <f>LOOKUP(B40,'1.2 EDU Factors'!$A$12:$A$36, '1.2 EDU Factors'!$D$12:$D$36)</f>
        <v>0</v>
      </c>
      <c r="S40" s="291">
        <f t="shared" ref="S40:S62" si="12">R40*E40</f>
        <v>0</v>
      </c>
      <c r="AE40" s="274"/>
      <c r="AF40" s="275"/>
    </row>
    <row r="41" spans="1:32" x14ac:dyDescent="0.2">
      <c r="A41" s="276"/>
      <c r="B41" s="272" t="s">
        <v>226</v>
      </c>
      <c r="C41" s="273">
        <v>29.292310000000001</v>
      </c>
      <c r="D41" s="340">
        <f t="shared" si="7"/>
        <v>1</v>
      </c>
      <c r="E41" s="273">
        <f t="shared" si="8"/>
        <v>29.292310000000001</v>
      </c>
      <c r="F41" s="273"/>
      <c r="G41" s="293" t="str">
        <f>LOOKUP(B41,'1.2 EDU Factors'!$A$12:$A$36, '1.2 EDU Factors'!$C$12:$C$36)</f>
        <v>Acre</v>
      </c>
      <c r="H41" s="290">
        <f>LOOKUP(B41,'1.2 EDU Factors'!$A$12:$A$36, '1.2 EDU Factors'!$E$12:$E$36)</f>
        <v>3.0606435643564356</v>
      </c>
      <c r="I41" s="291">
        <f t="shared" si="9"/>
        <v>89.65332008663367</v>
      </c>
      <c r="K41" s="293" t="str">
        <f>LOOKUP(B41,'1.2 EDU Factors'!$A$12:$A$36, '1.2 EDU Factors'!$G$12:$G$36)</f>
        <v>Acre</v>
      </c>
      <c r="L41" s="290">
        <f>LOOKUP(B41,'1.2 EDU Factors'!$A$12:$A$36, '1.2 EDU Factors'!$H$12:$H$36)</f>
        <v>1</v>
      </c>
      <c r="M41" s="291">
        <f t="shared" si="10"/>
        <v>29.292310000000001</v>
      </c>
      <c r="N41" s="290">
        <f>LOOKUP(B41,'1.2 EDU Factors'!$A$12:$A$36, '1.2 EDU Factors'!$J$12:$J$36)</f>
        <v>15.456250000000001</v>
      </c>
      <c r="O41" s="291">
        <f t="shared" si="11"/>
        <v>452.74926643750001</v>
      </c>
      <c r="Q41" s="293" t="str">
        <f>LOOKUP(B41,'1.2 EDU Factors'!$A$12:$A$36, '1.2 EDU Factors'!$C$12:$C$36)</f>
        <v>Acre</v>
      </c>
      <c r="R41" s="345">
        <f>LOOKUP(B41,'1.2 EDU Factors'!$A$12:$A$36, '1.2 EDU Factors'!$D$12:$D$36)</f>
        <v>2473</v>
      </c>
      <c r="S41" s="291">
        <f t="shared" si="12"/>
        <v>72439.882630000007</v>
      </c>
      <c r="AE41" s="274"/>
      <c r="AF41" s="275"/>
    </row>
    <row r="42" spans="1:32" x14ac:dyDescent="0.2">
      <c r="A42" s="276"/>
      <c r="B42" s="272" t="s">
        <v>227</v>
      </c>
      <c r="C42" s="273">
        <v>18.761132</v>
      </c>
      <c r="D42" s="340">
        <f t="shared" si="7"/>
        <v>1</v>
      </c>
      <c r="E42" s="273">
        <f t="shared" si="8"/>
        <v>18.761132</v>
      </c>
      <c r="F42" s="273"/>
      <c r="G42" s="293" t="str">
        <f>LOOKUP(B42,'1.2 EDU Factors'!$A$12:$A$36, '1.2 EDU Factors'!$C$12:$C$36)</f>
        <v>Acre</v>
      </c>
      <c r="H42" s="290">
        <f>LOOKUP(B42,'1.2 EDU Factors'!$A$12:$A$36, '1.2 EDU Factors'!$E$12:$E$36)</f>
        <v>0.92821782178217827</v>
      </c>
      <c r="I42" s="291">
        <f t="shared" si="9"/>
        <v>17.414417079207922</v>
      </c>
      <c r="K42" s="293" t="str">
        <f>LOOKUP(B42,'1.2 EDU Factors'!$A$12:$A$36, '1.2 EDU Factors'!$G$12:$G$36)</f>
        <v>Acre</v>
      </c>
      <c r="L42" s="290">
        <f>LOOKUP(B42,'1.2 EDU Factors'!$A$12:$A$36, '1.2 EDU Factors'!$H$12:$H$36)</f>
        <v>1</v>
      </c>
      <c r="M42" s="291">
        <f t="shared" si="10"/>
        <v>18.761132</v>
      </c>
      <c r="N42" s="290">
        <f>LOOKUP(B42,'1.2 EDU Factors'!$A$12:$A$36, '1.2 EDU Factors'!$J$12:$J$36)</f>
        <v>4.6875</v>
      </c>
      <c r="O42" s="291">
        <f t="shared" si="11"/>
        <v>87.942806250000004</v>
      </c>
      <c r="Q42" s="293" t="str">
        <f>LOOKUP(B42,'1.2 EDU Factors'!$A$12:$A$36, '1.2 EDU Factors'!$C$12:$C$36)</f>
        <v>Acre</v>
      </c>
      <c r="R42" s="345">
        <f>LOOKUP(B42,'1.2 EDU Factors'!$A$12:$A$36, '1.2 EDU Factors'!$D$12:$D$36)</f>
        <v>750</v>
      </c>
      <c r="S42" s="291">
        <f t="shared" si="12"/>
        <v>14070.849</v>
      </c>
      <c r="AE42" s="274"/>
      <c r="AF42" s="275"/>
    </row>
    <row r="43" spans="1:32" x14ac:dyDescent="0.2">
      <c r="A43" s="276"/>
      <c r="B43" s="272" t="s">
        <v>228</v>
      </c>
      <c r="C43" s="273">
        <v>25.666180000000001</v>
      </c>
      <c r="D43" s="340">
        <f t="shared" si="7"/>
        <v>1</v>
      </c>
      <c r="E43" s="273">
        <f t="shared" si="8"/>
        <v>25.666180000000001</v>
      </c>
      <c r="F43" s="273"/>
      <c r="G43" s="293" t="str">
        <f>LOOKUP(B43,'1.2 EDU Factors'!$A$12:$A$36, '1.2 EDU Factors'!$C$12:$C$36)</f>
        <v>Acre</v>
      </c>
      <c r="H43" s="290">
        <f>LOOKUP(B43,'1.2 EDU Factors'!$A$12:$A$36, '1.2 EDU Factors'!$E$12:$E$36)</f>
        <v>2.8923267326732671</v>
      </c>
      <c r="I43" s="291">
        <f t="shared" si="9"/>
        <v>74.234978539603958</v>
      </c>
      <c r="K43" s="293" t="str">
        <f>LOOKUP(B43,'1.2 EDU Factors'!$A$12:$A$36, '1.2 EDU Factors'!$G$12:$G$36)</f>
        <v>Dwelling Unit</v>
      </c>
      <c r="L43" s="290">
        <f>LOOKUP(B43,'1.2 EDU Factors'!$A$12:$A$36, '1.2 EDU Factors'!$H$12:$H$36)</f>
        <v>19.974358974358974</v>
      </c>
      <c r="M43" s="291">
        <f t="shared" si="10"/>
        <v>512.66549282051278</v>
      </c>
      <c r="N43" s="290">
        <f>LOOKUP(B43,'1.2 EDU Factors'!$A$12:$A$36, '1.2 EDU Factors'!$J$12:$J$36)</f>
        <v>0.73124999999999996</v>
      </c>
      <c r="O43" s="291">
        <f t="shared" si="11"/>
        <v>374.88664162499992</v>
      </c>
      <c r="Q43" s="293" t="str">
        <f>LOOKUP(B43,'1.2 EDU Factors'!$A$12:$A$36, '1.2 EDU Factors'!$C$12:$C$36)</f>
        <v>Acre</v>
      </c>
      <c r="R43" s="345">
        <f>LOOKUP(B43,'1.2 EDU Factors'!$A$12:$A$36, '1.2 EDU Factors'!$D$12:$D$36)</f>
        <v>2337</v>
      </c>
      <c r="S43" s="291">
        <f t="shared" si="12"/>
        <v>59981.862659999999</v>
      </c>
      <c r="AE43" s="274"/>
      <c r="AF43" s="275"/>
    </row>
    <row r="44" spans="1:32" x14ac:dyDescent="0.2">
      <c r="A44" s="276"/>
      <c r="B44" s="272" t="s">
        <v>237</v>
      </c>
      <c r="C44" s="273">
        <v>175.12787800000001</v>
      </c>
      <c r="D44" s="340">
        <f t="shared" si="7"/>
        <v>1</v>
      </c>
      <c r="E44" s="273">
        <f t="shared" si="8"/>
        <v>175.12787800000001</v>
      </c>
      <c r="F44" s="273"/>
      <c r="G44" s="293" t="str">
        <f>LOOKUP(B44,'1.2 EDU Factors'!$A$12:$A$36, '1.2 EDU Factors'!$C$12:$C$36)</f>
        <v>Acre</v>
      </c>
      <c r="H44" s="290">
        <f>LOOKUP(B44,'1.2 EDU Factors'!$A$12:$A$36, '1.2 EDU Factors'!$E$12:$E$36)</f>
        <v>1.2376237623762376</v>
      </c>
      <c r="I44" s="291">
        <f t="shared" si="9"/>
        <v>216.74242326732676</v>
      </c>
      <c r="K44" s="293" t="str">
        <f>LOOKUP(B44,'1.2 EDU Factors'!$A$12:$A$36, '1.2 EDU Factors'!$G$12:$G$36)</f>
        <v>Acre</v>
      </c>
      <c r="L44" s="290">
        <f>LOOKUP(B44,'1.2 EDU Factors'!$A$12:$A$36, '1.2 EDU Factors'!$H$12:$H$36)</f>
        <v>1</v>
      </c>
      <c r="M44" s="291">
        <f t="shared" si="10"/>
        <v>175.12787800000001</v>
      </c>
      <c r="N44" s="290">
        <f>LOOKUP(B44,'1.2 EDU Factors'!$A$12:$A$36, '1.2 EDU Factors'!$J$12:$J$36)</f>
        <v>6.25</v>
      </c>
      <c r="O44" s="291">
        <f t="shared" si="11"/>
        <v>1094.5492375000001</v>
      </c>
      <c r="Q44" s="293" t="str">
        <f>LOOKUP(B44,'1.2 EDU Factors'!$A$12:$A$36, '1.2 EDU Factors'!$C$12:$C$36)</f>
        <v>Acre</v>
      </c>
      <c r="R44" s="345">
        <f>LOOKUP(B44,'1.2 EDU Factors'!$A$12:$A$36, '1.2 EDU Factors'!$D$12:$D$36)</f>
        <v>1000</v>
      </c>
      <c r="S44" s="291">
        <f t="shared" si="12"/>
        <v>175127.878</v>
      </c>
      <c r="AE44" s="274"/>
      <c r="AF44" s="275"/>
    </row>
    <row r="45" spans="1:32" x14ac:dyDescent="0.2">
      <c r="A45" s="276"/>
      <c r="B45" s="272" t="s">
        <v>229</v>
      </c>
      <c r="C45" s="273">
        <v>1033.033453</v>
      </c>
      <c r="D45" s="340">
        <f t="shared" si="7"/>
        <v>1</v>
      </c>
      <c r="E45" s="273">
        <f t="shared" si="8"/>
        <v>1033.033453</v>
      </c>
      <c r="F45" s="273"/>
      <c r="G45" s="293" t="str">
        <f>LOOKUP(B45,'1.2 EDU Factors'!$A$12:$A$36, '1.2 EDU Factors'!$C$12:$C$36)</f>
        <v>Acre</v>
      </c>
      <c r="H45" s="290">
        <f>LOOKUP(B45,'1.2 EDU Factors'!$A$12:$A$36, '1.2 EDU Factors'!$E$12:$E$36)</f>
        <v>1</v>
      </c>
      <c r="I45" s="291">
        <f t="shared" si="9"/>
        <v>1033.033453</v>
      </c>
      <c r="K45" s="293" t="str">
        <f>LOOKUP(B45,'1.2 EDU Factors'!$A$12:$A$36, '1.2 EDU Factors'!$G$12:$G$36)</f>
        <v>Dwelling Unit</v>
      </c>
      <c r="L45" s="290">
        <f>LOOKUP(B45,'1.2 EDU Factors'!$A$12:$A$36, '1.2 EDU Factors'!$H$12:$H$36)</f>
        <v>5.05</v>
      </c>
      <c r="M45" s="291">
        <f t="shared" si="10"/>
        <v>5216.8189376499995</v>
      </c>
      <c r="N45" s="290">
        <f>LOOKUP(B45,'1.2 EDU Factors'!$A$12:$A$36, '1.2 EDU Factors'!$J$12:$J$36)</f>
        <v>1</v>
      </c>
      <c r="O45" s="291">
        <f t="shared" si="11"/>
        <v>5216.8189376499995</v>
      </c>
      <c r="Q45" s="293" t="str">
        <f>LOOKUP(B45,'1.2 EDU Factors'!$A$12:$A$36, '1.2 EDU Factors'!$C$12:$C$36)</f>
        <v>Acre</v>
      </c>
      <c r="R45" s="345">
        <f>LOOKUP(B45,'1.2 EDU Factors'!$A$12:$A$36, '1.2 EDU Factors'!$D$12:$D$36)</f>
        <v>808</v>
      </c>
      <c r="S45" s="291">
        <f t="shared" si="12"/>
        <v>834691.03002399998</v>
      </c>
      <c r="AE45" s="274"/>
      <c r="AF45" s="275"/>
    </row>
    <row r="46" spans="1:32" x14ac:dyDescent="0.2">
      <c r="A46" s="276"/>
      <c r="B46" s="272" t="s">
        <v>230</v>
      </c>
      <c r="C46" s="273">
        <v>527.84235899999999</v>
      </c>
      <c r="D46" s="340">
        <f t="shared" si="7"/>
        <v>1</v>
      </c>
      <c r="E46" s="273">
        <f t="shared" si="8"/>
        <v>527.84235899999999</v>
      </c>
      <c r="F46" s="273"/>
      <c r="G46" s="293" t="str">
        <f>LOOKUP(B46,'1.2 EDU Factors'!$A$12:$A$36, '1.2 EDU Factors'!$C$12:$C$36)</f>
        <v>Acre</v>
      </c>
      <c r="H46" s="290">
        <f>LOOKUP(B46,'1.2 EDU Factors'!$A$12:$A$36, '1.2 EDU Factors'!$E$12:$E$36)</f>
        <v>1.2376237623762376</v>
      </c>
      <c r="I46" s="291">
        <f t="shared" si="9"/>
        <v>653.27024628712866</v>
      </c>
      <c r="K46" s="293" t="str">
        <f>LOOKUP(B46,'1.2 EDU Factors'!$A$12:$A$36, '1.2 EDU Factors'!$G$12:$G$36)</f>
        <v>Acre</v>
      </c>
      <c r="L46" s="290">
        <f>LOOKUP(B46,'1.2 EDU Factors'!$A$12:$A$36, '1.2 EDU Factors'!$H$12:$H$36)</f>
        <v>1</v>
      </c>
      <c r="M46" s="291">
        <f t="shared" si="10"/>
        <v>527.84235899999999</v>
      </c>
      <c r="N46" s="290">
        <f>LOOKUP(B46,'1.2 EDU Factors'!$A$12:$A$36, '1.2 EDU Factors'!$J$12:$J$36)</f>
        <v>6.25</v>
      </c>
      <c r="O46" s="291">
        <f t="shared" si="11"/>
        <v>3299.01474375</v>
      </c>
      <c r="Q46" s="293" t="str">
        <f>LOOKUP(B46,'1.2 EDU Factors'!$A$12:$A$36, '1.2 EDU Factors'!$C$12:$C$36)</f>
        <v>Acre</v>
      </c>
      <c r="R46" s="345">
        <f>LOOKUP(B46,'1.2 EDU Factors'!$A$12:$A$36, '1.2 EDU Factors'!$D$12:$D$36)</f>
        <v>1000</v>
      </c>
      <c r="S46" s="291">
        <f t="shared" si="12"/>
        <v>527842.35899999994</v>
      </c>
      <c r="AE46" s="274"/>
      <c r="AF46" s="275"/>
    </row>
    <row r="47" spans="1:32" x14ac:dyDescent="0.2">
      <c r="A47" s="276"/>
      <c r="B47" s="272" t="s">
        <v>231</v>
      </c>
      <c r="C47" s="273">
        <v>19.097294000000002</v>
      </c>
      <c r="D47" s="340">
        <f t="shared" si="7"/>
        <v>1</v>
      </c>
      <c r="E47" s="273">
        <f t="shared" si="8"/>
        <v>19.097294000000002</v>
      </c>
      <c r="F47" s="273"/>
      <c r="G47" s="293" t="str">
        <f>LOOKUP(B47,'1.2 EDU Factors'!$A$12:$A$36, '1.2 EDU Factors'!$C$12:$C$36)</f>
        <v>Acre</v>
      </c>
      <c r="H47" s="290">
        <f>LOOKUP(B47,'1.2 EDU Factors'!$A$12:$A$36, '1.2 EDU Factors'!$E$12:$E$36)</f>
        <v>1.6658415841584158</v>
      </c>
      <c r="I47" s="291">
        <f t="shared" si="9"/>
        <v>31.813066490099011</v>
      </c>
      <c r="K47" s="293" t="str">
        <f>LOOKUP(B47,'1.2 EDU Factors'!$A$12:$A$36, '1.2 EDU Factors'!$G$12:$G$36)</f>
        <v>Dwelling Unit</v>
      </c>
      <c r="L47" s="290">
        <f>LOOKUP(B47,'1.2 EDU Factors'!$A$12:$A$36, '1.2 EDU Factors'!$H$12:$H$36)</f>
        <v>11.504273504273504</v>
      </c>
      <c r="M47" s="291">
        <f t="shared" si="10"/>
        <v>219.70049336752137</v>
      </c>
      <c r="N47" s="290">
        <f>LOOKUP(B47,'1.2 EDU Factors'!$A$12:$A$36, '1.2 EDU Factors'!$J$12:$J$36)</f>
        <v>0.73124999999999996</v>
      </c>
      <c r="O47" s="291">
        <f t="shared" si="11"/>
        <v>160.655985775</v>
      </c>
      <c r="Q47" s="293" t="str">
        <f>LOOKUP(B47,'1.2 EDU Factors'!$A$12:$A$36, '1.2 EDU Factors'!$C$12:$C$36)</f>
        <v>Acre</v>
      </c>
      <c r="R47" s="345">
        <f>LOOKUP(B47,'1.2 EDU Factors'!$A$12:$A$36, '1.2 EDU Factors'!$D$12:$D$36)</f>
        <v>1346</v>
      </c>
      <c r="S47" s="291">
        <f t="shared" si="12"/>
        <v>25704.957724000004</v>
      </c>
      <c r="AE47" s="274"/>
      <c r="AF47" s="275"/>
    </row>
    <row r="48" spans="1:32" x14ac:dyDescent="0.2">
      <c r="A48" s="276"/>
      <c r="B48" s="272" t="s">
        <v>232</v>
      </c>
      <c r="C48" s="273">
        <v>22.485962000000001</v>
      </c>
      <c r="D48" s="340">
        <f t="shared" si="7"/>
        <v>1</v>
      </c>
      <c r="E48" s="273">
        <f t="shared" si="8"/>
        <v>22.485962000000001</v>
      </c>
      <c r="F48" s="273"/>
      <c r="G48" s="293" t="str">
        <f>LOOKUP(B48,'1.2 EDU Factors'!$A$12:$A$36, '1.2 EDU Factors'!$C$12:$C$36)</f>
        <v>Acre</v>
      </c>
      <c r="H48" s="290">
        <f>LOOKUP(B48,'1.2 EDU Factors'!$A$12:$A$36, '1.2 EDU Factors'!$E$12:$E$36)</f>
        <v>1.386138613861386</v>
      </c>
      <c r="I48" s="291">
        <f t="shared" si="9"/>
        <v>31.168660198019801</v>
      </c>
      <c r="K48" s="293" t="str">
        <f>LOOKUP(B48,'1.2 EDU Factors'!$A$12:$A$36, '1.2 EDU Factors'!$G$12:$G$36)</f>
        <v>Acre</v>
      </c>
      <c r="L48" s="290">
        <f>LOOKUP(B48,'1.2 EDU Factors'!$A$12:$A$36, '1.2 EDU Factors'!$H$12:$H$36)</f>
        <v>1</v>
      </c>
      <c r="M48" s="291">
        <f t="shared" si="10"/>
        <v>22.485962000000001</v>
      </c>
      <c r="N48" s="290">
        <f>LOOKUP(B48,'1.2 EDU Factors'!$A$12:$A$36, '1.2 EDU Factors'!$J$12:$J$36)</f>
        <v>7</v>
      </c>
      <c r="O48" s="291">
        <f t="shared" si="11"/>
        <v>157.401734</v>
      </c>
      <c r="Q48" s="293" t="str">
        <f>LOOKUP(B48,'1.2 EDU Factors'!$A$12:$A$36, '1.2 EDU Factors'!$C$12:$C$36)</f>
        <v>Acre</v>
      </c>
      <c r="R48" s="345">
        <f>LOOKUP(B48,'1.2 EDU Factors'!$A$12:$A$36, '1.2 EDU Factors'!$D$12:$D$36)</f>
        <v>1120</v>
      </c>
      <c r="S48" s="291">
        <f t="shared" si="12"/>
        <v>25184.277440000002</v>
      </c>
      <c r="AE48" s="274"/>
      <c r="AF48" s="275"/>
    </row>
    <row r="49" spans="1:32" x14ac:dyDescent="0.2">
      <c r="A49" s="276"/>
      <c r="B49" s="272" t="s">
        <v>238</v>
      </c>
      <c r="C49" s="273">
        <v>15.368535</v>
      </c>
      <c r="D49" s="340">
        <f t="shared" si="7"/>
        <v>1</v>
      </c>
      <c r="E49" s="273">
        <f t="shared" si="8"/>
        <v>15.368535</v>
      </c>
      <c r="F49" s="273"/>
      <c r="G49" s="293" t="str">
        <f>LOOKUP(B49,'1.2 EDU Factors'!$A$12:$A$36, '1.2 EDU Factors'!$C$12:$C$36)</f>
        <v>Acre</v>
      </c>
      <c r="H49" s="290">
        <f>LOOKUP(B49,'1.2 EDU Factors'!$A$12:$A$36, '1.2 EDU Factors'!$E$12:$E$36)</f>
        <v>0</v>
      </c>
      <c r="I49" s="291">
        <f t="shared" si="9"/>
        <v>0</v>
      </c>
      <c r="K49" s="293" t="str">
        <f>LOOKUP(B49,'1.2 EDU Factors'!$A$12:$A$36, '1.2 EDU Factors'!$G$12:$G$36)</f>
        <v>Acre</v>
      </c>
      <c r="L49" s="290">
        <f>LOOKUP(B49,'1.2 EDU Factors'!$A$12:$A$36, '1.2 EDU Factors'!$H$12:$H$36)</f>
        <v>1</v>
      </c>
      <c r="M49" s="291">
        <f t="shared" si="10"/>
        <v>15.368535</v>
      </c>
      <c r="N49" s="290">
        <f>LOOKUP(B49,'1.2 EDU Factors'!$A$12:$A$36, '1.2 EDU Factors'!$J$12:$J$36)</f>
        <v>0</v>
      </c>
      <c r="O49" s="291">
        <f t="shared" si="11"/>
        <v>0</v>
      </c>
      <c r="Q49" s="293" t="str">
        <f>LOOKUP(B49,'1.2 EDU Factors'!$A$12:$A$36, '1.2 EDU Factors'!$C$12:$C$36)</f>
        <v>Acre</v>
      </c>
      <c r="R49" s="345">
        <f>LOOKUP(B49,'1.2 EDU Factors'!$A$12:$A$36, '1.2 EDU Factors'!$D$12:$D$36)</f>
        <v>0</v>
      </c>
      <c r="S49" s="291">
        <f t="shared" si="12"/>
        <v>0</v>
      </c>
      <c r="AE49" s="274"/>
      <c r="AF49" s="275"/>
    </row>
    <row r="50" spans="1:32" x14ac:dyDescent="0.2">
      <c r="A50" s="276"/>
      <c r="B50" s="272" t="s">
        <v>233</v>
      </c>
      <c r="C50" s="273">
        <v>44.270046000000001</v>
      </c>
      <c r="D50" s="340">
        <f t="shared" si="7"/>
        <v>1</v>
      </c>
      <c r="E50" s="273">
        <f t="shared" si="8"/>
        <v>44.270046000000001</v>
      </c>
      <c r="F50" s="273"/>
      <c r="G50" s="293" t="str">
        <f>LOOKUP(B50,'1.2 EDU Factors'!$A$12:$A$36, '1.2 EDU Factors'!$C$12:$C$36)</f>
        <v>Acre</v>
      </c>
      <c r="H50" s="290">
        <f>LOOKUP(B50,'1.2 EDU Factors'!$A$12:$A$36, '1.2 EDU Factors'!$E$12:$E$36)</f>
        <v>0.49504950495049505</v>
      </c>
      <c r="I50" s="291">
        <f t="shared" si="9"/>
        <v>21.915864356435645</v>
      </c>
      <c r="K50" s="293" t="str">
        <f>LOOKUP(B50,'1.2 EDU Factors'!$A$12:$A$36, '1.2 EDU Factors'!$G$12:$G$36)</f>
        <v>Acre</v>
      </c>
      <c r="L50" s="290">
        <f>LOOKUP(B50,'1.2 EDU Factors'!$A$12:$A$36, '1.2 EDU Factors'!$H$12:$H$36)</f>
        <v>1</v>
      </c>
      <c r="M50" s="291">
        <f t="shared" si="10"/>
        <v>44.270046000000001</v>
      </c>
      <c r="N50" s="290">
        <f>LOOKUP(B50,'1.2 EDU Factors'!$A$12:$A$36, '1.2 EDU Factors'!$J$12:$J$36)</f>
        <v>2.5</v>
      </c>
      <c r="O50" s="291">
        <f t="shared" si="11"/>
        <v>110.67511500000001</v>
      </c>
      <c r="Q50" s="293" t="str">
        <f>LOOKUP(B50,'1.2 EDU Factors'!$A$12:$A$36, '1.2 EDU Factors'!$C$12:$C$36)</f>
        <v>Acre</v>
      </c>
      <c r="R50" s="345">
        <f>LOOKUP(B50,'1.2 EDU Factors'!$A$12:$A$36, '1.2 EDU Factors'!$D$12:$D$36)</f>
        <v>400</v>
      </c>
      <c r="S50" s="291">
        <f t="shared" si="12"/>
        <v>17708.018400000001</v>
      </c>
      <c r="AE50" s="274"/>
      <c r="AF50" s="275"/>
    </row>
    <row r="51" spans="1:32" x14ac:dyDescent="0.2">
      <c r="A51" s="276"/>
      <c r="B51" s="272" t="s">
        <v>239</v>
      </c>
      <c r="C51" s="273">
        <v>157.17575600000001</v>
      </c>
      <c r="D51" s="340">
        <f t="shared" si="7"/>
        <v>1</v>
      </c>
      <c r="E51" s="273">
        <f t="shared" si="8"/>
        <v>157.17575600000001</v>
      </c>
      <c r="F51" s="273"/>
      <c r="G51" s="293" t="str">
        <f>LOOKUP(B51,'1.2 EDU Factors'!$A$12:$A$36, '1.2 EDU Factors'!$C$12:$C$36)</f>
        <v>Acre</v>
      </c>
      <c r="H51" s="290">
        <f>LOOKUP(B51,'1.2 EDU Factors'!$A$12:$A$36, '1.2 EDU Factors'!$E$12:$E$36)</f>
        <v>0.52599009900990101</v>
      </c>
      <c r="I51" s="291">
        <f t="shared" si="9"/>
        <v>82.672891460396045</v>
      </c>
      <c r="K51" s="293" t="str">
        <f>LOOKUP(B51,'1.2 EDU Factors'!$A$12:$A$36, '1.2 EDU Factors'!$G$12:$G$36)</f>
        <v>Acre</v>
      </c>
      <c r="L51" s="290">
        <f>LOOKUP(B51,'1.2 EDU Factors'!$A$12:$A$36, '1.2 EDU Factors'!$H$12:$H$36)</f>
        <v>1</v>
      </c>
      <c r="M51" s="291">
        <f t="shared" si="10"/>
        <v>157.17575600000001</v>
      </c>
      <c r="N51" s="290">
        <f>LOOKUP(B51,'1.2 EDU Factors'!$A$12:$A$36, '1.2 EDU Factors'!$J$12:$J$36)</f>
        <v>2.65625</v>
      </c>
      <c r="O51" s="291">
        <f t="shared" si="11"/>
        <v>417.49810187500003</v>
      </c>
      <c r="Q51" s="293" t="str">
        <f>LOOKUP(B51,'1.2 EDU Factors'!$A$12:$A$36, '1.2 EDU Factors'!$C$12:$C$36)</f>
        <v>Acre</v>
      </c>
      <c r="R51" s="345">
        <f>LOOKUP(B51,'1.2 EDU Factors'!$A$12:$A$36, '1.2 EDU Factors'!$D$12:$D$36)</f>
        <v>425</v>
      </c>
      <c r="S51" s="291">
        <f t="shared" si="12"/>
        <v>66799.696299999996</v>
      </c>
      <c r="AE51" s="274"/>
      <c r="AF51" s="275"/>
    </row>
    <row r="52" spans="1:32" x14ac:dyDescent="0.2">
      <c r="A52" s="276"/>
      <c r="B52" s="272" t="s">
        <v>240</v>
      </c>
      <c r="C52" s="273">
        <v>578.53751799999998</v>
      </c>
      <c r="D52" s="340">
        <f t="shared" si="7"/>
        <v>0.2</v>
      </c>
      <c r="E52" s="273">
        <f t="shared" si="8"/>
        <v>115.7075036</v>
      </c>
      <c r="F52" s="273"/>
      <c r="G52" s="293" t="str">
        <f>LOOKUP(B52,'1.2 EDU Factors'!$A$12:$A$36, '1.2 EDU Factors'!$C$12:$C$36)</f>
        <v>Acre</v>
      </c>
      <c r="H52" s="290">
        <f>LOOKUP(B52,'1.2 EDU Factors'!$A$12:$A$36, '1.2 EDU Factors'!$E$12:$E$36)</f>
        <v>0.39603960396039606</v>
      </c>
      <c r="I52" s="291">
        <f t="shared" si="9"/>
        <v>45.824753900990096</v>
      </c>
      <c r="K52" s="293" t="str">
        <f>LOOKUP(B52,'1.2 EDU Factors'!$A$12:$A$36, '1.2 EDU Factors'!$G$12:$G$36)</f>
        <v>Acre</v>
      </c>
      <c r="L52" s="290">
        <f>LOOKUP(B52,'1.2 EDU Factors'!$A$12:$A$36, '1.2 EDU Factors'!$H$12:$H$36)</f>
        <v>1</v>
      </c>
      <c r="M52" s="291">
        <f t="shared" si="10"/>
        <v>115.7075036</v>
      </c>
      <c r="N52" s="290">
        <f>LOOKUP(B52,'1.2 EDU Factors'!$A$12:$A$36, '1.2 EDU Factors'!$J$12:$J$36)</f>
        <v>2</v>
      </c>
      <c r="O52" s="291">
        <f t="shared" si="11"/>
        <v>231.41500719999999</v>
      </c>
      <c r="Q52" s="293" t="str">
        <f>LOOKUP(B52,'1.2 EDU Factors'!$A$12:$A$36, '1.2 EDU Factors'!$C$12:$C$36)</f>
        <v>Acre</v>
      </c>
      <c r="R52" s="345">
        <f>LOOKUP(B52,'1.2 EDU Factors'!$A$12:$A$36, '1.2 EDU Factors'!$D$12:$D$36)</f>
        <v>320</v>
      </c>
      <c r="S52" s="291">
        <f t="shared" si="12"/>
        <v>37026.401151999999</v>
      </c>
    </row>
    <row r="53" spans="1:32" x14ac:dyDescent="0.2">
      <c r="A53" s="276"/>
      <c r="B53" s="272" t="s">
        <v>241</v>
      </c>
      <c r="C53" s="273">
        <v>1152.6550749999999</v>
      </c>
      <c r="D53" s="340">
        <f t="shared" si="7"/>
        <v>0.2</v>
      </c>
      <c r="E53" s="273">
        <f t="shared" si="8"/>
        <v>230.531015</v>
      </c>
      <c r="F53" s="273"/>
      <c r="G53" s="293" t="str">
        <f>LOOKUP(B53,'1.2 EDU Factors'!$A$12:$A$36, '1.2 EDU Factors'!$C$12:$C$36)</f>
        <v>Acre</v>
      </c>
      <c r="H53" s="290">
        <f>LOOKUP(B53,'1.2 EDU Factors'!$A$12:$A$36, '1.2 EDU Factors'!$E$12:$E$36)</f>
        <v>0</v>
      </c>
      <c r="I53" s="291">
        <f t="shared" si="9"/>
        <v>0</v>
      </c>
      <c r="K53" s="293" t="str">
        <f>LOOKUP(B53,'1.2 EDU Factors'!$A$12:$A$36, '1.2 EDU Factors'!$G$12:$G$36)</f>
        <v>Acre</v>
      </c>
      <c r="L53" s="290">
        <f>LOOKUP(B53,'1.2 EDU Factors'!$A$12:$A$36, '1.2 EDU Factors'!$H$12:$H$36)</f>
        <v>0</v>
      </c>
      <c r="M53" s="291">
        <f t="shared" si="10"/>
        <v>0</v>
      </c>
      <c r="N53" s="290">
        <f>LOOKUP(B53,'1.2 EDU Factors'!$A$12:$A$36, '1.2 EDU Factors'!$J$12:$J$36)</f>
        <v>0</v>
      </c>
      <c r="O53" s="291">
        <f t="shared" si="11"/>
        <v>0</v>
      </c>
      <c r="Q53" s="293" t="str">
        <f>LOOKUP(B53,'1.2 EDU Factors'!$A$12:$A$36, '1.2 EDU Factors'!$C$12:$C$36)</f>
        <v>Acre</v>
      </c>
      <c r="R53" s="345">
        <f>LOOKUP(B53,'1.2 EDU Factors'!$A$12:$A$36, '1.2 EDU Factors'!$D$12:$D$36)</f>
        <v>0</v>
      </c>
      <c r="S53" s="291">
        <f t="shared" si="12"/>
        <v>0</v>
      </c>
    </row>
    <row r="54" spans="1:32" x14ac:dyDescent="0.2">
      <c r="A54" s="276"/>
      <c r="B54" s="272" t="s">
        <v>242</v>
      </c>
      <c r="C54" s="273">
        <v>43.057797000000001</v>
      </c>
      <c r="D54" s="340">
        <f t="shared" si="7"/>
        <v>0.2</v>
      </c>
      <c r="E54" s="273">
        <f t="shared" si="8"/>
        <v>8.6115594000000009</v>
      </c>
      <c r="F54" s="273"/>
      <c r="G54" s="293" t="str">
        <f>LOOKUP(B54,'1.2 EDU Factors'!$A$12:$A$36, '1.2 EDU Factors'!$C$12:$C$36)</f>
        <v>Acre</v>
      </c>
      <c r="H54" s="290">
        <f>LOOKUP(B54,'1.2 EDU Factors'!$A$12:$A$36, '1.2 EDU Factors'!$E$12:$E$36)</f>
        <v>3.0606435643564356</v>
      </c>
      <c r="I54" s="291">
        <f t="shared" si="9"/>
        <v>26.356913856683171</v>
      </c>
      <c r="K54" s="293" t="str">
        <f>LOOKUP(B54,'1.2 EDU Factors'!$A$12:$A$36, '1.2 EDU Factors'!$G$12:$G$36)</f>
        <v>Acre</v>
      </c>
      <c r="L54" s="290">
        <f>LOOKUP(B54,'1.2 EDU Factors'!$A$12:$A$36, '1.2 EDU Factors'!$H$12:$H$36)</f>
        <v>1</v>
      </c>
      <c r="M54" s="291">
        <f t="shared" si="10"/>
        <v>8.6115594000000009</v>
      </c>
      <c r="N54" s="290">
        <f>LOOKUP(B54,'1.2 EDU Factors'!$A$12:$A$36, '1.2 EDU Factors'!$J$12:$J$36)</f>
        <v>15.456250000000001</v>
      </c>
      <c r="O54" s="291">
        <f t="shared" si="11"/>
        <v>133.10241497625003</v>
      </c>
      <c r="Q54" s="293" t="str">
        <f>LOOKUP(B54,'1.2 EDU Factors'!$A$12:$A$36, '1.2 EDU Factors'!$C$12:$C$36)</f>
        <v>Acre</v>
      </c>
      <c r="R54" s="345">
        <f>LOOKUP(B54,'1.2 EDU Factors'!$A$12:$A$36, '1.2 EDU Factors'!$D$12:$D$36)</f>
        <v>2473</v>
      </c>
      <c r="S54" s="291">
        <f t="shared" si="12"/>
        <v>21296.386396200003</v>
      </c>
    </row>
    <row r="55" spans="1:32" x14ac:dyDescent="0.2">
      <c r="A55" s="276"/>
      <c r="B55" s="272" t="s">
        <v>243</v>
      </c>
      <c r="C55" s="273">
        <v>40.434798000000001</v>
      </c>
      <c r="D55" s="340">
        <f t="shared" si="7"/>
        <v>0.2</v>
      </c>
      <c r="E55" s="273">
        <f t="shared" si="8"/>
        <v>8.0869596000000001</v>
      </c>
      <c r="F55" s="273"/>
      <c r="G55" s="293" t="str">
        <f>LOOKUP(B55,'1.2 EDU Factors'!$A$12:$A$36, '1.2 EDU Factors'!$C$12:$C$36)</f>
        <v>Acre</v>
      </c>
      <c r="H55" s="290">
        <f>LOOKUP(B55,'1.2 EDU Factors'!$A$12:$A$36, '1.2 EDU Factors'!$E$12:$E$36)</f>
        <v>0.92821782178217827</v>
      </c>
      <c r="I55" s="291">
        <f t="shared" si="9"/>
        <v>7.5064600247524753</v>
      </c>
      <c r="K55" s="293" t="str">
        <f>LOOKUP(B55,'1.2 EDU Factors'!$A$12:$A$36, '1.2 EDU Factors'!$G$12:$G$36)</f>
        <v>Acre</v>
      </c>
      <c r="L55" s="290">
        <f>LOOKUP(B55,'1.2 EDU Factors'!$A$12:$A$36, '1.2 EDU Factors'!$H$12:$H$36)</f>
        <v>1</v>
      </c>
      <c r="M55" s="291">
        <f t="shared" si="10"/>
        <v>8.0869596000000001</v>
      </c>
      <c r="N55" s="290">
        <f>LOOKUP(B55,'1.2 EDU Factors'!$A$12:$A$36, '1.2 EDU Factors'!$J$12:$J$36)</f>
        <v>4.6875</v>
      </c>
      <c r="O55" s="291">
        <f t="shared" si="11"/>
        <v>37.907623125000001</v>
      </c>
      <c r="Q55" s="293" t="str">
        <f>LOOKUP(B55,'1.2 EDU Factors'!$A$12:$A$36, '1.2 EDU Factors'!$C$12:$C$36)</f>
        <v>Acre</v>
      </c>
      <c r="R55" s="345">
        <f>LOOKUP(B55,'1.2 EDU Factors'!$A$12:$A$36, '1.2 EDU Factors'!$D$12:$D$36)</f>
        <v>750</v>
      </c>
      <c r="S55" s="291">
        <f t="shared" si="12"/>
        <v>6065.2196999999996</v>
      </c>
    </row>
    <row r="56" spans="1:32" x14ac:dyDescent="0.2">
      <c r="A56" s="276"/>
      <c r="B56" s="272" t="s">
        <v>244</v>
      </c>
      <c r="C56" s="273">
        <v>754.374683</v>
      </c>
      <c r="D56" s="340">
        <f t="shared" si="7"/>
        <v>0.2</v>
      </c>
      <c r="E56" s="273">
        <f t="shared" si="8"/>
        <v>150.87493660000001</v>
      </c>
      <c r="F56" s="273"/>
      <c r="G56" s="293" t="str">
        <f>LOOKUP(B56,'1.2 EDU Factors'!$A$12:$A$36, '1.2 EDU Factors'!$C$12:$C$36)</f>
        <v>Acre</v>
      </c>
      <c r="H56" s="290">
        <f>LOOKUP(B56,'1.2 EDU Factors'!$A$12:$A$36, '1.2 EDU Factors'!$E$12:$E$36)</f>
        <v>1</v>
      </c>
      <c r="I56" s="291">
        <f t="shared" si="9"/>
        <v>150.87493660000001</v>
      </c>
      <c r="K56" s="293" t="str">
        <f>LOOKUP(B56,'1.2 EDU Factors'!$A$12:$A$36, '1.2 EDU Factors'!$G$12:$G$36)</f>
        <v>Dwelling Unit</v>
      </c>
      <c r="L56" s="290">
        <f>LOOKUP(B56,'1.2 EDU Factors'!$A$12:$A$36, '1.2 EDU Factors'!$H$12:$H$36)</f>
        <v>5.05</v>
      </c>
      <c r="M56" s="291">
        <f t="shared" si="10"/>
        <v>761.91842983000004</v>
      </c>
      <c r="N56" s="290">
        <f>LOOKUP(B56,'1.2 EDU Factors'!$A$12:$A$36, '1.2 EDU Factors'!$J$12:$J$36)</f>
        <v>1</v>
      </c>
      <c r="O56" s="291">
        <f t="shared" si="11"/>
        <v>761.91842983000004</v>
      </c>
      <c r="Q56" s="293" t="str">
        <f>LOOKUP(B56,'1.2 EDU Factors'!$A$12:$A$36, '1.2 EDU Factors'!$C$12:$C$36)</f>
        <v>Acre</v>
      </c>
      <c r="R56" s="345">
        <f>LOOKUP(B56,'1.2 EDU Factors'!$A$12:$A$36, '1.2 EDU Factors'!$D$12:$D$36)</f>
        <v>808</v>
      </c>
      <c r="S56" s="291">
        <f t="shared" si="12"/>
        <v>121906.94877280001</v>
      </c>
    </row>
    <row r="57" spans="1:32" x14ac:dyDescent="0.2">
      <c r="A57" s="276"/>
      <c r="B57" s="272" t="s">
        <v>245</v>
      </c>
      <c r="C57" s="273">
        <v>114.44947000000001</v>
      </c>
      <c r="D57" s="340">
        <f t="shared" si="7"/>
        <v>0.2</v>
      </c>
      <c r="E57" s="273">
        <f t="shared" si="8"/>
        <v>22.889894000000002</v>
      </c>
      <c r="F57" s="273"/>
      <c r="G57" s="293" t="str">
        <f>LOOKUP(B57,'1.2 EDU Factors'!$A$12:$A$36, '1.2 EDU Factors'!$C$12:$C$36)</f>
        <v>Acre</v>
      </c>
      <c r="H57" s="290">
        <f>LOOKUP(B57,'1.2 EDU Factors'!$A$12:$A$36, '1.2 EDU Factors'!$E$12:$E$36)</f>
        <v>0.74257425742574257</v>
      </c>
      <c r="I57" s="291">
        <f t="shared" si="9"/>
        <v>16.997446039603961</v>
      </c>
      <c r="K57" s="293" t="str">
        <f>LOOKUP(B57,'1.2 EDU Factors'!$A$12:$A$36, '1.2 EDU Factors'!$G$12:$G$36)</f>
        <v>Acre</v>
      </c>
      <c r="L57" s="290">
        <f>LOOKUP(B57,'1.2 EDU Factors'!$A$12:$A$36, '1.2 EDU Factors'!$H$12:$H$36)</f>
        <v>1</v>
      </c>
      <c r="M57" s="291">
        <f t="shared" si="10"/>
        <v>22.889894000000002</v>
      </c>
      <c r="N57" s="290">
        <f>LOOKUP(B57,'1.2 EDU Factors'!$A$12:$A$36, '1.2 EDU Factors'!$J$12:$J$36)</f>
        <v>3.75</v>
      </c>
      <c r="O57" s="291">
        <f t="shared" si="11"/>
        <v>85.8371025</v>
      </c>
      <c r="Q57" s="293" t="str">
        <f>LOOKUP(B57,'1.2 EDU Factors'!$A$12:$A$36, '1.2 EDU Factors'!$C$12:$C$36)</f>
        <v>Acre</v>
      </c>
      <c r="R57" s="345">
        <f>LOOKUP(B57,'1.2 EDU Factors'!$A$12:$A$36, '1.2 EDU Factors'!$D$12:$D$36)</f>
        <v>600</v>
      </c>
      <c r="S57" s="291">
        <f t="shared" si="12"/>
        <v>13733.936400000001</v>
      </c>
    </row>
    <row r="58" spans="1:32" x14ac:dyDescent="0.2">
      <c r="A58" s="276"/>
      <c r="B58" s="272" t="s">
        <v>246</v>
      </c>
      <c r="C58" s="273">
        <v>19.736191999999999</v>
      </c>
      <c r="D58" s="340">
        <f t="shared" si="7"/>
        <v>0.2</v>
      </c>
      <c r="E58" s="273">
        <f t="shared" si="8"/>
        <v>3.9472383999999998</v>
      </c>
      <c r="F58" s="273"/>
      <c r="G58" s="293" t="str">
        <f>LOOKUP(B58,'1.2 EDU Factors'!$A$12:$A$36, '1.2 EDU Factors'!$C$12:$C$36)</f>
        <v>Acre</v>
      </c>
      <c r="H58" s="290">
        <f>LOOKUP(B58,'1.2 EDU Factors'!$A$12:$A$36, '1.2 EDU Factors'!$E$12:$E$36)</f>
        <v>1.6658415841584158</v>
      </c>
      <c r="I58" s="291">
        <f t="shared" si="9"/>
        <v>6.5754738693069301</v>
      </c>
      <c r="K58" s="293" t="str">
        <f>LOOKUP(B58,'1.2 EDU Factors'!$A$12:$A$36, '1.2 EDU Factors'!$G$12:$G$36)</f>
        <v>Dwelling Unit</v>
      </c>
      <c r="L58" s="290">
        <f>LOOKUP(B58,'1.2 EDU Factors'!$A$12:$A$36, '1.2 EDU Factors'!$H$12:$H$36)</f>
        <v>11.504273504273504</v>
      </c>
      <c r="M58" s="291">
        <f t="shared" si="10"/>
        <v>45.410110140170936</v>
      </c>
      <c r="N58" s="290">
        <f>LOOKUP(B58,'1.2 EDU Factors'!$A$12:$A$36, '1.2 EDU Factors'!$J$12:$J$36)</f>
        <v>0.73124999999999996</v>
      </c>
      <c r="O58" s="291">
        <f t="shared" si="11"/>
        <v>33.206143039999994</v>
      </c>
      <c r="Q58" s="293" t="str">
        <f>LOOKUP(B58,'1.2 EDU Factors'!$A$12:$A$36, '1.2 EDU Factors'!$C$12:$C$36)</f>
        <v>Acre</v>
      </c>
      <c r="R58" s="345">
        <f>LOOKUP(B58,'1.2 EDU Factors'!$A$12:$A$36, '1.2 EDU Factors'!$D$12:$D$36)</f>
        <v>1346</v>
      </c>
      <c r="S58" s="291">
        <f t="shared" si="12"/>
        <v>5312.9828864000001</v>
      </c>
    </row>
    <row r="59" spans="1:32" x14ac:dyDescent="0.2">
      <c r="A59" s="276"/>
      <c r="B59" s="272" t="s">
        <v>247</v>
      </c>
      <c r="C59" s="273">
        <v>37.560957999999999</v>
      </c>
      <c r="D59" s="340">
        <f t="shared" si="7"/>
        <v>0.2</v>
      </c>
      <c r="E59" s="273">
        <f t="shared" si="8"/>
        <v>7.5121916000000004</v>
      </c>
      <c r="F59" s="273"/>
      <c r="G59" s="293" t="str">
        <f>LOOKUP(B59,'1.2 EDU Factors'!$A$12:$A$36, '1.2 EDU Factors'!$C$12:$C$36)</f>
        <v>Acre</v>
      </c>
      <c r="H59" s="290">
        <f>LOOKUP(B59,'1.2 EDU Factors'!$A$12:$A$36, '1.2 EDU Factors'!$E$12:$E$36)</f>
        <v>0.49504950495049505</v>
      </c>
      <c r="I59" s="291">
        <f t="shared" si="9"/>
        <v>3.7189067326732674</v>
      </c>
      <c r="K59" s="293" t="str">
        <f>LOOKUP(B59,'1.2 EDU Factors'!$A$12:$A$36, '1.2 EDU Factors'!$G$12:$G$36)</f>
        <v>Acre</v>
      </c>
      <c r="L59" s="290">
        <f>LOOKUP(B59,'1.2 EDU Factors'!$A$12:$A$36, '1.2 EDU Factors'!$H$12:$H$36)</f>
        <v>1</v>
      </c>
      <c r="M59" s="291">
        <f t="shared" si="10"/>
        <v>7.5121916000000004</v>
      </c>
      <c r="N59" s="290">
        <f>LOOKUP(B59,'1.2 EDU Factors'!$A$12:$A$36, '1.2 EDU Factors'!$J$12:$J$36)</f>
        <v>2.5</v>
      </c>
      <c r="O59" s="291">
        <f t="shared" si="11"/>
        <v>18.780479</v>
      </c>
      <c r="Q59" s="293" t="str">
        <f>LOOKUP(B59,'1.2 EDU Factors'!$A$12:$A$36, '1.2 EDU Factors'!$C$12:$C$36)</f>
        <v>Acre</v>
      </c>
      <c r="R59" s="345">
        <f>LOOKUP(B59,'1.2 EDU Factors'!$A$12:$A$36, '1.2 EDU Factors'!$D$12:$D$36)</f>
        <v>400</v>
      </c>
      <c r="S59" s="291">
        <f t="shared" si="12"/>
        <v>3004.87664</v>
      </c>
    </row>
    <row r="60" spans="1:32" x14ac:dyDescent="0.2">
      <c r="A60" s="276"/>
      <c r="B60" s="272" t="s">
        <v>248</v>
      </c>
      <c r="C60" s="273">
        <v>11.652851999999999</v>
      </c>
      <c r="D60" s="340">
        <f t="shared" si="7"/>
        <v>0.2</v>
      </c>
      <c r="E60" s="273">
        <f t="shared" si="8"/>
        <v>2.3305704</v>
      </c>
      <c r="F60" s="273"/>
      <c r="G60" s="293" t="str">
        <f>LOOKUP(B60,'1.2 EDU Factors'!$A$12:$A$36, '1.2 EDU Factors'!$C$12:$C$36)</f>
        <v>Acre</v>
      </c>
      <c r="H60" s="290">
        <f>LOOKUP(B60,'1.2 EDU Factors'!$A$12:$A$36, '1.2 EDU Factors'!$E$12:$E$36)</f>
        <v>0.52599009900990101</v>
      </c>
      <c r="I60" s="291">
        <f t="shared" si="9"/>
        <v>1.2258569554455447</v>
      </c>
      <c r="K60" s="293" t="str">
        <f>LOOKUP(B60,'1.2 EDU Factors'!$A$12:$A$36, '1.2 EDU Factors'!$G$12:$G$36)</f>
        <v>Acre</v>
      </c>
      <c r="L60" s="290">
        <f>LOOKUP(B60,'1.2 EDU Factors'!$A$12:$A$36, '1.2 EDU Factors'!$H$12:$H$36)</f>
        <v>1</v>
      </c>
      <c r="M60" s="291">
        <f t="shared" si="10"/>
        <v>2.3305704</v>
      </c>
      <c r="N60" s="290">
        <f>LOOKUP(B60,'1.2 EDU Factors'!$A$12:$A$36, '1.2 EDU Factors'!$J$12:$J$36)</f>
        <v>2.65625</v>
      </c>
      <c r="O60" s="291">
        <f t="shared" si="11"/>
        <v>6.1905776250000004</v>
      </c>
      <c r="Q60" s="293" t="str">
        <f>LOOKUP(B60,'1.2 EDU Factors'!$A$12:$A$36, '1.2 EDU Factors'!$C$12:$C$36)</f>
        <v>Acre</v>
      </c>
      <c r="R60" s="345">
        <f>LOOKUP(B60,'1.2 EDU Factors'!$A$12:$A$36, '1.2 EDU Factors'!$D$12:$D$36)</f>
        <v>425</v>
      </c>
      <c r="S60" s="291">
        <f t="shared" si="12"/>
        <v>990.49242000000004</v>
      </c>
    </row>
    <row r="61" spans="1:32" x14ac:dyDescent="0.2">
      <c r="A61" s="276"/>
      <c r="B61" s="272" t="s">
        <v>249</v>
      </c>
      <c r="C61" s="273">
        <v>352.59333099999998</v>
      </c>
      <c r="D61" s="340">
        <f t="shared" si="7"/>
        <v>0.2</v>
      </c>
      <c r="E61" s="273">
        <f t="shared" si="8"/>
        <v>70.518666199999998</v>
      </c>
      <c r="F61" s="273"/>
      <c r="G61" s="293" t="str">
        <f>LOOKUP(B61,'1.2 EDU Factors'!$A$12:$A$36, '1.2 EDU Factors'!$C$12:$C$36)</f>
        <v>Acre</v>
      </c>
      <c r="H61" s="290">
        <f>LOOKUP(B61,'1.2 EDU Factors'!$A$12:$A$36, '1.2 EDU Factors'!$E$12:$E$36)</f>
        <v>0.39603960396039606</v>
      </c>
      <c r="I61" s="291">
        <f t="shared" si="9"/>
        <v>27.928184633663367</v>
      </c>
      <c r="K61" s="293" t="str">
        <f>LOOKUP(B61,'1.2 EDU Factors'!$A$12:$A$36, '1.2 EDU Factors'!$G$12:$G$36)</f>
        <v>Dwelling Unit</v>
      </c>
      <c r="L61" s="290">
        <f>LOOKUP(B61,'1.2 EDU Factors'!$A$12:$A$36, '1.2 EDU Factors'!$H$12:$H$36)</f>
        <v>2</v>
      </c>
      <c r="M61" s="291">
        <f t="shared" si="10"/>
        <v>141.0373324</v>
      </c>
      <c r="N61" s="290">
        <f>LOOKUP(B61,'1.2 EDU Factors'!$A$12:$A$36, '1.2 EDU Factors'!$J$12:$J$36)</f>
        <v>1</v>
      </c>
      <c r="O61" s="291">
        <f t="shared" si="11"/>
        <v>141.0373324</v>
      </c>
      <c r="Q61" s="293" t="str">
        <f>LOOKUP(B61,'1.2 EDU Factors'!$A$12:$A$36, '1.2 EDU Factors'!$C$12:$C$36)</f>
        <v>Acre</v>
      </c>
      <c r="R61" s="345">
        <f>LOOKUP(B61,'1.2 EDU Factors'!$A$12:$A$36, '1.2 EDU Factors'!$D$12:$D$36)</f>
        <v>320</v>
      </c>
      <c r="S61" s="291">
        <f t="shared" si="12"/>
        <v>22565.973183999999</v>
      </c>
    </row>
    <row r="62" spans="1:32" x14ac:dyDescent="0.2">
      <c r="A62" s="276"/>
      <c r="B62" s="272" t="s">
        <v>234</v>
      </c>
      <c r="C62" s="273">
        <v>127.986069</v>
      </c>
      <c r="D62" s="340">
        <f t="shared" si="7"/>
        <v>1</v>
      </c>
      <c r="E62" s="273">
        <f t="shared" si="8"/>
        <v>127.986069</v>
      </c>
      <c r="F62" s="273"/>
      <c r="G62" s="293" t="str">
        <f>LOOKUP(B62,'1.2 EDU Factors'!$A$12:$A$36, '1.2 EDU Factors'!$C$12:$C$36)</f>
        <v>Acre</v>
      </c>
      <c r="H62" s="290">
        <f>LOOKUP(B62,'1.2 EDU Factors'!$A$12:$A$36, '1.2 EDU Factors'!$E$12:$E$36)</f>
        <v>0.39603960396039606</v>
      </c>
      <c r="I62" s="291">
        <f t="shared" si="9"/>
        <v>50.687552079207926</v>
      </c>
      <c r="K62" s="293" t="str">
        <f>LOOKUP(B62,'1.2 EDU Factors'!$A$12:$A$36, '1.2 EDU Factors'!$G$12:$G$36)</f>
        <v>Dwelling Unit</v>
      </c>
      <c r="L62" s="290">
        <f>LOOKUP(B62,'1.2 EDU Factors'!$A$12:$A$36, '1.2 EDU Factors'!$H$12:$H$36)</f>
        <v>2</v>
      </c>
      <c r="M62" s="291">
        <f t="shared" si="10"/>
        <v>255.972138</v>
      </c>
      <c r="N62" s="290">
        <f>LOOKUP(B62,'1.2 EDU Factors'!$A$12:$A$36, '1.2 EDU Factors'!$J$12:$J$36)</f>
        <v>1</v>
      </c>
      <c r="O62" s="291">
        <f t="shared" si="11"/>
        <v>255.972138</v>
      </c>
      <c r="Q62" s="293" t="str">
        <f>LOOKUP(B62,'1.2 EDU Factors'!$A$12:$A$36, '1.2 EDU Factors'!$C$12:$C$36)</f>
        <v>Acre</v>
      </c>
      <c r="R62" s="345">
        <f>LOOKUP(B62,'1.2 EDU Factors'!$A$12:$A$36, '1.2 EDU Factors'!$D$12:$D$36)</f>
        <v>320</v>
      </c>
      <c r="S62" s="291">
        <f t="shared" si="12"/>
        <v>40955.542079999999</v>
      </c>
    </row>
    <row r="63" spans="1:32" x14ac:dyDescent="0.2">
      <c r="A63" s="276"/>
      <c r="B63" s="272"/>
      <c r="C63" s="306"/>
      <c r="D63" s="272"/>
      <c r="E63" s="306"/>
      <c r="F63" s="273"/>
      <c r="G63" s="293"/>
      <c r="H63" s="290"/>
      <c r="I63" s="307"/>
      <c r="K63" s="293"/>
      <c r="L63" s="290"/>
      <c r="M63" s="291"/>
      <c r="N63" s="290"/>
      <c r="O63" s="307"/>
      <c r="Q63" s="293"/>
      <c r="R63" s="290"/>
      <c r="S63" s="307"/>
    </row>
    <row r="64" spans="1:32" x14ac:dyDescent="0.2">
      <c r="A64" s="276"/>
      <c r="B64" s="272"/>
      <c r="C64" s="273"/>
      <c r="D64" s="272"/>
      <c r="E64" s="273"/>
      <c r="F64" s="273"/>
      <c r="G64" s="293"/>
      <c r="H64" s="290"/>
      <c r="I64" s="291"/>
      <c r="K64" s="293"/>
      <c r="L64" s="290"/>
      <c r="M64" s="291"/>
      <c r="N64" s="290"/>
      <c r="O64" s="291"/>
      <c r="Q64" s="293"/>
      <c r="R64" s="290"/>
      <c r="S64" s="291"/>
    </row>
    <row r="65" spans="1:19" x14ac:dyDescent="0.2">
      <c r="A65" s="276" t="s">
        <v>440</v>
      </c>
      <c r="B65" s="272"/>
      <c r="C65" s="273">
        <f>SUM(C40:C63)</f>
        <v>8686.4603319999987</v>
      </c>
      <c r="D65" s="272"/>
      <c r="E65" s="343">
        <f>SUM(E40:E63)</f>
        <v>6202.418192799998</v>
      </c>
      <c r="F65" s="273"/>
      <c r="G65" s="293"/>
      <c r="H65" s="290"/>
      <c r="I65" s="273">
        <f>SUM(I40:I63)</f>
        <v>2589.6158054571774</v>
      </c>
      <c r="K65" s="293"/>
      <c r="L65" s="290"/>
      <c r="M65" s="291"/>
      <c r="N65" s="290"/>
      <c r="O65" s="273">
        <f>SUM(O40:O63)</f>
        <v>13077.559817558749</v>
      </c>
      <c r="Q65" s="293"/>
      <c r="R65" s="290"/>
      <c r="S65" s="273">
        <f>SUM(S40:S63)</f>
        <v>2092409.5708093999</v>
      </c>
    </row>
    <row r="66" spans="1:19" x14ac:dyDescent="0.2">
      <c r="A66" s="279" t="s">
        <v>433</v>
      </c>
      <c r="E66" s="282">
        <f>C65-E65</f>
        <v>2484.0421392000007</v>
      </c>
      <c r="I66" s="291">
        <f>$I$127</f>
        <v>808</v>
      </c>
      <c r="J66" s="286"/>
      <c r="K66" s="293"/>
      <c r="L66" s="290"/>
      <c r="M66" s="291"/>
      <c r="N66" s="290"/>
      <c r="O66" s="291">
        <f>$O$127</f>
        <v>160</v>
      </c>
      <c r="Q66" s="274"/>
      <c r="S66" s="291"/>
    </row>
    <row r="67" spans="1:19" x14ac:dyDescent="0.2">
      <c r="A67" s="279" t="s">
        <v>434</v>
      </c>
      <c r="E67" s="282">
        <f>-E66/C65</f>
        <v>-0.28596713094389586</v>
      </c>
      <c r="I67" s="291">
        <f>I65*I66</f>
        <v>2092409.5708093995</v>
      </c>
      <c r="J67" s="286"/>
      <c r="K67" s="286"/>
      <c r="L67" s="286"/>
      <c r="M67" s="291"/>
      <c r="N67" s="286"/>
      <c r="O67" s="291">
        <f>O65*O66</f>
        <v>2092409.5708093999</v>
      </c>
      <c r="Q67" s="274"/>
      <c r="S67" s="291"/>
    </row>
    <row r="68" spans="1:19" x14ac:dyDescent="0.2">
      <c r="A68" s="276"/>
      <c r="B68" s="272"/>
      <c r="C68" s="273"/>
      <c r="D68" s="272"/>
      <c r="E68" s="273"/>
      <c r="F68" s="273"/>
      <c r="G68" s="293"/>
      <c r="H68" s="290"/>
      <c r="I68" s="291"/>
      <c r="K68" s="293"/>
      <c r="L68" s="290"/>
      <c r="M68" s="291"/>
      <c r="N68" s="290"/>
      <c r="O68" s="291"/>
      <c r="Q68" s="293"/>
      <c r="R68" s="290"/>
      <c r="S68" s="291"/>
    </row>
    <row r="69" spans="1:19" x14ac:dyDescent="0.2">
      <c r="A69" s="276"/>
      <c r="B69" s="272"/>
      <c r="C69" s="273"/>
      <c r="D69" s="272"/>
      <c r="E69" s="273"/>
      <c r="F69" s="273"/>
      <c r="G69" s="273"/>
      <c r="I69" s="291"/>
      <c r="M69" s="97"/>
      <c r="N69" s="290"/>
      <c r="O69" s="291"/>
      <c r="Q69" s="273"/>
      <c r="S69" s="291"/>
    </row>
    <row r="70" spans="1:19" x14ac:dyDescent="0.2">
      <c r="A70" s="271" t="s">
        <v>251</v>
      </c>
      <c r="B70" s="272" t="s">
        <v>236</v>
      </c>
      <c r="C70" s="273">
        <v>111.47872099999999</v>
      </c>
      <c r="D70" s="340">
        <f t="shared" ref="D70:D89" si="13">IF(ISERROR(FIND("UR",B70)),1,0.2)</f>
        <v>1</v>
      </c>
      <c r="E70" s="273">
        <f t="shared" ref="E70:E89" si="14">C70*D70</f>
        <v>111.47872099999999</v>
      </c>
      <c r="F70" s="273"/>
      <c r="G70" s="293" t="str">
        <f>LOOKUP(B70,'1.2 EDU Factors'!$A$12:$A$36, '1.2 EDU Factors'!$C$12:$C$36)</f>
        <v>Acre</v>
      </c>
      <c r="I70" s="291">
        <f t="shared" ref="I70:I89" si="15">H70*E70</f>
        <v>0</v>
      </c>
      <c r="K70" s="293" t="str">
        <f>LOOKUP(B70,'1.2 EDU Factors'!$A$12:$A$36, '1.2 EDU Factors'!$G$12:$G$36)</f>
        <v>Acre</v>
      </c>
      <c r="L70" s="290">
        <f>LOOKUP(B70,'1.2 EDU Factors'!$A$12:$A$36, '1.2 EDU Factors'!$H$12:$H$36)</f>
        <v>0</v>
      </c>
      <c r="M70" s="291">
        <f t="shared" ref="M70:M89" si="16">L70*E70</f>
        <v>0</v>
      </c>
      <c r="N70" s="290">
        <f>LOOKUP(B70,'1.2 EDU Factors'!$A$12:$A$36, '1.2 EDU Factors'!$J$12:$J$36)</f>
        <v>0</v>
      </c>
      <c r="O70" s="291">
        <f t="shared" ref="O70:O89" si="17">N70*M70</f>
        <v>0</v>
      </c>
      <c r="Q70" s="293" t="str">
        <f>LOOKUP(B70,'1.2 EDU Factors'!$A$12:$A$36, '1.2 EDU Factors'!$C$12:$C$36)</f>
        <v>Acre</v>
      </c>
      <c r="R70" s="345">
        <f>LOOKUP(B70,'1.2 EDU Factors'!$A$12:$A$36, '1.2 EDU Factors'!$D$12:$D$36)</f>
        <v>0</v>
      </c>
      <c r="S70" s="291">
        <f t="shared" ref="S70:S89" si="18">R70*E70</f>
        <v>0</v>
      </c>
    </row>
    <row r="71" spans="1:19" x14ac:dyDescent="0.2">
      <c r="A71" s="276"/>
      <c r="B71" s="272" t="s">
        <v>252</v>
      </c>
      <c r="C71" s="273">
        <v>44.659910000000004</v>
      </c>
      <c r="D71" s="340">
        <f t="shared" si="13"/>
        <v>1</v>
      </c>
      <c r="E71" s="273">
        <f t="shared" si="14"/>
        <v>44.659910000000004</v>
      </c>
      <c r="F71" s="273"/>
      <c r="G71" s="293" t="str">
        <f>LOOKUP(B71,'1.2 EDU Factors'!$A$12:$A$36, '1.2 EDU Factors'!$C$12:$C$36)</f>
        <v>Acre</v>
      </c>
      <c r="H71" s="290">
        <f>LOOKUP(B71,'1.2 EDU Factors'!$A$12:$A$36, '1.2 EDU Factors'!$E$12:$E$36)</f>
        <v>1.4851485148514851</v>
      </c>
      <c r="I71" s="291">
        <f t="shared" si="15"/>
        <v>66.326599009900988</v>
      </c>
      <c r="K71" s="293" t="str">
        <f>LOOKUP(B71,'1.2 EDU Factors'!$A$12:$A$36, '1.2 EDU Factors'!$G$12:$G$36)</f>
        <v>Acre</v>
      </c>
      <c r="L71" s="290">
        <f>LOOKUP(B71,'1.2 EDU Factors'!$A$12:$A$36, '1.2 EDU Factors'!$H$12:$H$36)</f>
        <v>1</v>
      </c>
      <c r="M71" s="291">
        <f t="shared" si="16"/>
        <v>44.659910000000004</v>
      </c>
      <c r="N71" s="290">
        <f>LOOKUP(B71,'1.2 EDU Factors'!$A$12:$A$36, '1.2 EDU Factors'!$J$12:$J$36)</f>
        <v>7.5</v>
      </c>
      <c r="O71" s="291">
        <f t="shared" si="17"/>
        <v>334.94932500000004</v>
      </c>
      <c r="Q71" s="293" t="str">
        <f>LOOKUP(B71,'1.2 EDU Factors'!$A$12:$A$36, '1.2 EDU Factors'!$C$12:$C$36)</f>
        <v>Acre</v>
      </c>
      <c r="R71" s="345">
        <f>LOOKUP(B71,'1.2 EDU Factors'!$A$12:$A$36, '1.2 EDU Factors'!$D$12:$D$36)</f>
        <v>1200</v>
      </c>
      <c r="S71" s="291">
        <f t="shared" si="18"/>
        <v>53591.892000000007</v>
      </c>
    </row>
    <row r="72" spans="1:19" x14ac:dyDescent="0.2">
      <c r="A72" s="276"/>
      <c r="B72" s="272" t="s">
        <v>226</v>
      </c>
      <c r="C72" s="273">
        <v>162.75238300000001</v>
      </c>
      <c r="D72" s="340">
        <f t="shared" si="13"/>
        <v>1</v>
      </c>
      <c r="E72" s="273">
        <f t="shared" si="14"/>
        <v>162.75238300000001</v>
      </c>
      <c r="F72" s="273"/>
      <c r="G72" s="293" t="str">
        <f>LOOKUP(B72,'1.2 EDU Factors'!$A$12:$A$36, '1.2 EDU Factors'!$C$12:$C$36)</f>
        <v>Acre</v>
      </c>
      <c r="H72" s="290">
        <f>LOOKUP(B72,'1.2 EDU Factors'!$A$12:$A$36, '1.2 EDU Factors'!$E$12:$E$36)</f>
        <v>3.0606435643564356</v>
      </c>
      <c r="I72" s="291">
        <f t="shared" si="15"/>
        <v>498.12703361262379</v>
      </c>
      <c r="K72" s="293" t="str">
        <f>LOOKUP(B72,'1.2 EDU Factors'!$A$12:$A$36, '1.2 EDU Factors'!$G$12:$G$36)</f>
        <v>Acre</v>
      </c>
      <c r="L72" s="290">
        <f>LOOKUP(B72,'1.2 EDU Factors'!$A$12:$A$36, '1.2 EDU Factors'!$H$12:$H$36)</f>
        <v>1</v>
      </c>
      <c r="M72" s="291">
        <f t="shared" si="16"/>
        <v>162.75238300000001</v>
      </c>
      <c r="N72" s="290">
        <f>LOOKUP(B72,'1.2 EDU Factors'!$A$12:$A$36, '1.2 EDU Factors'!$J$12:$J$36)</f>
        <v>15.456250000000001</v>
      </c>
      <c r="O72" s="291">
        <f t="shared" si="17"/>
        <v>2515.5415197437501</v>
      </c>
      <c r="Q72" s="293" t="str">
        <f>LOOKUP(B72,'1.2 EDU Factors'!$A$12:$A$36, '1.2 EDU Factors'!$C$12:$C$36)</f>
        <v>Acre</v>
      </c>
      <c r="R72" s="345">
        <f>LOOKUP(B72,'1.2 EDU Factors'!$A$12:$A$36, '1.2 EDU Factors'!$D$12:$D$36)</f>
        <v>2473</v>
      </c>
      <c r="S72" s="291">
        <f t="shared" si="18"/>
        <v>402486.64315900003</v>
      </c>
    </row>
    <row r="73" spans="1:19" x14ac:dyDescent="0.2">
      <c r="A73" s="276"/>
      <c r="B73" s="272" t="s">
        <v>227</v>
      </c>
      <c r="C73" s="273">
        <v>320.10928699999999</v>
      </c>
      <c r="D73" s="340">
        <f t="shared" si="13"/>
        <v>1</v>
      </c>
      <c r="E73" s="273">
        <f t="shared" si="14"/>
        <v>320.10928699999999</v>
      </c>
      <c r="F73" s="273"/>
      <c r="G73" s="293" t="str">
        <f>LOOKUP(B73,'1.2 EDU Factors'!$A$12:$A$36, '1.2 EDU Factors'!$C$12:$C$36)</f>
        <v>Acre</v>
      </c>
      <c r="H73" s="290">
        <f>LOOKUP(B73,'1.2 EDU Factors'!$A$12:$A$36, '1.2 EDU Factors'!$E$12:$E$36)</f>
        <v>0.92821782178217827</v>
      </c>
      <c r="I73" s="291">
        <f t="shared" si="15"/>
        <v>297.13114511138616</v>
      </c>
      <c r="K73" s="293" t="str">
        <f>LOOKUP(B73,'1.2 EDU Factors'!$A$12:$A$36, '1.2 EDU Factors'!$G$12:$G$36)</f>
        <v>Acre</v>
      </c>
      <c r="L73" s="290">
        <f>LOOKUP(B73,'1.2 EDU Factors'!$A$12:$A$36, '1.2 EDU Factors'!$H$12:$H$36)</f>
        <v>1</v>
      </c>
      <c r="M73" s="291">
        <f t="shared" si="16"/>
        <v>320.10928699999999</v>
      </c>
      <c r="N73" s="290">
        <f>LOOKUP(B73,'1.2 EDU Factors'!$A$12:$A$36, '1.2 EDU Factors'!$J$12:$J$36)</f>
        <v>4.6875</v>
      </c>
      <c r="O73" s="291">
        <f t="shared" si="17"/>
        <v>1500.5122828125</v>
      </c>
      <c r="Q73" s="293" t="str">
        <f>LOOKUP(B73,'1.2 EDU Factors'!$A$12:$A$36, '1.2 EDU Factors'!$C$12:$C$36)</f>
        <v>Acre</v>
      </c>
      <c r="R73" s="345">
        <f>LOOKUP(B73,'1.2 EDU Factors'!$A$12:$A$36, '1.2 EDU Factors'!$D$12:$D$36)</f>
        <v>750</v>
      </c>
      <c r="S73" s="291">
        <f t="shared" si="18"/>
        <v>240081.96525000001</v>
      </c>
    </row>
    <row r="74" spans="1:19" x14ac:dyDescent="0.2">
      <c r="A74" s="276"/>
      <c r="B74" s="272" t="s">
        <v>228</v>
      </c>
      <c r="C74" s="273">
        <v>68.273225999999994</v>
      </c>
      <c r="D74" s="340">
        <f t="shared" si="13"/>
        <v>1</v>
      </c>
      <c r="E74" s="273">
        <f t="shared" si="14"/>
        <v>68.273225999999994</v>
      </c>
      <c r="F74" s="273"/>
      <c r="G74" s="293" t="str">
        <f>LOOKUP(B74,'1.2 EDU Factors'!$A$12:$A$36, '1.2 EDU Factors'!$C$12:$C$36)</f>
        <v>Acre</v>
      </c>
      <c r="H74" s="290">
        <f>LOOKUP(B74,'1.2 EDU Factors'!$A$12:$A$36, '1.2 EDU Factors'!$E$12:$E$36)</f>
        <v>2.8923267326732671</v>
      </c>
      <c r="I74" s="291">
        <f t="shared" si="15"/>
        <v>197.46847668564354</v>
      </c>
      <c r="K74" s="293" t="str">
        <f>LOOKUP(B74,'1.2 EDU Factors'!$A$12:$A$36, '1.2 EDU Factors'!$G$12:$G$36)</f>
        <v>Dwelling Unit</v>
      </c>
      <c r="L74" s="290">
        <f>LOOKUP(B74,'1.2 EDU Factors'!$A$12:$A$36, '1.2 EDU Factors'!$H$12:$H$36)</f>
        <v>19.974358974358974</v>
      </c>
      <c r="M74" s="291">
        <f t="shared" si="16"/>
        <v>1363.7139244615385</v>
      </c>
      <c r="N74" s="290">
        <f>LOOKUP(B74,'1.2 EDU Factors'!$A$12:$A$36, '1.2 EDU Factors'!$J$12:$J$36)</f>
        <v>0.73124999999999996</v>
      </c>
      <c r="O74" s="291">
        <f t="shared" si="17"/>
        <v>997.21580726249988</v>
      </c>
      <c r="Q74" s="293" t="str">
        <f>LOOKUP(B74,'1.2 EDU Factors'!$A$12:$A$36, '1.2 EDU Factors'!$C$12:$C$36)</f>
        <v>Acre</v>
      </c>
      <c r="R74" s="345">
        <f>LOOKUP(B74,'1.2 EDU Factors'!$A$12:$A$36, '1.2 EDU Factors'!$D$12:$D$36)</f>
        <v>2337</v>
      </c>
      <c r="S74" s="291">
        <f t="shared" si="18"/>
        <v>159554.52916199999</v>
      </c>
    </row>
    <row r="75" spans="1:19" x14ac:dyDescent="0.2">
      <c r="A75" s="276"/>
      <c r="B75" s="272" t="s">
        <v>237</v>
      </c>
      <c r="C75" s="273">
        <v>563.79220399999997</v>
      </c>
      <c r="D75" s="340">
        <f t="shared" si="13"/>
        <v>1</v>
      </c>
      <c r="E75" s="273">
        <f t="shared" si="14"/>
        <v>563.79220399999997</v>
      </c>
      <c r="F75" s="273"/>
      <c r="G75" s="293" t="str">
        <f>LOOKUP(B75,'1.2 EDU Factors'!$A$12:$A$36, '1.2 EDU Factors'!$C$12:$C$36)</f>
        <v>Acre</v>
      </c>
      <c r="H75" s="290">
        <f>LOOKUP(B75,'1.2 EDU Factors'!$A$12:$A$36, '1.2 EDU Factors'!$E$12:$E$36)</f>
        <v>1.2376237623762376</v>
      </c>
      <c r="I75" s="291">
        <f t="shared" si="15"/>
        <v>697.76262871287122</v>
      </c>
      <c r="K75" s="293" t="str">
        <f>LOOKUP(B75,'1.2 EDU Factors'!$A$12:$A$36, '1.2 EDU Factors'!$G$12:$G$36)</f>
        <v>Acre</v>
      </c>
      <c r="L75" s="290">
        <f>LOOKUP(B75,'1.2 EDU Factors'!$A$12:$A$36, '1.2 EDU Factors'!$H$12:$H$36)</f>
        <v>1</v>
      </c>
      <c r="M75" s="291">
        <f t="shared" si="16"/>
        <v>563.79220399999997</v>
      </c>
      <c r="N75" s="290">
        <f>LOOKUP(B75,'1.2 EDU Factors'!$A$12:$A$36, '1.2 EDU Factors'!$J$12:$J$36)</f>
        <v>6.25</v>
      </c>
      <c r="O75" s="291">
        <f t="shared" si="17"/>
        <v>3523.7012749999999</v>
      </c>
      <c r="Q75" s="293" t="str">
        <f>LOOKUP(B75,'1.2 EDU Factors'!$A$12:$A$36, '1.2 EDU Factors'!$C$12:$C$36)</f>
        <v>Acre</v>
      </c>
      <c r="R75" s="345">
        <f>LOOKUP(B75,'1.2 EDU Factors'!$A$12:$A$36, '1.2 EDU Factors'!$D$12:$D$36)</f>
        <v>1000</v>
      </c>
      <c r="S75" s="291">
        <f t="shared" si="18"/>
        <v>563792.20400000003</v>
      </c>
    </row>
    <row r="76" spans="1:19" x14ac:dyDescent="0.2">
      <c r="A76" s="276"/>
      <c r="B76" s="272" t="s">
        <v>229</v>
      </c>
      <c r="C76" s="273">
        <v>1934.059522</v>
      </c>
      <c r="D76" s="340">
        <f t="shared" si="13"/>
        <v>1</v>
      </c>
      <c r="E76" s="273">
        <f t="shared" si="14"/>
        <v>1934.059522</v>
      </c>
      <c r="F76" s="273"/>
      <c r="G76" s="293" t="str">
        <f>LOOKUP(B76,'1.2 EDU Factors'!$A$12:$A$36, '1.2 EDU Factors'!$C$12:$C$36)</f>
        <v>Acre</v>
      </c>
      <c r="H76" s="290">
        <f>LOOKUP(B76,'1.2 EDU Factors'!$A$12:$A$36, '1.2 EDU Factors'!$E$12:$E$36)</f>
        <v>1</v>
      </c>
      <c r="I76" s="291">
        <f t="shared" si="15"/>
        <v>1934.059522</v>
      </c>
      <c r="K76" s="293" t="str">
        <f>LOOKUP(B76,'1.2 EDU Factors'!$A$12:$A$36, '1.2 EDU Factors'!$G$12:$G$36)</f>
        <v>Dwelling Unit</v>
      </c>
      <c r="L76" s="290">
        <f>LOOKUP(B76,'1.2 EDU Factors'!$A$12:$A$36, '1.2 EDU Factors'!$H$12:$H$36)</f>
        <v>5.05</v>
      </c>
      <c r="M76" s="291">
        <f t="shared" si="16"/>
        <v>9767.0005860999991</v>
      </c>
      <c r="N76" s="290">
        <f>LOOKUP(B76,'1.2 EDU Factors'!$A$12:$A$36, '1.2 EDU Factors'!$J$12:$J$36)</f>
        <v>1</v>
      </c>
      <c r="O76" s="291">
        <f t="shared" si="17"/>
        <v>9767.0005860999991</v>
      </c>
      <c r="Q76" s="293" t="str">
        <f>LOOKUP(B76,'1.2 EDU Factors'!$A$12:$A$36, '1.2 EDU Factors'!$C$12:$C$36)</f>
        <v>Acre</v>
      </c>
      <c r="R76" s="345">
        <f>LOOKUP(B76,'1.2 EDU Factors'!$A$12:$A$36, '1.2 EDU Factors'!$D$12:$D$36)</f>
        <v>808</v>
      </c>
      <c r="S76" s="291">
        <f t="shared" si="18"/>
        <v>1562720.093776</v>
      </c>
    </row>
    <row r="77" spans="1:19" x14ac:dyDescent="0.2">
      <c r="A77" s="276"/>
      <c r="B77" s="272" t="s">
        <v>230</v>
      </c>
      <c r="C77" s="273">
        <v>180.02126100000001</v>
      </c>
      <c r="D77" s="340">
        <f t="shared" si="13"/>
        <v>1</v>
      </c>
      <c r="E77" s="273">
        <f t="shared" si="14"/>
        <v>180.02126100000001</v>
      </c>
      <c r="F77" s="273"/>
      <c r="G77" s="293" t="str">
        <f>LOOKUP(B77,'1.2 EDU Factors'!$A$12:$A$36, '1.2 EDU Factors'!$C$12:$C$36)</f>
        <v>Acre</v>
      </c>
      <c r="H77" s="290">
        <f>LOOKUP(B77,'1.2 EDU Factors'!$A$12:$A$36, '1.2 EDU Factors'!$E$12:$E$36)</f>
        <v>1.2376237623762376</v>
      </c>
      <c r="I77" s="291">
        <f t="shared" si="15"/>
        <v>222.79859034653467</v>
      </c>
      <c r="K77" s="293" t="str">
        <f>LOOKUP(B77,'1.2 EDU Factors'!$A$12:$A$36, '1.2 EDU Factors'!$G$12:$G$36)</f>
        <v>Acre</v>
      </c>
      <c r="L77" s="290">
        <f>LOOKUP(B77,'1.2 EDU Factors'!$A$12:$A$36, '1.2 EDU Factors'!$H$12:$H$36)</f>
        <v>1</v>
      </c>
      <c r="M77" s="291">
        <f t="shared" si="16"/>
        <v>180.02126100000001</v>
      </c>
      <c r="N77" s="290">
        <f>LOOKUP(B77,'1.2 EDU Factors'!$A$12:$A$36, '1.2 EDU Factors'!$J$12:$J$36)</f>
        <v>6.25</v>
      </c>
      <c r="O77" s="291">
        <f t="shared" si="17"/>
        <v>1125.1328812500001</v>
      </c>
      <c r="Q77" s="293" t="str">
        <f>LOOKUP(B77,'1.2 EDU Factors'!$A$12:$A$36, '1.2 EDU Factors'!$C$12:$C$36)</f>
        <v>Acre</v>
      </c>
      <c r="R77" s="345">
        <f>LOOKUP(B77,'1.2 EDU Factors'!$A$12:$A$36, '1.2 EDU Factors'!$D$12:$D$36)</f>
        <v>1000</v>
      </c>
      <c r="S77" s="291">
        <f t="shared" si="18"/>
        <v>180021.261</v>
      </c>
    </row>
    <row r="78" spans="1:19" x14ac:dyDescent="0.2">
      <c r="A78" s="276"/>
      <c r="B78" s="272" t="s">
        <v>231</v>
      </c>
      <c r="C78" s="273">
        <v>113.576701</v>
      </c>
      <c r="D78" s="340">
        <f t="shared" si="13"/>
        <v>1</v>
      </c>
      <c r="E78" s="273">
        <f t="shared" si="14"/>
        <v>113.576701</v>
      </c>
      <c r="F78" s="273"/>
      <c r="G78" s="293" t="str">
        <f>LOOKUP(B78,'1.2 EDU Factors'!$A$12:$A$36, '1.2 EDU Factors'!$C$12:$C$36)</f>
        <v>Acre</v>
      </c>
      <c r="H78" s="290">
        <f>LOOKUP(B78,'1.2 EDU Factors'!$A$12:$A$36, '1.2 EDU Factors'!$E$12:$E$36)</f>
        <v>1.6658415841584158</v>
      </c>
      <c r="I78" s="291">
        <f t="shared" si="15"/>
        <v>189.20079151732673</v>
      </c>
      <c r="K78" s="293" t="str">
        <f>LOOKUP(B78,'1.2 EDU Factors'!$A$12:$A$36, '1.2 EDU Factors'!$G$12:$G$36)</f>
        <v>Dwelling Unit</v>
      </c>
      <c r="L78" s="290">
        <f>LOOKUP(B78,'1.2 EDU Factors'!$A$12:$A$36, '1.2 EDU Factors'!$H$12:$H$36)</f>
        <v>11.504273504273504</v>
      </c>
      <c r="M78" s="291">
        <f t="shared" si="16"/>
        <v>1306.617432017094</v>
      </c>
      <c r="N78" s="290">
        <f>LOOKUP(B78,'1.2 EDU Factors'!$A$12:$A$36, '1.2 EDU Factors'!$J$12:$J$36)</f>
        <v>0.73124999999999996</v>
      </c>
      <c r="O78" s="291">
        <f t="shared" si="17"/>
        <v>955.46399716249994</v>
      </c>
      <c r="Q78" s="293" t="str">
        <f>LOOKUP(B78,'1.2 EDU Factors'!$A$12:$A$36, '1.2 EDU Factors'!$C$12:$C$36)</f>
        <v>Acre</v>
      </c>
      <c r="R78" s="345">
        <f>LOOKUP(B78,'1.2 EDU Factors'!$A$12:$A$36, '1.2 EDU Factors'!$D$12:$D$36)</f>
        <v>1346</v>
      </c>
      <c r="S78" s="291">
        <f t="shared" si="18"/>
        <v>152874.239546</v>
      </c>
    </row>
    <row r="79" spans="1:19" x14ac:dyDescent="0.2">
      <c r="A79" s="276"/>
      <c r="B79" s="272" t="s">
        <v>232</v>
      </c>
      <c r="C79" s="273">
        <v>20.52543</v>
      </c>
      <c r="D79" s="340">
        <f t="shared" si="13"/>
        <v>1</v>
      </c>
      <c r="E79" s="273">
        <f t="shared" si="14"/>
        <v>20.52543</v>
      </c>
      <c r="F79" s="273"/>
      <c r="G79" s="293" t="str">
        <f>LOOKUP(B79,'1.2 EDU Factors'!$A$12:$A$36, '1.2 EDU Factors'!$C$12:$C$36)</f>
        <v>Acre</v>
      </c>
      <c r="H79" s="290">
        <f>LOOKUP(B79,'1.2 EDU Factors'!$A$12:$A$36, '1.2 EDU Factors'!$E$12:$E$36)</f>
        <v>1.386138613861386</v>
      </c>
      <c r="I79" s="291">
        <f t="shared" si="15"/>
        <v>28.45109108910891</v>
      </c>
      <c r="K79" s="293" t="str">
        <f>LOOKUP(B79,'1.2 EDU Factors'!$A$12:$A$36, '1.2 EDU Factors'!$G$12:$G$36)</f>
        <v>Acre</v>
      </c>
      <c r="L79" s="290">
        <f>LOOKUP(B79,'1.2 EDU Factors'!$A$12:$A$36, '1.2 EDU Factors'!$H$12:$H$36)</f>
        <v>1</v>
      </c>
      <c r="M79" s="291">
        <f t="shared" si="16"/>
        <v>20.52543</v>
      </c>
      <c r="N79" s="290">
        <f>LOOKUP(B79,'1.2 EDU Factors'!$A$12:$A$36, '1.2 EDU Factors'!$J$12:$J$36)</f>
        <v>7</v>
      </c>
      <c r="O79" s="291">
        <f t="shared" si="17"/>
        <v>143.67801</v>
      </c>
      <c r="Q79" s="293" t="str">
        <f>LOOKUP(B79,'1.2 EDU Factors'!$A$12:$A$36, '1.2 EDU Factors'!$C$12:$C$36)</f>
        <v>Acre</v>
      </c>
      <c r="R79" s="345">
        <f>LOOKUP(B79,'1.2 EDU Factors'!$A$12:$A$36, '1.2 EDU Factors'!$D$12:$D$36)</f>
        <v>1120</v>
      </c>
      <c r="S79" s="291">
        <f t="shared" si="18"/>
        <v>22988.481599999999</v>
      </c>
    </row>
    <row r="80" spans="1:19" x14ac:dyDescent="0.2">
      <c r="A80" s="276"/>
      <c r="B80" s="272" t="s">
        <v>233</v>
      </c>
      <c r="C80" s="273">
        <v>108.351705</v>
      </c>
      <c r="D80" s="340">
        <f t="shared" si="13"/>
        <v>1</v>
      </c>
      <c r="E80" s="273">
        <f t="shared" si="14"/>
        <v>108.351705</v>
      </c>
      <c r="F80" s="273"/>
      <c r="G80" s="293" t="str">
        <f>LOOKUP(B80,'1.2 EDU Factors'!$A$12:$A$36, '1.2 EDU Factors'!$C$12:$C$36)</f>
        <v>Acre</v>
      </c>
      <c r="H80" s="290">
        <f>LOOKUP(B80,'1.2 EDU Factors'!$A$12:$A$36, '1.2 EDU Factors'!$E$12:$E$36)</f>
        <v>0.49504950495049505</v>
      </c>
      <c r="I80" s="291">
        <f t="shared" si="15"/>
        <v>53.639457920792076</v>
      </c>
      <c r="K80" s="293" t="str">
        <f>LOOKUP(B80,'1.2 EDU Factors'!$A$12:$A$36, '1.2 EDU Factors'!$G$12:$G$36)</f>
        <v>Acre</v>
      </c>
      <c r="L80" s="290">
        <f>LOOKUP(B80,'1.2 EDU Factors'!$A$12:$A$36, '1.2 EDU Factors'!$H$12:$H$36)</f>
        <v>1</v>
      </c>
      <c r="M80" s="291">
        <f t="shared" si="16"/>
        <v>108.351705</v>
      </c>
      <c r="N80" s="290">
        <f>LOOKUP(B80,'1.2 EDU Factors'!$A$12:$A$36, '1.2 EDU Factors'!$J$12:$J$36)</f>
        <v>2.5</v>
      </c>
      <c r="O80" s="291">
        <f t="shared" si="17"/>
        <v>270.87926249999998</v>
      </c>
      <c r="Q80" s="293" t="str">
        <f>LOOKUP(B80,'1.2 EDU Factors'!$A$12:$A$36, '1.2 EDU Factors'!$C$12:$C$36)</f>
        <v>Acre</v>
      </c>
      <c r="R80" s="345">
        <f>LOOKUP(B80,'1.2 EDU Factors'!$A$12:$A$36, '1.2 EDU Factors'!$D$12:$D$36)</f>
        <v>400</v>
      </c>
      <c r="S80" s="291">
        <f t="shared" si="18"/>
        <v>43340.682000000001</v>
      </c>
    </row>
    <row r="81" spans="1:19" x14ac:dyDescent="0.2">
      <c r="A81" s="276"/>
      <c r="B81" s="272" t="s">
        <v>239</v>
      </c>
      <c r="C81" s="273">
        <v>85.042383999999998</v>
      </c>
      <c r="D81" s="340">
        <f t="shared" si="13"/>
        <v>1</v>
      </c>
      <c r="E81" s="273">
        <f t="shared" si="14"/>
        <v>85.042383999999998</v>
      </c>
      <c r="F81" s="273"/>
      <c r="G81" s="293" t="str">
        <f>LOOKUP(B81,'1.2 EDU Factors'!$A$12:$A$36, '1.2 EDU Factors'!$C$12:$C$36)</f>
        <v>Acre</v>
      </c>
      <c r="H81" s="290">
        <f>LOOKUP(B81,'1.2 EDU Factors'!$A$12:$A$36, '1.2 EDU Factors'!$E$12:$E$36)</f>
        <v>0.52599009900990101</v>
      </c>
      <c r="I81" s="291">
        <f t="shared" si="15"/>
        <v>44.731451980198024</v>
      </c>
      <c r="K81" s="293" t="str">
        <f>LOOKUP(B81,'1.2 EDU Factors'!$A$12:$A$36, '1.2 EDU Factors'!$G$12:$G$36)</f>
        <v>Acre</v>
      </c>
      <c r="L81" s="290">
        <f>LOOKUP(B81,'1.2 EDU Factors'!$A$12:$A$36, '1.2 EDU Factors'!$H$12:$H$36)</f>
        <v>1</v>
      </c>
      <c r="M81" s="291">
        <f t="shared" si="16"/>
        <v>85.042383999999998</v>
      </c>
      <c r="N81" s="290">
        <f>LOOKUP(B81,'1.2 EDU Factors'!$A$12:$A$36, '1.2 EDU Factors'!$J$12:$J$36)</f>
        <v>2.65625</v>
      </c>
      <c r="O81" s="291">
        <f t="shared" si="17"/>
        <v>225.8938325</v>
      </c>
      <c r="Q81" s="293" t="str">
        <f>LOOKUP(B81,'1.2 EDU Factors'!$A$12:$A$36, '1.2 EDU Factors'!$C$12:$C$36)</f>
        <v>Acre</v>
      </c>
      <c r="R81" s="345">
        <f>LOOKUP(B81,'1.2 EDU Factors'!$A$12:$A$36, '1.2 EDU Factors'!$D$12:$D$36)</f>
        <v>425</v>
      </c>
      <c r="S81" s="291">
        <f t="shared" si="18"/>
        <v>36143.013200000001</v>
      </c>
    </row>
    <row r="82" spans="1:19" x14ac:dyDescent="0.2">
      <c r="A82" s="276"/>
      <c r="B82" s="272" t="s">
        <v>240</v>
      </c>
      <c r="C82" s="273">
        <v>1130.5527509999999</v>
      </c>
      <c r="D82" s="340">
        <f t="shared" si="13"/>
        <v>0.2</v>
      </c>
      <c r="E82" s="273">
        <f t="shared" si="14"/>
        <v>226.11055020000001</v>
      </c>
      <c r="F82" s="273"/>
      <c r="G82" s="293" t="str">
        <f>LOOKUP(B82,'1.2 EDU Factors'!$A$12:$A$36, '1.2 EDU Factors'!$C$12:$C$36)</f>
        <v>Acre</v>
      </c>
      <c r="H82" s="290">
        <f>LOOKUP(B82,'1.2 EDU Factors'!$A$12:$A$36, '1.2 EDU Factors'!$E$12:$E$36)</f>
        <v>0.39603960396039606</v>
      </c>
      <c r="I82" s="291">
        <f t="shared" si="15"/>
        <v>89.54873275247526</v>
      </c>
      <c r="K82" s="293" t="str">
        <f>LOOKUP(B82,'1.2 EDU Factors'!$A$12:$A$36, '1.2 EDU Factors'!$G$12:$G$36)</f>
        <v>Acre</v>
      </c>
      <c r="L82" s="290">
        <f>LOOKUP(B82,'1.2 EDU Factors'!$A$12:$A$36, '1.2 EDU Factors'!$H$12:$H$36)</f>
        <v>1</v>
      </c>
      <c r="M82" s="291">
        <f t="shared" si="16"/>
        <v>226.11055020000001</v>
      </c>
      <c r="N82" s="290">
        <f>LOOKUP(B82,'1.2 EDU Factors'!$A$12:$A$36, '1.2 EDU Factors'!$J$12:$J$36)</f>
        <v>2</v>
      </c>
      <c r="O82" s="291">
        <f t="shared" si="17"/>
        <v>452.22110040000001</v>
      </c>
      <c r="Q82" s="293" t="str">
        <f>LOOKUP(B82,'1.2 EDU Factors'!$A$12:$A$36, '1.2 EDU Factors'!$C$12:$C$36)</f>
        <v>Acre</v>
      </c>
      <c r="R82" s="345">
        <f>LOOKUP(B82,'1.2 EDU Factors'!$A$12:$A$36, '1.2 EDU Factors'!$D$12:$D$36)</f>
        <v>320</v>
      </c>
      <c r="S82" s="291">
        <f t="shared" si="18"/>
        <v>72355.376063999996</v>
      </c>
    </row>
    <row r="83" spans="1:19" x14ac:dyDescent="0.2">
      <c r="A83" s="276"/>
      <c r="B83" s="272" t="s">
        <v>241</v>
      </c>
      <c r="C83" s="273">
        <v>459.19615099999999</v>
      </c>
      <c r="D83" s="340">
        <f t="shared" si="13"/>
        <v>0.2</v>
      </c>
      <c r="E83" s="273">
        <f t="shared" si="14"/>
        <v>91.839230200000003</v>
      </c>
      <c r="F83" s="273"/>
      <c r="G83" s="293" t="str">
        <f>LOOKUP(B83,'1.2 EDU Factors'!$A$12:$A$36, '1.2 EDU Factors'!$C$12:$C$36)</f>
        <v>Acre</v>
      </c>
      <c r="H83" s="290">
        <f>LOOKUP(B83,'1.2 EDU Factors'!$A$12:$A$36, '1.2 EDU Factors'!$E$12:$E$36)</f>
        <v>0</v>
      </c>
      <c r="I83" s="291">
        <f t="shared" si="15"/>
        <v>0</v>
      </c>
      <c r="K83" s="293" t="str">
        <f>LOOKUP(B83,'1.2 EDU Factors'!$A$12:$A$36, '1.2 EDU Factors'!$G$12:$G$36)</f>
        <v>Acre</v>
      </c>
      <c r="L83" s="290">
        <f>LOOKUP(B83,'1.2 EDU Factors'!$A$12:$A$36, '1.2 EDU Factors'!$H$12:$H$36)</f>
        <v>0</v>
      </c>
      <c r="M83" s="291">
        <f t="shared" si="16"/>
        <v>0</v>
      </c>
      <c r="N83" s="290">
        <f>LOOKUP(B83,'1.2 EDU Factors'!$A$12:$A$36, '1.2 EDU Factors'!$J$12:$J$36)</f>
        <v>0</v>
      </c>
      <c r="O83" s="291">
        <f t="shared" si="17"/>
        <v>0</v>
      </c>
      <c r="Q83" s="293" t="str">
        <f>LOOKUP(B83,'1.2 EDU Factors'!$A$12:$A$36, '1.2 EDU Factors'!$C$12:$C$36)</f>
        <v>Acre</v>
      </c>
      <c r="R83" s="345">
        <f>LOOKUP(B83,'1.2 EDU Factors'!$A$12:$A$36, '1.2 EDU Factors'!$D$12:$D$36)</f>
        <v>0</v>
      </c>
      <c r="S83" s="291">
        <f t="shared" si="18"/>
        <v>0</v>
      </c>
    </row>
    <row r="84" spans="1:19" x14ac:dyDescent="0.2">
      <c r="A84" s="276"/>
      <c r="B84" s="272" t="s">
        <v>253</v>
      </c>
      <c r="C84" s="273">
        <v>338.69793499999997</v>
      </c>
      <c r="D84" s="340">
        <f t="shared" si="13"/>
        <v>0.2</v>
      </c>
      <c r="E84" s="273">
        <f t="shared" si="14"/>
        <v>67.739587</v>
      </c>
      <c r="F84" s="273"/>
      <c r="G84" s="293" t="str">
        <f>LOOKUP(B84,'1.2 EDU Factors'!$A$12:$A$36, '1.2 EDU Factors'!$C$12:$C$36)</f>
        <v>Acre</v>
      </c>
      <c r="H84" s="290">
        <f>LOOKUP(B84,'1.2 EDU Factors'!$A$12:$A$36, '1.2 EDU Factors'!$E$12:$E$36)</f>
        <v>1.4851485148514851</v>
      </c>
      <c r="I84" s="291">
        <f t="shared" si="15"/>
        <v>100.60334702970297</v>
      </c>
      <c r="K84" s="293" t="str">
        <f>LOOKUP(B84,'1.2 EDU Factors'!$A$12:$A$36, '1.2 EDU Factors'!$G$12:$G$36)</f>
        <v>Acre</v>
      </c>
      <c r="L84" s="290">
        <f>LOOKUP(B84,'1.2 EDU Factors'!$A$12:$A$36, '1.2 EDU Factors'!$H$12:$H$36)</f>
        <v>1</v>
      </c>
      <c r="M84" s="291">
        <f t="shared" si="16"/>
        <v>67.739587</v>
      </c>
      <c r="N84" s="290">
        <f>LOOKUP(B84,'1.2 EDU Factors'!$A$12:$A$36, '1.2 EDU Factors'!$J$12:$J$36)</f>
        <v>7.5</v>
      </c>
      <c r="O84" s="291">
        <f t="shared" si="17"/>
        <v>508.04690249999999</v>
      </c>
      <c r="Q84" s="293" t="str">
        <f>LOOKUP(B84,'1.2 EDU Factors'!$A$12:$A$36, '1.2 EDU Factors'!$C$12:$C$36)</f>
        <v>Acre</v>
      </c>
      <c r="R84" s="345">
        <f>LOOKUP(B84,'1.2 EDU Factors'!$A$12:$A$36, '1.2 EDU Factors'!$D$12:$D$36)</f>
        <v>1200</v>
      </c>
      <c r="S84" s="291">
        <f t="shared" si="18"/>
        <v>81287.504400000005</v>
      </c>
    </row>
    <row r="85" spans="1:19" x14ac:dyDescent="0.2">
      <c r="A85" s="276"/>
      <c r="B85" s="272" t="s">
        <v>242</v>
      </c>
      <c r="C85" s="273">
        <v>293.76250499999998</v>
      </c>
      <c r="D85" s="340">
        <f t="shared" si="13"/>
        <v>0.2</v>
      </c>
      <c r="E85" s="273">
        <f t="shared" si="14"/>
        <v>58.752500999999995</v>
      </c>
      <c r="F85" s="273"/>
      <c r="G85" s="293" t="str">
        <f>LOOKUP(B85,'1.2 EDU Factors'!$A$12:$A$36, '1.2 EDU Factors'!$C$12:$C$36)</f>
        <v>Acre</v>
      </c>
      <c r="H85" s="290">
        <f>LOOKUP(B85,'1.2 EDU Factors'!$A$12:$A$36, '1.2 EDU Factors'!$E$12:$E$36)</f>
        <v>3.0606435643564356</v>
      </c>
      <c r="I85" s="291">
        <f t="shared" si="15"/>
        <v>179.82046407549504</v>
      </c>
      <c r="K85" s="293" t="str">
        <f>LOOKUP(B85,'1.2 EDU Factors'!$A$12:$A$36, '1.2 EDU Factors'!$G$12:$G$36)</f>
        <v>Acre</v>
      </c>
      <c r="L85" s="290">
        <f>LOOKUP(B85,'1.2 EDU Factors'!$A$12:$A$36, '1.2 EDU Factors'!$H$12:$H$36)</f>
        <v>1</v>
      </c>
      <c r="M85" s="291">
        <f t="shared" si="16"/>
        <v>58.752500999999995</v>
      </c>
      <c r="N85" s="290">
        <f>LOOKUP(B85,'1.2 EDU Factors'!$A$12:$A$36, '1.2 EDU Factors'!$J$12:$J$36)</f>
        <v>15.456250000000001</v>
      </c>
      <c r="O85" s="291">
        <f t="shared" si="17"/>
        <v>908.09334358125</v>
      </c>
      <c r="Q85" s="293" t="str">
        <f>LOOKUP(B85,'1.2 EDU Factors'!$A$12:$A$36, '1.2 EDU Factors'!$C$12:$C$36)</f>
        <v>Acre</v>
      </c>
      <c r="R85" s="345">
        <f>LOOKUP(B85,'1.2 EDU Factors'!$A$12:$A$36, '1.2 EDU Factors'!$D$12:$D$36)</f>
        <v>2473</v>
      </c>
      <c r="S85" s="291">
        <f t="shared" si="18"/>
        <v>145294.934973</v>
      </c>
    </row>
    <row r="86" spans="1:19" x14ac:dyDescent="0.2">
      <c r="A86" s="276"/>
      <c r="B86" s="272" t="s">
        <v>244</v>
      </c>
      <c r="C86" s="273">
        <v>481.46015399999999</v>
      </c>
      <c r="D86" s="340">
        <f t="shared" si="13"/>
        <v>0.2</v>
      </c>
      <c r="E86" s="273">
        <f t="shared" si="14"/>
        <v>96.292030800000006</v>
      </c>
      <c r="F86" s="273"/>
      <c r="G86" s="293" t="str">
        <f>LOOKUP(B86,'1.2 EDU Factors'!$A$12:$A$36, '1.2 EDU Factors'!$C$12:$C$36)</f>
        <v>Acre</v>
      </c>
      <c r="H86" s="290">
        <f>LOOKUP(B86,'1.2 EDU Factors'!$A$12:$A$36, '1.2 EDU Factors'!$E$12:$E$36)</f>
        <v>1</v>
      </c>
      <c r="I86" s="291">
        <f t="shared" si="15"/>
        <v>96.292030800000006</v>
      </c>
      <c r="K86" s="293" t="str">
        <f>LOOKUP(B86,'1.2 EDU Factors'!$A$12:$A$36, '1.2 EDU Factors'!$G$12:$G$36)</f>
        <v>Dwelling Unit</v>
      </c>
      <c r="L86" s="290">
        <f>LOOKUP(B86,'1.2 EDU Factors'!$A$12:$A$36, '1.2 EDU Factors'!$H$12:$H$36)</f>
        <v>5.05</v>
      </c>
      <c r="M86" s="291">
        <f t="shared" si="16"/>
        <v>486.27475554</v>
      </c>
      <c r="N86" s="290">
        <f>LOOKUP(B86,'1.2 EDU Factors'!$A$12:$A$36, '1.2 EDU Factors'!$J$12:$J$36)</f>
        <v>1</v>
      </c>
      <c r="O86" s="291">
        <f t="shared" si="17"/>
        <v>486.27475554</v>
      </c>
      <c r="Q86" s="293" t="str">
        <f>LOOKUP(B86,'1.2 EDU Factors'!$A$12:$A$36, '1.2 EDU Factors'!$C$12:$C$36)</f>
        <v>Acre</v>
      </c>
      <c r="R86" s="345">
        <f>LOOKUP(B86,'1.2 EDU Factors'!$A$12:$A$36, '1.2 EDU Factors'!$D$12:$D$36)</f>
        <v>808</v>
      </c>
      <c r="S86" s="291">
        <f t="shared" si="18"/>
        <v>77803.960886400004</v>
      </c>
    </row>
    <row r="87" spans="1:19" x14ac:dyDescent="0.2">
      <c r="A87" s="276"/>
      <c r="B87" s="272" t="s">
        <v>247</v>
      </c>
      <c r="C87" s="273">
        <v>29.960425000000001</v>
      </c>
      <c r="D87" s="340">
        <f t="shared" si="13"/>
        <v>0.2</v>
      </c>
      <c r="E87" s="273">
        <f t="shared" si="14"/>
        <v>5.9920850000000003</v>
      </c>
      <c r="F87" s="273"/>
      <c r="G87" s="293" t="str">
        <f>LOOKUP(B87,'1.2 EDU Factors'!$A$12:$A$36, '1.2 EDU Factors'!$C$12:$C$36)</f>
        <v>Acre</v>
      </c>
      <c r="H87" s="290">
        <f>LOOKUP(B87,'1.2 EDU Factors'!$A$12:$A$36, '1.2 EDU Factors'!$E$12:$E$36)</f>
        <v>0.49504950495049505</v>
      </c>
      <c r="I87" s="291">
        <f t="shared" si="15"/>
        <v>2.9663787128712871</v>
      </c>
      <c r="K87" s="293" t="str">
        <f>LOOKUP(B87,'1.2 EDU Factors'!$A$12:$A$36, '1.2 EDU Factors'!$G$12:$G$36)</f>
        <v>Acre</v>
      </c>
      <c r="L87" s="290">
        <f>LOOKUP(B87,'1.2 EDU Factors'!$A$12:$A$36, '1.2 EDU Factors'!$H$12:$H$36)</f>
        <v>1</v>
      </c>
      <c r="M87" s="291">
        <f t="shared" si="16"/>
        <v>5.9920850000000003</v>
      </c>
      <c r="N87" s="290">
        <f>LOOKUP(B87,'1.2 EDU Factors'!$A$12:$A$36, '1.2 EDU Factors'!$J$12:$J$36)</f>
        <v>2.5</v>
      </c>
      <c r="O87" s="291">
        <f t="shared" si="17"/>
        <v>14.9802125</v>
      </c>
      <c r="Q87" s="293" t="str">
        <f>LOOKUP(B87,'1.2 EDU Factors'!$A$12:$A$36, '1.2 EDU Factors'!$C$12:$C$36)</f>
        <v>Acre</v>
      </c>
      <c r="R87" s="345">
        <f>LOOKUP(B87,'1.2 EDU Factors'!$A$12:$A$36, '1.2 EDU Factors'!$D$12:$D$36)</f>
        <v>400</v>
      </c>
      <c r="S87" s="291">
        <f t="shared" si="18"/>
        <v>2396.8340000000003</v>
      </c>
    </row>
    <row r="88" spans="1:19" x14ac:dyDescent="0.2">
      <c r="A88" s="276"/>
      <c r="B88" s="272" t="s">
        <v>249</v>
      </c>
      <c r="C88" s="273">
        <v>78.736902000000001</v>
      </c>
      <c r="D88" s="340">
        <f t="shared" si="13"/>
        <v>0.2</v>
      </c>
      <c r="E88" s="273">
        <f t="shared" si="14"/>
        <v>15.747380400000001</v>
      </c>
      <c r="F88" s="273"/>
      <c r="G88" s="293" t="str">
        <f>LOOKUP(B88,'1.2 EDU Factors'!$A$12:$A$36, '1.2 EDU Factors'!$C$12:$C$36)</f>
        <v>Acre</v>
      </c>
      <c r="H88" s="290">
        <f>LOOKUP(B88,'1.2 EDU Factors'!$A$12:$A$36, '1.2 EDU Factors'!$E$12:$E$36)</f>
        <v>0.39603960396039606</v>
      </c>
      <c r="I88" s="291">
        <f t="shared" si="15"/>
        <v>6.2365862970297039</v>
      </c>
      <c r="K88" s="293" t="str">
        <f>LOOKUP(B88,'1.2 EDU Factors'!$A$12:$A$36, '1.2 EDU Factors'!$G$12:$G$36)</f>
        <v>Dwelling Unit</v>
      </c>
      <c r="L88" s="290">
        <f>LOOKUP(B88,'1.2 EDU Factors'!$A$12:$A$36, '1.2 EDU Factors'!$H$12:$H$36)</f>
        <v>2</v>
      </c>
      <c r="M88" s="291">
        <f t="shared" si="16"/>
        <v>31.494760800000002</v>
      </c>
      <c r="N88" s="290">
        <f>LOOKUP(B88,'1.2 EDU Factors'!$A$12:$A$36, '1.2 EDU Factors'!$J$12:$J$36)</f>
        <v>1</v>
      </c>
      <c r="O88" s="291">
        <f t="shared" si="17"/>
        <v>31.494760800000002</v>
      </c>
      <c r="Q88" s="293" t="str">
        <f>LOOKUP(B88,'1.2 EDU Factors'!$A$12:$A$36, '1.2 EDU Factors'!$C$12:$C$36)</f>
        <v>Acre</v>
      </c>
      <c r="R88" s="345">
        <f>LOOKUP(B88,'1.2 EDU Factors'!$A$12:$A$36, '1.2 EDU Factors'!$D$12:$D$36)</f>
        <v>320</v>
      </c>
      <c r="S88" s="291">
        <f t="shared" si="18"/>
        <v>5039.161728</v>
      </c>
    </row>
    <row r="89" spans="1:19" x14ac:dyDescent="0.2">
      <c r="A89" s="276"/>
      <c r="B89" s="272" t="s">
        <v>234</v>
      </c>
      <c r="C89" s="273">
        <v>524.78247399999998</v>
      </c>
      <c r="D89" s="340">
        <f t="shared" si="13"/>
        <v>1</v>
      </c>
      <c r="E89" s="273">
        <f t="shared" si="14"/>
        <v>524.78247399999998</v>
      </c>
      <c r="F89" s="273"/>
      <c r="G89" s="293" t="str">
        <f>LOOKUP(B89,'1.2 EDU Factors'!$A$12:$A$36, '1.2 EDU Factors'!$C$12:$C$36)</f>
        <v>Acre</v>
      </c>
      <c r="H89" s="290">
        <f>LOOKUP(B89,'1.2 EDU Factors'!$A$12:$A$36, '1.2 EDU Factors'!$E$12:$E$36)</f>
        <v>0.39603960396039606</v>
      </c>
      <c r="I89" s="291">
        <f t="shared" si="15"/>
        <v>207.83464316831683</v>
      </c>
      <c r="K89" s="293" t="str">
        <f>LOOKUP(B89,'1.2 EDU Factors'!$A$12:$A$36, '1.2 EDU Factors'!$G$12:$G$36)</f>
        <v>Dwelling Unit</v>
      </c>
      <c r="L89" s="290">
        <f>LOOKUP(B89,'1.2 EDU Factors'!$A$12:$A$36, '1.2 EDU Factors'!$H$12:$H$36)</f>
        <v>2</v>
      </c>
      <c r="M89" s="291">
        <f t="shared" si="16"/>
        <v>1049.564948</v>
      </c>
      <c r="N89" s="290">
        <f>LOOKUP(B89,'1.2 EDU Factors'!$A$12:$A$36, '1.2 EDU Factors'!$J$12:$J$36)</f>
        <v>1</v>
      </c>
      <c r="O89" s="291">
        <f t="shared" si="17"/>
        <v>1049.564948</v>
      </c>
      <c r="Q89" s="293" t="str">
        <f>LOOKUP(B89,'1.2 EDU Factors'!$A$12:$A$36, '1.2 EDU Factors'!$C$12:$C$36)</f>
        <v>Acre</v>
      </c>
      <c r="R89" s="345">
        <f>LOOKUP(B89,'1.2 EDU Factors'!$A$12:$A$36, '1.2 EDU Factors'!$D$12:$D$36)</f>
        <v>320</v>
      </c>
      <c r="S89" s="291">
        <f t="shared" si="18"/>
        <v>167930.39168</v>
      </c>
    </row>
    <row r="90" spans="1:19" x14ac:dyDescent="0.2">
      <c r="A90" s="276"/>
      <c r="B90" s="272"/>
      <c r="C90" s="306"/>
      <c r="D90" s="272"/>
      <c r="E90" s="306"/>
      <c r="F90" s="273"/>
      <c r="G90" s="293"/>
      <c r="H90" s="290"/>
      <c r="I90" s="307"/>
      <c r="K90" s="293"/>
      <c r="L90" s="290"/>
      <c r="M90" s="291"/>
      <c r="N90" s="290"/>
      <c r="O90" s="307"/>
      <c r="Q90" s="293"/>
      <c r="R90" s="290"/>
      <c r="S90" s="307"/>
    </row>
    <row r="91" spans="1:19" x14ac:dyDescent="0.2">
      <c r="A91" s="276"/>
      <c r="B91" s="272"/>
      <c r="C91" s="273"/>
      <c r="D91" s="272"/>
      <c r="E91" s="273"/>
      <c r="F91" s="273"/>
      <c r="G91" s="293"/>
      <c r="H91" s="290"/>
      <c r="I91" s="291"/>
      <c r="K91" s="293"/>
      <c r="L91" s="290"/>
      <c r="M91" s="291"/>
      <c r="N91" s="290"/>
      <c r="O91" s="291"/>
      <c r="Q91" s="293"/>
      <c r="R91" s="290"/>
      <c r="S91" s="291"/>
    </row>
    <row r="92" spans="1:19" x14ac:dyDescent="0.2">
      <c r="A92" s="276" t="s">
        <v>442</v>
      </c>
      <c r="B92" s="272"/>
      <c r="C92" s="273">
        <f>SUM(C70:C90)</f>
        <v>7049.792031</v>
      </c>
      <c r="D92" s="272"/>
      <c r="E92" s="273">
        <f>SUM(E70:E90)</f>
        <v>4799.8985726000001</v>
      </c>
      <c r="F92" s="273"/>
      <c r="G92" s="293"/>
      <c r="H92" s="290"/>
      <c r="I92" s="273">
        <f>SUM(I70:I90)</f>
        <v>4912.9989708222774</v>
      </c>
      <c r="K92" s="293"/>
      <c r="L92" s="290"/>
      <c r="M92" s="291"/>
      <c r="N92" s="290"/>
      <c r="O92" s="273">
        <f>SUM(O70:O90)</f>
        <v>24810.644802652492</v>
      </c>
      <c r="Q92" s="293"/>
      <c r="R92" s="290"/>
      <c r="S92" s="273">
        <f>SUM(S70:S90)</f>
        <v>3969703.1684244</v>
      </c>
    </row>
    <row r="93" spans="1:19" x14ac:dyDescent="0.2">
      <c r="A93" s="279" t="s">
        <v>433</v>
      </c>
      <c r="E93" s="282">
        <f>C92-E92</f>
        <v>2249.8934583999999</v>
      </c>
      <c r="I93" s="291">
        <f>$I$127</f>
        <v>808</v>
      </c>
      <c r="J93" s="286"/>
      <c r="K93" s="293"/>
      <c r="L93" s="290"/>
      <c r="M93" s="291"/>
      <c r="N93" s="290"/>
      <c r="O93" s="291">
        <f>$O$127</f>
        <v>160</v>
      </c>
      <c r="Q93" s="274"/>
      <c r="S93" s="291"/>
    </row>
    <row r="94" spans="1:19" x14ac:dyDescent="0.2">
      <c r="A94" s="279" t="s">
        <v>434</v>
      </c>
      <c r="E94" s="282">
        <f>-E93/C92</f>
        <v>-0.31914323834044456</v>
      </c>
      <c r="I94" s="291">
        <f>I92*I93</f>
        <v>3969703.1684244</v>
      </c>
      <c r="J94" s="286"/>
      <c r="K94" s="286"/>
      <c r="L94" s="286"/>
      <c r="M94" s="291"/>
      <c r="N94" s="286"/>
      <c r="O94" s="291">
        <f>O92*O93</f>
        <v>3969703.1684243986</v>
      </c>
      <c r="Q94" s="274"/>
      <c r="S94" s="291"/>
    </row>
    <row r="95" spans="1:19" x14ac:dyDescent="0.2">
      <c r="A95" s="276"/>
      <c r="B95" s="272"/>
      <c r="C95" s="273"/>
      <c r="D95" s="272"/>
      <c r="E95" s="273"/>
      <c r="F95" s="273"/>
      <c r="G95" s="273"/>
      <c r="I95" s="291"/>
      <c r="M95" s="97"/>
      <c r="N95" s="290"/>
      <c r="O95" s="291"/>
      <c r="Q95" s="273"/>
      <c r="S95" s="291"/>
    </row>
    <row r="96" spans="1:19" x14ac:dyDescent="0.2">
      <c r="A96" s="276"/>
      <c r="B96" s="272"/>
      <c r="C96" s="273"/>
      <c r="D96" s="272"/>
      <c r="E96" s="273"/>
      <c r="F96" s="273"/>
      <c r="G96" s="273"/>
      <c r="I96" s="291"/>
      <c r="M96" s="97"/>
      <c r="N96" s="290"/>
      <c r="O96" s="291"/>
      <c r="Q96" s="273"/>
      <c r="S96" s="291"/>
    </row>
    <row r="97" spans="1:19" x14ac:dyDescent="0.2">
      <c r="A97" s="271" t="s">
        <v>254</v>
      </c>
      <c r="B97" s="272" t="s">
        <v>236</v>
      </c>
      <c r="C97" s="273">
        <v>191.42892800000001</v>
      </c>
      <c r="D97" s="340">
        <f t="shared" ref="D97:D107" si="19">IF(ISERROR(FIND("UR",B97)),1,0.2)</f>
        <v>1</v>
      </c>
      <c r="E97" s="273">
        <f t="shared" ref="E97:E107" si="20">C97*D97</f>
        <v>191.42892800000001</v>
      </c>
      <c r="F97" s="273"/>
      <c r="G97" s="290">
        <v>0</v>
      </c>
      <c r="H97" s="290">
        <f>LOOKUP(B97,'1.2 EDU Factors'!$A$12:$A$36, '1.2 EDU Factors'!$E$12:$E$36)</f>
        <v>0</v>
      </c>
      <c r="I97" s="291">
        <f t="shared" ref="I97:I107" si="21">H97*E97</f>
        <v>0</v>
      </c>
      <c r="K97" s="293" t="str">
        <f>LOOKUP(B97,'1.2 EDU Factors'!$A$12:$A$36, '1.2 EDU Factors'!$G$12:$G$36)</f>
        <v>Acre</v>
      </c>
      <c r="L97" s="290">
        <f>LOOKUP(B97,'1.2 EDU Factors'!$A$12:$A$36, '1.2 EDU Factors'!$H$12:$H$36)</f>
        <v>0</v>
      </c>
      <c r="M97" s="291">
        <f t="shared" ref="M97:M107" si="22">L97*E97</f>
        <v>0</v>
      </c>
      <c r="N97" s="290">
        <f>LOOKUP(B97,'1.2 EDU Factors'!$A$12:$A$36, '1.2 EDU Factors'!$J$12:$J$36)</f>
        <v>0</v>
      </c>
      <c r="O97" s="291">
        <f t="shared" ref="O97:O107" si="23">N97*M97</f>
        <v>0</v>
      </c>
      <c r="Q97" s="293" t="str">
        <f>LOOKUP(B97,'1.2 EDU Factors'!$A$12:$A$36, '1.2 EDU Factors'!$C$12:$C$36)</f>
        <v>Acre</v>
      </c>
      <c r="R97" s="345">
        <f>LOOKUP(B97,'1.2 EDU Factors'!$A$12:$A$36, '1.2 EDU Factors'!$D$12:$D$36)</f>
        <v>0</v>
      </c>
      <c r="S97" s="291">
        <f t="shared" ref="S97:S107" si="24">R97*E97</f>
        <v>0</v>
      </c>
    </row>
    <row r="98" spans="1:19" x14ac:dyDescent="0.2">
      <c r="A98" s="276"/>
      <c r="B98" s="272" t="s">
        <v>252</v>
      </c>
      <c r="C98" s="273">
        <v>135.32440500000001</v>
      </c>
      <c r="D98" s="340">
        <f t="shared" si="19"/>
        <v>1</v>
      </c>
      <c r="E98" s="273">
        <f t="shared" si="20"/>
        <v>135.32440500000001</v>
      </c>
      <c r="F98" s="273"/>
      <c r="G98" s="293" t="str">
        <f>LOOKUP(B98,'1.2 EDU Factors'!$A$12:$A$36, '1.2 EDU Factors'!$C$12:$C$36)</f>
        <v>Acre</v>
      </c>
      <c r="H98" s="290">
        <f>LOOKUP(B98,'1.2 EDU Factors'!$A$12:$A$36, '1.2 EDU Factors'!$E$12:$E$36)</f>
        <v>1.4851485148514851</v>
      </c>
      <c r="I98" s="291">
        <f t="shared" si="21"/>
        <v>200.97683910891089</v>
      </c>
      <c r="K98" s="293" t="str">
        <f>LOOKUP(B98,'1.2 EDU Factors'!$A$12:$A$36, '1.2 EDU Factors'!$G$12:$G$36)</f>
        <v>Acre</v>
      </c>
      <c r="L98" s="290">
        <f>LOOKUP(B98,'1.2 EDU Factors'!$A$12:$A$36, '1.2 EDU Factors'!$H$12:$H$36)</f>
        <v>1</v>
      </c>
      <c r="M98" s="291">
        <f t="shared" si="22"/>
        <v>135.32440500000001</v>
      </c>
      <c r="N98" s="290">
        <f>LOOKUP(B98,'1.2 EDU Factors'!$A$12:$A$36, '1.2 EDU Factors'!$J$12:$J$36)</f>
        <v>7.5</v>
      </c>
      <c r="O98" s="291">
        <f t="shared" si="23"/>
        <v>1014.9330375000001</v>
      </c>
      <c r="Q98" s="293" t="str">
        <f>LOOKUP(B98,'1.2 EDU Factors'!$A$12:$A$36, '1.2 EDU Factors'!$C$12:$C$36)</f>
        <v>Acre</v>
      </c>
      <c r="R98" s="345">
        <f>LOOKUP(B98,'1.2 EDU Factors'!$A$12:$A$36, '1.2 EDU Factors'!$D$12:$D$36)</f>
        <v>1200</v>
      </c>
      <c r="S98" s="291">
        <f t="shared" si="24"/>
        <v>162389.28600000002</v>
      </c>
    </row>
    <row r="99" spans="1:19" x14ac:dyDescent="0.2">
      <c r="A99" s="276"/>
      <c r="B99" s="272" t="s">
        <v>227</v>
      </c>
      <c r="C99" s="273">
        <v>78.564483999999993</v>
      </c>
      <c r="D99" s="340">
        <f t="shared" si="19"/>
        <v>1</v>
      </c>
      <c r="E99" s="273">
        <f t="shared" si="20"/>
        <v>78.564483999999993</v>
      </c>
      <c r="F99" s="273"/>
      <c r="G99" s="293" t="str">
        <f>LOOKUP(B99,'1.2 EDU Factors'!$A$12:$A$36, '1.2 EDU Factors'!$C$12:$C$36)</f>
        <v>Acre</v>
      </c>
      <c r="H99" s="290">
        <f>LOOKUP(B99,'1.2 EDU Factors'!$A$12:$A$36, '1.2 EDU Factors'!$E$12:$E$36)</f>
        <v>0.92821782178217827</v>
      </c>
      <c r="I99" s="291">
        <f t="shared" si="21"/>
        <v>72.924954207920791</v>
      </c>
      <c r="K99" s="293" t="str">
        <f>LOOKUP(B99,'1.2 EDU Factors'!$A$12:$A$36, '1.2 EDU Factors'!$G$12:$G$36)</f>
        <v>Acre</v>
      </c>
      <c r="L99" s="290">
        <f>LOOKUP(B99,'1.2 EDU Factors'!$A$12:$A$36, '1.2 EDU Factors'!$H$12:$H$36)</f>
        <v>1</v>
      </c>
      <c r="M99" s="291">
        <f t="shared" si="22"/>
        <v>78.564483999999993</v>
      </c>
      <c r="N99" s="290">
        <f>LOOKUP(B99,'1.2 EDU Factors'!$A$12:$A$36, '1.2 EDU Factors'!$J$12:$J$36)</f>
        <v>4.6875</v>
      </c>
      <c r="O99" s="291">
        <f t="shared" si="23"/>
        <v>368.27101874999994</v>
      </c>
      <c r="Q99" s="293" t="str">
        <f>LOOKUP(B99,'1.2 EDU Factors'!$A$12:$A$36, '1.2 EDU Factors'!$C$12:$C$36)</f>
        <v>Acre</v>
      </c>
      <c r="R99" s="345">
        <f>LOOKUP(B99,'1.2 EDU Factors'!$A$12:$A$36, '1.2 EDU Factors'!$D$12:$D$36)</f>
        <v>750</v>
      </c>
      <c r="S99" s="291">
        <f t="shared" si="24"/>
        <v>58923.362999999998</v>
      </c>
    </row>
    <row r="100" spans="1:19" x14ac:dyDescent="0.2">
      <c r="A100" s="276"/>
      <c r="B100" s="272" t="s">
        <v>228</v>
      </c>
      <c r="C100" s="273">
        <v>18.722038000000001</v>
      </c>
      <c r="D100" s="340">
        <f t="shared" si="19"/>
        <v>1</v>
      </c>
      <c r="E100" s="273">
        <f t="shared" si="20"/>
        <v>18.722038000000001</v>
      </c>
      <c r="F100" s="273"/>
      <c r="G100" s="293" t="str">
        <f>LOOKUP(B100,'1.2 EDU Factors'!$A$12:$A$36, '1.2 EDU Factors'!$C$12:$C$36)</f>
        <v>Acre</v>
      </c>
      <c r="H100" s="290">
        <f>LOOKUP(B100,'1.2 EDU Factors'!$A$12:$A$36, '1.2 EDU Factors'!$E$12:$E$36)</f>
        <v>2.8923267326732671</v>
      </c>
      <c r="I100" s="291">
        <f t="shared" si="21"/>
        <v>54.150250997524751</v>
      </c>
      <c r="K100" s="293" t="str">
        <f>LOOKUP(B100,'1.2 EDU Factors'!$A$12:$A$36, '1.2 EDU Factors'!$G$12:$G$36)</f>
        <v>Dwelling Unit</v>
      </c>
      <c r="L100" s="290">
        <f>LOOKUP(B100,'1.2 EDU Factors'!$A$12:$A$36, '1.2 EDU Factors'!$H$12:$H$36)</f>
        <v>19.974358974358974</v>
      </c>
      <c r="M100" s="291">
        <f t="shared" si="22"/>
        <v>373.96070774358975</v>
      </c>
      <c r="N100" s="290">
        <f>LOOKUP(B100,'1.2 EDU Factors'!$A$12:$A$36, '1.2 EDU Factors'!$J$12:$J$36)</f>
        <v>0.73124999999999996</v>
      </c>
      <c r="O100" s="291">
        <f t="shared" si="23"/>
        <v>273.45876753749997</v>
      </c>
      <c r="Q100" s="293" t="str">
        <f>LOOKUP(B100,'1.2 EDU Factors'!$A$12:$A$36, '1.2 EDU Factors'!$C$12:$C$36)</f>
        <v>Acre</v>
      </c>
      <c r="R100" s="345">
        <f>LOOKUP(B100,'1.2 EDU Factors'!$A$12:$A$36, '1.2 EDU Factors'!$D$12:$D$36)</f>
        <v>2337</v>
      </c>
      <c r="S100" s="291">
        <f t="shared" si="24"/>
        <v>43753.402806000006</v>
      </c>
    </row>
    <row r="101" spans="1:19" x14ac:dyDescent="0.2">
      <c r="A101" s="276"/>
      <c r="B101" s="272" t="s">
        <v>229</v>
      </c>
      <c r="C101" s="273">
        <v>545.78978700000005</v>
      </c>
      <c r="D101" s="340">
        <f t="shared" si="19"/>
        <v>1</v>
      </c>
      <c r="E101" s="273">
        <f t="shared" si="20"/>
        <v>545.78978700000005</v>
      </c>
      <c r="F101" s="273"/>
      <c r="G101" s="293" t="str">
        <f>LOOKUP(B101,'1.2 EDU Factors'!$A$12:$A$36, '1.2 EDU Factors'!$C$12:$C$36)</f>
        <v>Acre</v>
      </c>
      <c r="H101" s="290">
        <f>LOOKUP(B101,'1.2 EDU Factors'!$A$12:$A$36, '1.2 EDU Factors'!$E$12:$E$36)</f>
        <v>1</v>
      </c>
      <c r="I101" s="291">
        <f t="shared" si="21"/>
        <v>545.78978700000005</v>
      </c>
      <c r="K101" s="293" t="str">
        <f>LOOKUP(B101,'1.2 EDU Factors'!$A$12:$A$36, '1.2 EDU Factors'!$G$12:$G$36)</f>
        <v>Dwelling Unit</v>
      </c>
      <c r="L101" s="290">
        <f>LOOKUP(B101,'1.2 EDU Factors'!$A$12:$A$36, '1.2 EDU Factors'!$H$12:$H$36)</f>
        <v>5.05</v>
      </c>
      <c r="M101" s="291">
        <f t="shared" si="22"/>
        <v>2756.2384243500001</v>
      </c>
      <c r="N101" s="290">
        <f>LOOKUP(B101,'1.2 EDU Factors'!$A$12:$A$36, '1.2 EDU Factors'!$J$12:$J$36)</f>
        <v>1</v>
      </c>
      <c r="O101" s="291">
        <f t="shared" si="23"/>
        <v>2756.2384243500001</v>
      </c>
      <c r="Q101" s="293" t="str">
        <f>LOOKUP(B101,'1.2 EDU Factors'!$A$12:$A$36, '1.2 EDU Factors'!$C$12:$C$36)</f>
        <v>Acre</v>
      </c>
      <c r="R101" s="345">
        <f>LOOKUP(B101,'1.2 EDU Factors'!$A$12:$A$36, '1.2 EDU Factors'!$D$12:$D$36)</f>
        <v>808</v>
      </c>
      <c r="S101" s="291">
        <f t="shared" si="24"/>
        <v>440998.14789600001</v>
      </c>
    </row>
    <row r="102" spans="1:19" x14ac:dyDescent="0.2">
      <c r="A102" s="276"/>
      <c r="B102" s="272" t="s">
        <v>231</v>
      </c>
      <c r="C102" s="273">
        <v>48.975785000000002</v>
      </c>
      <c r="D102" s="340">
        <f t="shared" si="19"/>
        <v>1</v>
      </c>
      <c r="E102" s="273">
        <f t="shared" si="20"/>
        <v>48.975785000000002</v>
      </c>
      <c r="F102" s="273"/>
      <c r="G102" s="293" t="str">
        <f>LOOKUP(B102,'1.2 EDU Factors'!$A$12:$A$36, '1.2 EDU Factors'!$C$12:$C$36)</f>
        <v>Acre</v>
      </c>
      <c r="H102" s="290">
        <f>LOOKUP(B102,'1.2 EDU Factors'!$A$12:$A$36, '1.2 EDU Factors'!$E$12:$E$36)</f>
        <v>1.6658415841584158</v>
      </c>
      <c r="I102" s="291">
        <f t="shared" si="21"/>
        <v>81.585899269801985</v>
      </c>
      <c r="K102" s="293" t="str">
        <f>LOOKUP(B102,'1.2 EDU Factors'!$A$12:$A$36, '1.2 EDU Factors'!$G$12:$G$36)</f>
        <v>Dwelling Unit</v>
      </c>
      <c r="L102" s="290">
        <f>LOOKUP(B102,'1.2 EDU Factors'!$A$12:$A$36, '1.2 EDU Factors'!$H$12:$H$36)</f>
        <v>11.504273504273504</v>
      </c>
      <c r="M102" s="291">
        <f t="shared" si="22"/>
        <v>563.43082572649575</v>
      </c>
      <c r="N102" s="290">
        <f>LOOKUP(B102,'1.2 EDU Factors'!$A$12:$A$36, '1.2 EDU Factors'!$J$12:$J$36)</f>
        <v>0.73124999999999996</v>
      </c>
      <c r="O102" s="291">
        <f t="shared" si="23"/>
        <v>412.00879131250002</v>
      </c>
      <c r="Q102" s="293" t="str">
        <f>LOOKUP(B102,'1.2 EDU Factors'!$A$12:$A$36, '1.2 EDU Factors'!$C$12:$C$36)</f>
        <v>Acre</v>
      </c>
      <c r="R102" s="345">
        <f>LOOKUP(B102,'1.2 EDU Factors'!$A$12:$A$36, '1.2 EDU Factors'!$D$12:$D$36)</f>
        <v>1346</v>
      </c>
      <c r="S102" s="291">
        <f t="shared" si="24"/>
        <v>65921.406610000005</v>
      </c>
    </row>
    <row r="103" spans="1:19" x14ac:dyDescent="0.2">
      <c r="A103" s="276"/>
      <c r="B103" s="272" t="s">
        <v>238</v>
      </c>
      <c r="C103" s="273">
        <v>428.98151100000001</v>
      </c>
      <c r="D103" s="340">
        <f t="shared" si="19"/>
        <v>1</v>
      </c>
      <c r="E103" s="273">
        <f t="shared" si="20"/>
        <v>428.98151100000001</v>
      </c>
      <c r="F103" s="273"/>
      <c r="G103" s="293" t="str">
        <f>LOOKUP(B103,'1.2 EDU Factors'!$A$12:$A$36, '1.2 EDU Factors'!$C$12:$C$36)</f>
        <v>Acre</v>
      </c>
      <c r="H103" s="290">
        <f>LOOKUP(B103,'1.2 EDU Factors'!$A$12:$A$36, '1.2 EDU Factors'!$E$12:$E$36)</f>
        <v>0</v>
      </c>
      <c r="I103" s="291">
        <f t="shared" si="21"/>
        <v>0</v>
      </c>
      <c r="K103" s="293" t="str">
        <f>LOOKUP(B103,'1.2 EDU Factors'!$A$12:$A$36, '1.2 EDU Factors'!$G$12:$G$36)</f>
        <v>Acre</v>
      </c>
      <c r="L103" s="290">
        <f>LOOKUP(B103,'1.2 EDU Factors'!$A$12:$A$36, '1.2 EDU Factors'!$H$12:$H$36)</f>
        <v>1</v>
      </c>
      <c r="M103" s="291">
        <f t="shared" si="22"/>
        <v>428.98151100000001</v>
      </c>
      <c r="N103" s="290">
        <f>LOOKUP(B103,'1.2 EDU Factors'!$A$12:$A$36, '1.2 EDU Factors'!$J$12:$J$36)</f>
        <v>0</v>
      </c>
      <c r="O103" s="291">
        <f t="shared" si="23"/>
        <v>0</v>
      </c>
      <c r="Q103" s="293" t="str">
        <f>LOOKUP(B103,'1.2 EDU Factors'!$A$12:$A$36, '1.2 EDU Factors'!$C$12:$C$36)</f>
        <v>Acre</v>
      </c>
      <c r="R103" s="345">
        <f>LOOKUP(B103,'1.2 EDU Factors'!$A$12:$A$36, '1.2 EDU Factors'!$D$12:$D$36)</f>
        <v>0</v>
      </c>
      <c r="S103" s="291">
        <f t="shared" si="24"/>
        <v>0</v>
      </c>
    </row>
    <row r="104" spans="1:19" x14ac:dyDescent="0.2">
      <c r="A104" s="276"/>
      <c r="B104" s="272" t="s">
        <v>253</v>
      </c>
      <c r="C104" s="273">
        <v>70.002771999999993</v>
      </c>
      <c r="D104" s="340">
        <f t="shared" si="19"/>
        <v>0.2</v>
      </c>
      <c r="E104" s="273">
        <f t="shared" si="20"/>
        <v>14.000554399999999</v>
      </c>
      <c r="F104" s="273"/>
      <c r="G104" s="293" t="str">
        <f>LOOKUP(B104,'1.2 EDU Factors'!$A$12:$A$36, '1.2 EDU Factors'!$C$12:$C$36)</f>
        <v>Acre</v>
      </c>
      <c r="H104" s="290">
        <f>LOOKUP(B104,'1.2 EDU Factors'!$A$12:$A$36, '1.2 EDU Factors'!$E$12:$E$36)</f>
        <v>1.4851485148514851</v>
      </c>
      <c r="I104" s="291">
        <f t="shared" si="21"/>
        <v>20.792902574257422</v>
      </c>
      <c r="K104" s="293" t="str">
        <f>LOOKUP(B104,'1.2 EDU Factors'!$A$12:$A$36, '1.2 EDU Factors'!$G$12:$G$36)</f>
        <v>Acre</v>
      </c>
      <c r="L104" s="290">
        <f>LOOKUP(B104,'1.2 EDU Factors'!$A$12:$A$36, '1.2 EDU Factors'!$H$12:$H$36)</f>
        <v>1</v>
      </c>
      <c r="M104" s="291">
        <f t="shared" si="22"/>
        <v>14.000554399999999</v>
      </c>
      <c r="N104" s="290">
        <f>LOOKUP(B104,'1.2 EDU Factors'!$A$12:$A$36, '1.2 EDU Factors'!$J$12:$J$36)</f>
        <v>7.5</v>
      </c>
      <c r="O104" s="291">
        <f t="shared" si="23"/>
        <v>105.00415799999999</v>
      </c>
      <c r="Q104" s="293" t="str">
        <f>LOOKUP(B104,'1.2 EDU Factors'!$A$12:$A$36, '1.2 EDU Factors'!$C$12:$C$36)</f>
        <v>Acre</v>
      </c>
      <c r="R104" s="345">
        <f>LOOKUP(B104,'1.2 EDU Factors'!$A$12:$A$36, '1.2 EDU Factors'!$D$12:$D$36)</f>
        <v>1200</v>
      </c>
      <c r="S104" s="291">
        <f t="shared" si="24"/>
        <v>16800.665279999997</v>
      </c>
    </row>
    <row r="105" spans="1:19" x14ac:dyDescent="0.2">
      <c r="A105" s="276"/>
      <c r="B105" s="272" t="s">
        <v>242</v>
      </c>
      <c r="C105" s="273">
        <v>98.809805999999995</v>
      </c>
      <c r="D105" s="340">
        <f t="shared" si="19"/>
        <v>0.2</v>
      </c>
      <c r="E105" s="273">
        <f t="shared" si="20"/>
        <v>19.761961200000002</v>
      </c>
      <c r="F105" s="273"/>
      <c r="G105" s="293" t="str">
        <f>LOOKUP(B105,'1.2 EDU Factors'!$A$12:$A$36, '1.2 EDU Factors'!$C$12:$C$36)</f>
        <v>Acre</v>
      </c>
      <c r="H105" s="290">
        <f>LOOKUP(B105,'1.2 EDU Factors'!$A$12:$A$36, '1.2 EDU Factors'!$E$12:$E$36)</f>
        <v>3.0606435643564356</v>
      </c>
      <c r="I105" s="291">
        <f t="shared" si="21"/>
        <v>60.484319365841586</v>
      </c>
      <c r="K105" s="293" t="str">
        <f>LOOKUP(B105,'1.2 EDU Factors'!$A$12:$A$36, '1.2 EDU Factors'!$G$12:$G$36)</f>
        <v>Acre</v>
      </c>
      <c r="L105" s="290">
        <f>LOOKUP(B105,'1.2 EDU Factors'!$A$12:$A$36, '1.2 EDU Factors'!$H$12:$H$36)</f>
        <v>1</v>
      </c>
      <c r="M105" s="291">
        <f t="shared" si="22"/>
        <v>19.761961200000002</v>
      </c>
      <c r="N105" s="290">
        <f>LOOKUP(B105,'1.2 EDU Factors'!$A$12:$A$36, '1.2 EDU Factors'!$J$12:$J$36)</f>
        <v>15.456250000000001</v>
      </c>
      <c r="O105" s="291">
        <f t="shared" si="23"/>
        <v>305.44581279750003</v>
      </c>
      <c r="Q105" s="293" t="str">
        <f>LOOKUP(B105,'1.2 EDU Factors'!$A$12:$A$36, '1.2 EDU Factors'!$C$12:$C$36)</f>
        <v>Acre</v>
      </c>
      <c r="R105" s="345">
        <f>LOOKUP(B105,'1.2 EDU Factors'!$A$12:$A$36, '1.2 EDU Factors'!$D$12:$D$36)</f>
        <v>2473</v>
      </c>
      <c r="S105" s="291">
        <f t="shared" si="24"/>
        <v>48871.330047600008</v>
      </c>
    </row>
    <row r="106" spans="1:19" x14ac:dyDescent="0.2">
      <c r="A106" s="276"/>
      <c r="B106" s="272" t="s">
        <v>244</v>
      </c>
      <c r="C106" s="273">
        <v>145.51939100000001</v>
      </c>
      <c r="D106" s="340">
        <f t="shared" si="19"/>
        <v>0.2</v>
      </c>
      <c r="E106" s="273">
        <f t="shared" si="20"/>
        <v>29.103878200000004</v>
      </c>
      <c r="F106" s="273"/>
      <c r="G106" s="293" t="str">
        <f>LOOKUP(B106,'1.2 EDU Factors'!$A$12:$A$36, '1.2 EDU Factors'!$C$12:$C$36)</f>
        <v>Acre</v>
      </c>
      <c r="H106" s="290">
        <f>LOOKUP(B106,'1.2 EDU Factors'!$A$12:$A$36, '1.2 EDU Factors'!$E$12:$E$36)</f>
        <v>1</v>
      </c>
      <c r="I106" s="291">
        <f t="shared" si="21"/>
        <v>29.103878200000004</v>
      </c>
      <c r="K106" s="293" t="str">
        <f>LOOKUP(B106,'1.2 EDU Factors'!$A$12:$A$36, '1.2 EDU Factors'!$G$12:$G$36)</f>
        <v>Dwelling Unit</v>
      </c>
      <c r="L106" s="290">
        <f>LOOKUP(B106,'1.2 EDU Factors'!$A$12:$A$36, '1.2 EDU Factors'!$H$12:$H$36)</f>
        <v>5.05</v>
      </c>
      <c r="M106" s="291">
        <f t="shared" si="22"/>
        <v>146.97458491</v>
      </c>
      <c r="N106" s="290">
        <f>LOOKUP(B106,'1.2 EDU Factors'!$A$12:$A$36, '1.2 EDU Factors'!$J$12:$J$36)</f>
        <v>1</v>
      </c>
      <c r="O106" s="291">
        <f t="shared" si="23"/>
        <v>146.97458491</v>
      </c>
      <c r="Q106" s="293" t="str">
        <f>LOOKUP(B106,'1.2 EDU Factors'!$A$12:$A$36, '1.2 EDU Factors'!$C$12:$C$36)</f>
        <v>Acre</v>
      </c>
      <c r="R106" s="345">
        <f>LOOKUP(B106,'1.2 EDU Factors'!$A$12:$A$36, '1.2 EDU Factors'!$D$12:$D$36)</f>
        <v>808</v>
      </c>
      <c r="S106" s="291">
        <f t="shared" si="24"/>
        <v>23515.933585600003</v>
      </c>
    </row>
    <row r="107" spans="1:19" x14ac:dyDescent="0.2">
      <c r="A107" s="276"/>
      <c r="B107" s="272" t="s">
        <v>249</v>
      </c>
      <c r="C107" s="273">
        <v>195.96840499999999</v>
      </c>
      <c r="D107" s="340">
        <f t="shared" si="19"/>
        <v>0.2</v>
      </c>
      <c r="E107" s="273">
        <f t="shared" si="20"/>
        <v>39.193680999999998</v>
      </c>
      <c r="F107" s="273"/>
      <c r="G107" s="293" t="str">
        <f>LOOKUP(B107,'1.2 EDU Factors'!$A$12:$A$36, '1.2 EDU Factors'!$C$12:$C$36)</f>
        <v>Acre</v>
      </c>
      <c r="H107" s="290">
        <f>LOOKUP(B107,'1.2 EDU Factors'!$A$12:$A$36, '1.2 EDU Factors'!$E$12:$E$36)</f>
        <v>0.39603960396039606</v>
      </c>
      <c r="I107" s="291">
        <f t="shared" si="21"/>
        <v>15.522249900990099</v>
      </c>
      <c r="K107" s="293" t="str">
        <f>LOOKUP(B107,'1.2 EDU Factors'!$A$12:$A$36, '1.2 EDU Factors'!$G$12:$G$36)</f>
        <v>Dwelling Unit</v>
      </c>
      <c r="L107" s="290">
        <f>LOOKUP(B107,'1.2 EDU Factors'!$A$12:$A$36, '1.2 EDU Factors'!$H$12:$H$36)</f>
        <v>2</v>
      </c>
      <c r="M107" s="291">
        <f t="shared" si="22"/>
        <v>78.387361999999996</v>
      </c>
      <c r="N107" s="290">
        <f>LOOKUP(B107,'1.2 EDU Factors'!$A$12:$A$36, '1.2 EDU Factors'!$J$12:$J$36)</f>
        <v>1</v>
      </c>
      <c r="O107" s="291">
        <f t="shared" si="23"/>
        <v>78.387361999999996</v>
      </c>
      <c r="Q107" s="293" t="str">
        <f>LOOKUP(B107,'1.2 EDU Factors'!$A$12:$A$36, '1.2 EDU Factors'!$C$12:$C$36)</f>
        <v>Acre</v>
      </c>
      <c r="R107" s="345">
        <f>LOOKUP(B107,'1.2 EDU Factors'!$A$12:$A$36, '1.2 EDU Factors'!$D$12:$D$36)</f>
        <v>320</v>
      </c>
      <c r="S107" s="291">
        <f t="shared" si="24"/>
        <v>12541.977919999999</v>
      </c>
    </row>
    <row r="108" spans="1:19" x14ac:dyDescent="0.2">
      <c r="A108" s="276"/>
      <c r="B108" s="272"/>
      <c r="C108" s="306"/>
      <c r="D108" s="272"/>
      <c r="E108" s="306"/>
      <c r="F108" s="273"/>
      <c r="G108" s="293"/>
      <c r="H108" s="290"/>
      <c r="I108" s="307"/>
      <c r="K108" s="293"/>
      <c r="L108" s="290"/>
      <c r="M108" s="291"/>
      <c r="N108" s="290"/>
      <c r="O108" s="307"/>
      <c r="Q108" s="293"/>
      <c r="R108" s="290"/>
      <c r="S108" s="307"/>
    </row>
    <row r="109" spans="1:19" x14ac:dyDescent="0.2">
      <c r="A109" s="276"/>
      <c r="B109" s="272"/>
      <c r="C109" s="273"/>
      <c r="D109" s="272"/>
      <c r="E109" s="273"/>
      <c r="F109" s="273"/>
      <c r="G109" s="293"/>
      <c r="H109" s="290"/>
      <c r="I109" s="291"/>
      <c r="K109" s="293"/>
      <c r="L109" s="290"/>
      <c r="M109" s="292"/>
      <c r="N109" s="290"/>
      <c r="O109" s="291"/>
      <c r="Q109" s="293"/>
      <c r="R109" s="290"/>
      <c r="S109" s="291"/>
    </row>
    <row r="110" spans="1:19" x14ac:dyDescent="0.2">
      <c r="A110" s="276" t="s">
        <v>438</v>
      </c>
      <c r="B110" s="272"/>
      <c r="C110" s="273">
        <f>SUM(C97:C108)</f>
        <v>1958.0873120000001</v>
      </c>
      <c r="D110" s="272"/>
      <c r="E110" s="273">
        <f>SUM(E97:E108)</f>
        <v>1549.8470128000001</v>
      </c>
      <c r="F110" s="273"/>
      <c r="G110" s="293"/>
      <c r="H110" s="290"/>
      <c r="I110" s="273">
        <f>SUM(I97:I108)</f>
        <v>1081.3310806252475</v>
      </c>
      <c r="K110" s="293"/>
      <c r="L110" s="290"/>
      <c r="M110" s="292"/>
      <c r="N110" s="290"/>
      <c r="O110" s="273">
        <f>SUM(O97:O108)</f>
        <v>5460.7219571575006</v>
      </c>
      <c r="Q110" s="293"/>
      <c r="R110" s="290"/>
      <c r="S110" s="273">
        <f>SUM(S97:S108)</f>
        <v>873715.51314519986</v>
      </c>
    </row>
    <row r="111" spans="1:19" x14ac:dyDescent="0.2">
      <c r="A111" s="279" t="s">
        <v>433</v>
      </c>
      <c r="I111" s="291">
        <f>$I$127</f>
        <v>808</v>
      </c>
      <c r="J111" s="286"/>
      <c r="K111" s="293"/>
      <c r="L111" s="290"/>
      <c r="M111" s="292"/>
      <c r="N111" s="290"/>
      <c r="O111" s="291">
        <f>$O$127</f>
        <v>160</v>
      </c>
      <c r="Q111" s="274"/>
      <c r="S111" s="291"/>
    </row>
    <row r="112" spans="1:19" x14ac:dyDescent="0.2">
      <c r="A112" s="279" t="s">
        <v>434</v>
      </c>
      <c r="I112" s="291">
        <f>I110*I111</f>
        <v>873715.51314519998</v>
      </c>
      <c r="J112" s="286"/>
      <c r="K112" s="286"/>
      <c r="L112" s="286"/>
      <c r="M112" s="286"/>
      <c r="N112" s="286"/>
      <c r="O112" s="291">
        <f>O110*O111</f>
        <v>873715.51314520009</v>
      </c>
      <c r="Q112" s="274"/>
      <c r="S112" s="291"/>
    </row>
    <row r="113" spans="1:19" x14ac:dyDescent="0.2">
      <c r="I113" s="291"/>
      <c r="J113" s="286"/>
      <c r="K113" s="286"/>
      <c r="L113" s="286"/>
      <c r="M113" s="286"/>
      <c r="N113" s="286"/>
      <c r="O113" s="291"/>
      <c r="Q113" s="274"/>
      <c r="S113" s="291"/>
    </row>
    <row r="114" spans="1:19" x14ac:dyDescent="0.2">
      <c r="I114" s="291"/>
      <c r="J114" s="286"/>
      <c r="K114" s="286"/>
      <c r="L114" s="286"/>
      <c r="M114" s="286"/>
      <c r="N114" s="286"/>
      <c r="O114" s="291"/>
      <c r="Q114" s="274"/>
      <c r="S114" s="291"/>
    </row>
    <row r="115" spans="1:19" x14ac:dyDescent="0.2">
      <c r="A115" s="271" t="s">
        <v>449</v>
      </c>
      <c r="B115" s="272" t="s">
        <v>227</v>
      </c>
      <c r="C115" s="273">
        <v>57.88</v>
      </c>
      <c r="D115" s="340">
        <f t="shared" ref="D115:D116" si="25">IF(ISERROR(FIND("UR",B115)),1,0.2)</f>
        <v>1</v>
      </c>
      <c r="E115" s="273">
        <f t="shared" ref="E115:E116" si="26">C115*D115</f>
        <v>57.88</v>
      </c>
      <c r="F115" s="273"/>
      <c r="G115" s="290">
        <v>0</v>
      </c>
      <c r="H115" s="290">
        <f>LOOKUP(B115,'1.2 EDU Factors'!$A$12:$A$36, '1.2 EDU Factors'!$E$12:$E$36)</f>
        <v>0.92821782178217827</v>
      </c>
      <c r="I115" s="291">
        <f t="shared" ref="I115:I116" si="27">H115*E115</f>
        <v>53.725247524752483</v>
      </c>
      <c r="K115" s="293" t="str">
        <f>LOOKUP(B115,'1.2 EDU Factors'!$A$12:$A$36, '1.2 EDU Factors'!$G$12:$G$36)</f>
        <v>Acre</v>
      </c>
      <c r="L115" s="290">
        <f>LOOKUP(B115,'1.2 EDU Factors'!$A$12:$A$36, '1.2 EDU Factors'!$H$12:$H$36)</f>
        <v>1</v>
      </c>
      <c r="M115" s="291">
        <f t="shared" ref="M115:M116" si="28">L115*E115</f>
        <v>57.88</v>
      </c>
      <c r="N115" s="290">
        <f>LOOKUP(B115,'1.2 EDU Factors'!$A$12:$A$36, '1.2 EDU Factors'!$J$12:$J$36)</f>
        <v>4.6875</v>
      </c>
      <c r="O115" s="291">
        <f t="shared" ref="O115:O116" si="29">N115*M115</f>
        <v>271.3125</v>
      </c>
      <c r="Q115" s="293" t="str">
        <f>LOOKUP(B115,'1.2 EDU Factors'!$A$12:$A$36, '1.2 EDU Factors'!$C$12:$C$36)</f>
        <v>Acre</v>
      </c>
      <c r="R115" s="345">
        <f>LOOKUP(B115,'1.2 EDU Factors'!$A$12:$A$36, '1.2 EDU Factors'!$D$12:$D$36)</f>
        <v>750</v>
      </c>
      <c r="S115" s="291">
        <f t="shared" ref="S115:S116" si="30">R115*E115</f>
        <v>43410</v>
      </c>
    </row>
    <row r="116" spans="1:19" x14ac:dyDescent="0.2">
      <c r="A116" s="276"/>
      <c r="B116" s="272" t="s">
        <v>229</v>
      </c>
      <c r="C116" s="273">
        <v>275.07</v>
      </c>
      <c r="D116" s="340">
        <f t="shared" si="25"/>
        <v>1</v>
      </c>
      <c r="E116" s="273">
        <f t="shared" si="26"/>
        <v>275.07</v>
      </c>
      <c r="F116" s="273"/>
      <c r="G116" s="293" t="str">
        <f>LOOKUP(B116,'1.2 EDU Factors'!$A$12:$A$36, '1.2 EDU Factors'!$C$12:$C$36)</f>
        <v>Acre</v>
      </c>
      <c r="H116" s="290">
        <f>LOOKUP(B116,'1.2 EDU Factors'!$A$12:$A$36, '1.2 EDU Factors'!$E$12:$E$36)</f>
        <v>1</v>
      </c>
      <c r="I116" s="291">
        <f t="shared" si="27"/>
        <v>275.07</v>
      </c>
      <c r="K116" s="293" t="str">
        <f>LOOKUP(B116,'1.2 EDU Factors'!$A$12:$A$36, '1.2 EDU Factors'!$G$12:$G$36)</f>
        <v>Dwelling Unit</v>
      </c>
      <c r="L116" s="290">
        <f>LOOKUP(B116,'1.2 EDU Factors'!$A$12:$A$36, '1.2 EDU Factors'!$H$12:$H$36)</f>
        <v>5.05</v>
      </c>
      <c r="M116" s="291">
        <f t="shared" si="28"/>
        <v>1389.1034999999999</v>
      </c>
      <c r="N116" s="290">
        <f>LOOKUP(B116,'1.2 EDU Factors'!$A$12:$A$36, '1.2 EDU Factors'!$J$12:$J$36)</f>
        <v>1</v>
      </c>
      <c r="O116" s="291">
        <f t="shared" si="29"/>
        <v>1389.1034999999999</v>
      </c>
      <c r="Q116" s="293" t="str">
        <f>LOOKUP(B116,'1.2 EDU Factors'!$A$12:$A$36, '1.2 EDU Factors'!$C$12:$C$36)</f>
        <v>Acre</v>
      </c>
      <c r="R116" s="345">
        <f>LOOKUP(B116,'1.2 EDU Factors'!$A$12:$A$36, '1.2 EDU Factors'!$D$12:$D$36)</f>
        <v>808</v>
      </c>
      <c r="S116" s="291">
        <f t="shared" si="30"/>
        <v>222256.56</v>
      </c>
    </row>
    <row r="117" spans="1:19" x14ac:dyDescent="0.2">
      <c r="A117" s="276"/>
      <c r="B117" s="272"/>
      <c r="C117" s="306"/>
      <c r="D117" s="272"/>
      <c r="E117" s="306"/>
      <c r="F117" s="273"/>
      <c r="G117" s="293"/>
      <c r="H117" s="290"/>
      <c r="I117" s="307"/>
      <c r="K117" s="293"/>
      <c r="L117" s="290"/>
      <c r="M117" s="291"/>
      <c r="N117" s="290"/>
      <c r="O117" s="307"/>
      <c r="Q117" s="293"/>
      <c r="R117" s="290"/>
      <c r="S117" s="307"/>
    </row>
    <row r="118" spans="1:19" x14ac:dyDescent="0.2">
      <c r="A118" s="276"/>
      <c r="B118" s="272"/>
      <c r="C118" s="273"/>
      <c r="D118" s="272"/>
      <c r="E118" s="273"/>
      <c r="F118" s="273"/>
      <c r="G118" s="293"/>
      <c r="H118" s="290"/>
      <c r="I118" s="291"/>
      <c r="K118" s="293"/>
      <c r="L118" s="290"/>
      <c r="M118" s="292"/>
      <c r="N118" s="290"/>
      <c r="O118" s="291"/>
      <c r="Q118" s="293"/>
      <c r="R118" s="290"/>
      <c r="S118" s="291"/>
    </row>
    <row r="119" spans="1:19" x14ac:dyDescent="0.2">
      <c r="A119" s="276" t="s">
        <v>438</v>
      </c>
      <c r="B119" s="272"/>
      <c r="C119" s="273">
        <f>SUM(C115:C117)</f>
        <v>332.95</v>
      </c>
      <c r="D119" s="272"/>
      <c r="E119" s="273">
        <f>SUM(E115:E117)</f>
        <v>332.95</v>
      </c>
      <c r="F119" s="273"/>
      <c r="G119" s="293"/>
      <c r="H119" s="290"/>
      <c r="I119" s="273">
        <f>SUM(I115:I117)</f>
        <v>328.79524752475248</v>
      </c>
      <c r="K119" s="293"/>
      <c r="L119" s="290"/>
      <c r="M119" s="292"/>
      <c r="N119" s="290"/>
      <c r="O119" s="273">
        <f>SUM(O115:O117)</f>
        <v>1660.4159999999999</v>
      </c>
      <c r="Q119" s="293"/>
      <c r="R119" s="290"/>
      <c r="S119" s="273">
        <f>SUM(S115:S117)</f>
        <v>265666.56</v>
      </c>
    </row>
    <row r="120" spans="1:19" x14ac:dyDescent="0.2">
      <c r="A120" s="279" t="s">
        <v>433</v>
      </c>
      <c r="I120" s="291">
        <f>$I$127</f>
        <v>808</v>
      </c>
      <c r="J120" s="286"/>
      <c r="K120" s="293"/>
      <c r="L120" s="290"/>
      <c r="M120" s="292"/>
      <c r="N120" s="290"/>
      <c r="O120" s="291">
        <f>$O$127</f>
        <v>160</v>
      </c>
      <c r="Q120" s="274"/>
      <c r="S120" s="291"/>
    </row>
    <row r="121" spans="1:19" x14ac:dyDescent="0.2">
      <c r="A121" s="279" t="s">
        <v>434</v>
      </c>
      <c r="I121" s="291">
        <f>I119*I120</f>
        <v>265666.56</v>
      </c>
      <c r="J121" s="286"/>
      <c r="K121" s="286"/>
      <c r="L121" s="286"/>
      <c r="M121" s="286"/>
      <c r="N121" s="286"/>
      <c r="O121" s="291">
        <f>O119*O120</f>
        <v>265666.56</v>
      </c>
      <c r="Q121" s="274"/>
      <c r="S121" s="291"/>
    </row>
    <row r="122" spans="1:19" x14ac:dyDescent="0.2">
      <c r="I122" s="291"/>
      <c r="J122" s="286"/>
      <c r="K122" s="286"/>
      <c r="L122" s="286"/>
      <c r="M122" s="286"/>
      <c r="N122" s="286"/>
      <c r="O122" s="291"/>
      <c r="Q122" s="274"/>
      <c r="S122" s="291"/>
    </row>
    <row r="123" spans="1:19" x14ac:dyDescent="0.2">
      <c r="A123" s="276"/>
      <c r="B123" s="272"/>
      <c r="C123" s="273"/>
      <c r="D123" s="272"/>
      <c r="E123" s="273"/>
      <c r="F123" s="273"/>
      <c r="G123" s="293"/>
      <c r="H123" s="290"/>
      <c r="I123" s="291"/>
      <c r="K123" s="293"/>
      <c r="L123" s="290"/>
      <c r="M123" s="292"/>
      <c r="N123" s="290"/>
      <c r="O123" s="291"/>
      <c r="Q123" s="293"/>
      <c r="R123" s="290"/>
      <c r="S123" s="291"/>
    </row>
    <row r="124" spans="1:19" ht="13.5" thickBot="1" x14ac:dyDescent="0.25">
      <c r="B124" s="304"/>
      <c r="C124" s="305"/>
      <c r="D124" s="304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Q124" s="305"/>
      <c r="R124" s="305"/>
      <c r="S124" s="305"/>
    </row>
    <row r="125" spans="1:19" ht="13.5" thickTop="1" x14ac:dyDescent="0.2">
      <c r="A125" s="277" t="s">
        <v>255</v>
      </c>
      <c r="B125" s="277" t="s">
        <v>255</v>
      </c>
      <c r="C125" s="308">
        <f>C110+C92+C65+C22+C119</f>
        <v>18524.520960000002</v>
      </c>
      <c r="D125" s="277"/>
      <c r="E125" s="308">
        <f>E110+E92+E65+E22+E119</f>
        <v>13382.345063199999</v>
      </c>
      <c r="F125" s="280"/>
      <c r="G125" s="293"/>
      <c r="H125" s="290"/>
      <c r="I125" s="308">
        <f>I110+I92+I65+I22+I119</f>
        <v>9777.604916512375</v>
      </c>
      <c r="K125" s="293"/>
      <c r="L125" s="290"/>
      <c r="M125" s="292"/>
      <c r="N125" s="290"/>
      <c r="O125" s="308">
        <f>O110+O92+O65+O22+O119</f>
        <v>49376.904828387494</v>
      </c>
      <c r="Q125" s="293"/>
      <c r="R125" s="290"/>
      <c r="S125" s="308">
        <f>S110+S92+S65+S22+S119</f>
        <v>7900304.7725419989</v>
      </c>
    </row>
    <row r="126" spans="1:19" x14ac:dyDescent="0.2">
      <c r="G126" s="293"/>
      <c r="K126" s="293"/>
      <c r="L126" s="290"/>
      <c r="M126" s="292"/>
      <c r="N126" s="290"/>
      <c r="Q126" s="293"/>
    </row>
    <row r="127" spans="1:19" x14ac:dyDescent="0.2">
      <c r="A127" s="279" t="s">
        <v>433</v>
      </c>
      <c r="I127" s="291">
        <f>'1.2 EDU Factors'!D18</f>
        <v>808</v>
      </c>
      <c r="J127" s="286"/>
      <c r="K127" s="293"/>
      <c r="L127" s="290"/>
      <c r="M127" s="292"/>
      <c r="N127" s="290"/>
      <c r="O127" s="291">
        <f>'1.2 EDU Factors'!I18</f>
        <v>160</v>
      </c>
      <c r="Q127" s="274"/>
      <c r="S127" s="291"/>
    </row>
    <row r="128" spans="1:19" x14ac:dyDescent="0.2">
      <c r="A128" s="279" t="s">
        <v>434</v>
      </c>
      <c r="I128" s="291">
        <f>I127*I125</f>
        <v>7900304.7725419989</v>
      </c>
      <c r="J128" s="286"/>
      <c r="K128" s="286"/>
      <c r="L128" s="286"/>
      <c r="M128" s="286"/>
      <c r="N128" s="286"/>
      <c r="O128" s="291">
        <f>O127*O125</f>
        <v>7900304.7725419989</v>
      </c>
      <c r="Q128" s="274"/>
      <c r="S128" s="291"/>
    </row>
    <row r="129" spans="1:33" x14ac:dyDescent="0.2">
      <c r="I129" s="286"/>
      <c r="J129" s="286"/>
      <c r="K129" s="286"/>
      <c r="L129" s="286"/>
      <c r="M129" s="286"/>
      <c r="N129" s="286"/>
      <c r="O129" s="286"/>
    </row>
    <row r="132" spans="1:33" x14ac:dyDescent="0.2">
      <c r="A132" s="303" t="s">
        <v>11</v>
      </c>
    </row>
    <row r="133" spans="1:33" s="274" customFormat="1" x14ac:dyDescent="0.2">
      <c r="A133" s="281"/>
      <c r="C133" s="282"/>
      <c r="E133" s="282"/>
      <c r="F133" s="282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">
      <c r="A134" s="281" t="s">
        <v>473</v>
      </c>
    </row>
    <row r="135" spans="1:33" x14ac:dyDescent="0.2">
      <c r="A135" s="281"/>
    </row>
  </sheetData>
  <pageMargins left="0.75" right="0.75" top="0.5" bottom="0.5" header="0.5" footer="0.5"/>
  <pageSetup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9" activePane="bottomLeft" state="frozen"/>
      <selection pane="bottomLeft" activeCell="C13" sqref="C13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4.140625" style="282" customWidth="1"/>
    <col min="5" max="5" width="11.28515625" style="274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 x14ac:dyDescent="0.2">
      <c r="A1" s="171" t="s">
        <v>454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v9</v>
      </c>
    </row>
    <row r="3" spans="1:30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41291</v>
      </c>
    </row>
    <row r="4" spans="1:30" x14ac:dyDescent="0.2">
      <c r="A4" s="171" t="s">
        <v>444</v>
      </c>
      <c r="B4"/>
      <c r="C4"/>
      <c r="D4"/>
      <c r="E4"/>
    </row>
    <row r="8" spans="1:30" ht="34.15" customHeight="1" x14ac:dyDescent="0.2">
      <c r="A8" s="302" t="s">
        <v>448</v>
      </c>
      <c r="B8" s="302" t="s">
        <v>422</v>
      </c>
      <c r="C8" s="319" t="s">
        <v>437</v>
      </c>
      <c r="D8" s="273"/>
      <c r="E8" s="302" t="s">
        <v>428</v>
      </c>
      <c r="F8" s="302" t="s">
        <v>426</v>
      </c>
      <c r="G8" s="302" t="s">
        <v>431</v>
      </c>
      <c r="H8" s="300"/>
      <c r="I8" s="302" t="s">
        <v>428</v>
      </c>
      <c r="J8" s="302" t="s">
        <v>429</v>
      </c>
      <c r="K8" s="302" t="s">
        <v>432</v>
      </c>
      <c r="L8" s="302" t="s">
        <v>430</v>
      </c>
      <c r="M8" s="302" t="s">
        <v>431</v>
      </c>
      <c r="P8" s="270"/>
    </row>
    <row r="9" spans="1:30" s="199" customFormat="1" x14ac:dyDescent="0.2">
      <c r="A9" s="294"/>
      <c r="B9" s="295"/>
      <c r="C9" s="296"/>
      <c r="D9" s="297"/>
      <c r="E9" s="295"/>
      <c r="F9" s="295"/>
      <c r="G9" s="295"/>
      <c r="I9" s="295"/>
      <c r="J9" s="295"/>
      <c r="K9" s="295"/>
      <c r="L9" s="295"/>
      <c r="M9" s="295"/>
      <c r="P9" s="298"/>
    </row>
    <row r="10" spans="1:30" x14ac:dyDescent="0.2">
      <c r="A10" s="271" t="s">
        <v>224</v>
      </c>
      <c r="B10" s="272"/>
      <c r="C10" s="273"/>
      <c r="D10" s="273"/>
      <c r="E10" s="272"/>
      <c r="AC10" s="274"/>
      <c r="AD10" s="275"/>
    </row>
    <row r="11" spans="1:30" x14ac:dyDescent="0.2">
      <c r="A11" s="276"/>
      <c r="B11" s="272" t="s">
        <v>226</v>
      </c>
      <c r="C11" s="273">
        <v>76.184443999999999</v>
      </c>
      <c r="D11" s="273"/>
      <c r="E11" s="293" t="str">
        <f>LOOKUP(B11,'1.2 EDU Factors'!$A$12:$A$36, '1.2 EDU Factors'!$C$12:$C$36)</f>
        <v>Acre</v>
      </c>
      <c r="F11" s="290">
        <f>LOOKUP(B11,'1.2 EDU Factors'!$A$12:$A$36, '1.2 EDU Factors'!$E$12:$E$36)</f>
        <v>3.0606435643564356</v>
      </c>
      <c r="G11" s="291">
        <f t="shared" ref="G11:G19" si="0">F11*C11</f>
        <v>233.17342823267327</v>
      </c>
      <c r="I11" s="293" t="str">
        <f>LOOKUP(B11,'1.2 EDU Factors'!$A$12:$A$36, '1.2 EDU Factors'!$G$12:$G$36)</f>
        <v>Acre</v>
      </c>
      <c r="J11" s="290">
        <f>LOOKUP(B11,'1.2 EDU Factors'!$A$12:$A$36, '1.2 EDU Factors'!$H$12:$H$36)</f>
        <v>1</v>
      </c>
      <c r="K11" s="292">
        <f t="shared" ref="K11:K19" si="1">J11*C11</f>
        <v>76.184443999999999</v>
      </c>
      <c r="L11" s="290">
        <f>LOOKUP(B11,'1.2 EDU Factors'!$A$12:$A$36, '1.2 EDU Factors'!$J$12:$J$36)</f>
        <v>15.456250000000001</v>
      </c>
      <c r="M11" s="291">
        <f t="shared" ref="M11:M19" si="2">L11*K11</f>
        <v>1177.5258125750001</v>
      </c>
      <c r="AC11" s="274"/>
      <c r="AD11" s="275"/>
    </row>
    <row r="12" spans="1:30" x14ac:dyDescent="0.2">
      <c r="A12" s="276"/>
      <c r="B12" s="272" t="s">
        <v>227</v>
      </c>
      <c r="C12" s="273">
        <v>36.631224000000003</v>
      </c>
      <c r="D12" s="273"/>
      <c r="E12" s="293" t="str">
        <f>LOOKUP(B12,'1.2 EDU Factors'!$A$12:$A$36, '1.2 EDU Factors'!$C$12:$C$36)</f>
        <v>Acre</v>
      </c>
      <c r="F12" s="290">
        <f>LOOKUP(B12,'1.2 EDU Factors'!$A$12:$A$36, '1.2 EDU Factors'!$E$12:$E$36)</f>
        <v>0.92821782178217827</v>
      </c>
      <c r="G12" s="291">
        <f t="shared" si="0"/>
        <v>34.001754950495055</v>
      </c>
      <c r="I12" s="293" t="str">
        <f>LOOKUP(B12,'1.2 EDU Factors'!$A$12:$A$36, '1.2 EDU Factors'!$G$12:$G$36)</f>
        <v>Acre</v>
      </c>
      <c r="J12" s="290">
        <f>LOOKUP(B12,'1.2 EDU Factors'!$A$12:$A$36, '1.2 EDU Factors'!$H$12:$H$36)</f>
        <v>1</v>
      </c>
      <c r="K12" s="291">
        <f t="shared" si="1"/>
        <v>36.631224000000003</v>
      </c>
      <c r="L12" s="290">
        <f>LOOKUP(B12,'1.2 EDU Factors'!$A$12:$A$36, '1.2 EDU Factors'!$J$12:$J$36)</f>
        <v>4.6875</v>
      </c>
      <c r="M12" s="291">
        <f t="shared" si="2"/>
        <v>171.70886250000001</v>
      </c>
      <c r="AC12" s="274"/>
      <c r="AD12" s="275"/>
    </row>
    <row r="13" spans="1:30" x14ac:dyDescent="0.2">
      <c r="A13" s="276"/>
      <c r="B13" s="272" t="s">
        <v>228</v>
      </c>
      <c r="C13" s="273">
        <v>34.912390000000002</v>
      </c>
      <c r="D13" s="273"/>
      <c r="E13" s="293" t="str">
        <f>LOOKUP(B13,'1.2 EDU Factors'!$A$12:$A$36, '1.2 EDU Factors'!$C$12:$C$36)</f>
        <v>Acre</v>
      </c>
      <c r="F13" s="290">
        <f>LOOKUP(B13,'1.2 EDU Factors'!$A$12:$A$36, '1.2 EDU Factors'!$E$12:$E$36)</f>
        <v>2.8923267326732671</v>
      </c>
      <c r="G13" s="291">
        <f t="shared" si="0"/>
        <v>100.97803889851485</v>
      </c>
      <c r="I13" s="293" t="str">
        <f>LOOKUP(B13,'1.2 EDU Factors'!$A$12:$A$36, '1.2 EDU Factors'!$G$12:$G$36)</f>
        <v>Dwelling Unit</v>
      </c>
      <c r="J13" s="290">
        <f>LOOKUP(B13,'1.2 EDU Factors'!$A$12:$A$36, '1.2 EDU Factors'!$H$12:$H$36)</f>
        <v>19.974358974358974</v>
      </c>
      <c r="K13" s="291">
        <f t="shared" si="1"/>
        <v>697.35261051282055</v>
      </c>
      <c r="L13" s="290">
        <f>LOOKUP(B13,'1.2 EDU Factors'!$A$12:$A$36, '1.2 EDU Factors'!$J$12:$J$36)</f>
        <v>0.73124999999999996</v>
      </c>
      <c r="M13" s="291">
        <f t="shared" si="2"/>
        <v>509.93909643749998</v>
      </c>
      <c r="AC13" s="274"/>
      <c r="AD13" s="275"/>
    </row>
    <row r="14" spans="1:30" x14ac:dyDescent="0.2">
      <c r="A14" s="276"/>
      <c r="B14" s="272" t="s">
        <v>229</v>
      </c>
      <c r="C14" s="273">
        <v>155.287542</v>
      </c>
      <c r="D14" s="273"/>
      <c r="E14" s="293" t="str">
        <f>LOOKUP(B14,'1.2 EDU Factors'!$A$12:$A$36, '1.2 EDU Factors'!$C$12:$C$36)</f>
        <v>Acre</v>
      </c>
      <c r="F14" s="290">
        <f>LOOKUP(B14,'1.2 EDU Factors'!$A$12:$A$36, '1.2 EDU Factors'!$E$12:$E$36)</f>
        <v>1</v>
      </c>
      <c r="G14" s="291">
        <f t="shared" si="0"/>
        <v>155.287542</v>
      </c>
      <c r="I14" s="293" t="str">
        <f>LOOKUP(B14,'1.2 EDU Factors'!$A$12:$A$36, '1.2 EDU Factors'!$G$12:$G$36)</f>
        <v>Dwelling Unit</v>
      </c>
      <c r="J14" s="290">
        <f>LOOKUP(B14,'1.2 EDU Factors'!$A$12:$A$36, '1.2 EDU Factors'!$H$12:$H$36)</f>
        <v>5.05</v>
      </c>
      <c r="K14" s="291">
        <f t="shared" si="1"/>
        <v>784.20208709999997</v>
      </c>
      <c r="L14" s="290">
        <f>LOOKUP(B14,'1.2 EDU Factors'!$A$12:$A$36, '1.2 EDU Factors'!$J$12:$J$36)</f>
        <v>1</v>
      </c>
      <c r="M14" s="291">
        <f t="shared" si="2"/>
        <v>784.20208709999997</v>
      </c>
      <c r="AC14" s="274"/>
      <c r="AD14" s="275"/>
    </row>
    <row r="15" spans="1:30" x14ac:dyDescent="0.2">
      <c r="A15" s="276"/>
      <c r="B15" s="272" t="s">
        <v>230</v>
      </c>
      <c r="C15" s="273">
        <v>7.910844</v>
      </c>
      <c r="D15" s="273"/>
      <c r="E15" s="293" t="str">
        <f>LOOKUP(B15,'1.2 EDU Factors'!$A$12:$A$36, '1.2 EDU Factors'!$C$12:$C$36)</f>
        <v>Acre</v>
      </c>
      <c r="F15" s="290">
        <f>LOOKUP(B15,'1.2 EDU Factors'!$A$12:$A$36, '1.2 EDU Factors'!$E$12:$E$36)</f>
        <v>1.2376237623762376</v>
      </c>
      <c r="G15" s="291">
        <f t="shared" si="0"/>
        <v>9.790648514851485</v>
      </c>
      <c r="I15" s="293" t="str">
        <f>LOOKUP(B15,'1.2 EDU Factors'!$A$12:$A$36, '1.2 EDU Factors'!$G$12:$G$36)</f>
        <v>Acre</v>
      </c>
      <c r="J15" s="290">
        <f>LOOKUP(B15,'1.2 EDU Factors'!$A$12:$A$36, '1.2 EDU Factors'!$H$12:$H$36)</f>
        <v>1</v>
      </c>
      <c r="K15" s="291">
        <f t="shared" si="1"/>
        <v>7.910844</v>
      </c>
      <c r="L15" s="290">
        <f>LOOKUP(B15,'1.2 EDU Factors'!$A$12:$A$36, '1.2 EDU Factors'!$J$12:$J$36)</f>
        <v>6.25</v>
      </c>
      <c r="M15" s="291">
        <f t="shared" si="2"/>
        <v>49.442774999999997</v>
      </c>
      <c r="AC15" s="274"/>
      <c r="AD15" s="275"/>
    </row>
    <row r="16" spans="1:30" x14ac:dyDescent="0.2">
      <c r="A16" s="276"/>
      <c r="B16" s="272" t="s">
        <v>231</v>
      </c>
      <c r="C16" s="273">
        <v>55.914966</v>
      </c>
      <c r="D16" s="273"/>
      <c r="E16" s="293" t="str">
        <f>LOOKUP(B16,'1.2 EDU Factors'!$A$12:$A$36, '1.2 EDU Factors'!$C$12:$C$36)</f>
        <v>Acre</v>
      </c>
      <c r="F16" s="290">
        <f>LOOKUP(B16,'1.2 EDU Factors'!$A$12:$A$36, '1.2 EDU Factors'!$E$12:$E$36)</f>
        <v>1.6658415841584158</v>
      </c>
      <c r="G16" s="291">
        <f t="shared" si="0"/>
        <v>93.14547553960395</v>
      </c>
      <c r="I16" s="293" t="str">
        <f>LOOKUP(B16,'1.2 EDU Factors'!$A$12:$A$36, '1.2 EDU Factors'!$G$12:$G$36)</f>
        <v>Dwelling Unit</v>
      </c>
      <c r="J16" s="290">
        <f>LOOKUP(B16,'1.2 EDU Factors'!$A$12:$A$36, '1.2 EDU Factors'!$H$12:$H$36)</f>
        <v>11.504273504273504</v>
      </c>
      <c r="K16" s="291">
        <f t="shared" si="1"/>
        <v>643.26106184615389</v>
      </c>
      <c r="L16" s="290">
        <f>LOOKUP(B16,'1.2 EDU Factors'!$A$12:$A$36, '1.2 EDU Factors'!$J$12:$J$36)</f>
        <v>0.73124999999999996</v>
      </c>
      <c r="M16" s="291">
        <f t="shared" si="2"/>
        <v>470.384651475</v>
      </c>
      <c r="AC16" s="274"/>
      <c r="AD16" s="275"/>
    </row>
    <row r="17" spans="1:30" x14ac:dyDescent="0.2">
      <c r="A17" s="276"/>
      <c r="B17" s="272" t="s">
        <v>232</v>
      </c>
      <c r="C17" s="273">
        <v>13.091668</v>
      </c>
      <c r="D17" s="273"/>
      <c r="E17" s="293" t="str">
        <f>LOOKUP(B17,'1.2 EDU Factors'!$A$12:$A$36, '1.2 EDU Factors'!$C$12:$C$36)</f>
        <v>Acre</v>
      </c>
      <c r="F17" s="290">
        <f>LOOKUP(B17,'1.2 EDU Factors'!$A$12:$A$36, '1.2 EDU Factors'!$E$12:$E$36)</f>
        <v>1.386138613861386</v>
      </c>
      <c r="G17" s="291">
        <f t="shared" si="0"/>
        <v>18.146866534653466</v>
      </c>
      <c r="I17" s="293" t="str">
        <f>LOOKUP(B17,'1.2 EDU Factors'!$A$12:$A$36, '1.2 EDU Factors'!$G$12:$G$36)</f>
        <v>Acre</v>
      </c>
      <c r="J17" s="290">
        <f>LOOKUP(B17,'1.2 EDU Factors'!$A$12:$A$36, '1.2 EDU Factors'!$H$12:$H$36)</f>
        <v>1</v>
      </c>
      <c r="K17" s="291">
        <f t="shared" si="1"/>
        <v>13.091668</v>
      </c>
      <c r="L17" s="290">
        <f>LOOKUP(B17,'1.2 EDU Factors'!$A$12:$A$36, '1.2 EDU Factors'!$J$12:$J$36)</f>
        <v>7</v>
      </c>
      <c r="M17" s="291">
        <f t="shared" si="2"/>
        <v>91.641676000000004</v>
      </c>
      <c r="AC17" s="274"/>
      <c r="AD17" s="275"/>
    </row>
    <row r="18" spans="1:30" x14ac:dyDescent="0.2">
      <c r="A18" s="276"/>
      <c r="B18" s="272" t="s">
        <v>233</v>
      </c>
      <c r="C18" s="273">
        <v>8.6079319999999999</v>
      </c>
      <c r="D18" s="273"/>
      <c r="E18" s="293" t="str">
        <f>LOOKUP(B18,'1.2 EDU Factors'!$A$12:$A$36, '1.2 EDU Factors'!$C$12:$C$36)</f>
        <v>Acre</v>
      </c>
      <c r="F18" s="290">
        <f>LOOKUP(B18,'1.2 EDU Factors'!$A$12:$A$36, '1.2 EDU Factors'!$E$12:$E$36)</f>
        <v>0.49504950495049505</v>
      </c>
      <c r="G18" s="291">
        <f t="shared" si="0"/>
        <v>4.2613524752475245</v>
      </c>
      <c r="I18" s="293" t="str">
        <f>LOOKUP(B18,'1.2 EDU Factors'!$A$12:$A$36, '1.2 EDU Factors'!$G$12:$G$36)</f>
        <v>Acre</v>
      </c>
      <c r="J18" s="290">
        <f>LOOKUP(B18,'1.2 EDU Factors'!$A$12:$A$36, '1.2 EDU Factors'!$H$12:$H$36)</f>
        <v>1</v>
      </c>
      <c r="K18" s="291">
        <f t="shared" si="1"/>
        <v>8.6079319999999999</v>
      </c>
      <c r="L18" s="290">
        <f>LOOKUP(B18,'1.2 EDU Factors'!$A$12:$A$36, '1.2 EDU Factors'!$J$12:$J$36)</f>
        <v>2.5</v>
      </c>
      <c r="M18" s="291">
        <f t="shared" si="2"/>
        <v>21.519829999999999</v>
      </c>
      <c r="AC18" s="274"/>
      <c r="AD18" s="275"/>
    </row>
    <row r="19" spans="1:30" x14ac:dyDescent="0.2">
      <c r="A19" s="276"/>
      <c r="B19" s="272" t="s">
        <v>234</v>
      </c>
      <c r="C19" s="273">
        <v>6.7649600000000003</v>
      </c>
      <c r="D19" s="273"/>
      <c r="E19" s="293" t="str">
        <f>LOOKUP(B19,'1.2 EDU Factors'!$A$12:$A$36, '1.2 EDU Factors'!$C$12:$C$36)</f>
        <v>Acre</v>
      </c>
      <c r="F19" s="290">
        <f>LOOKUP(B19,'1.2 EDU Factors'!$A$12:$A$36, '1.2 EDU Factors'!$E$12:$E$36)</f>
        <v>0.39603960396039606</v>
      </c>
      <c r="G19" s="291">
        <f t="shared" si="0"/>
        <v>2.6791920792079211</v>
      </c>
      <c r="I19" s="293" t="str">
        <f>LOOKUP(B19,'1.2 EDU Factors'!$A$12:$A$36, '1.2 EDU Factors'!$G$12:$G$36)</f>
        <v>Dwelling Unit</v>
      </c>
      <c r="J19" s="290">
        <f>LOOKUP(B19,'1.2 EDU Factors'!$A$12:$A$36, '1.2 EDU Factors'!$H$12:$H$36)</f>
        <v>2</v>
      </c>
      <c r="K19" s="291">
        <f t="shared" si="1"/>
        <v>13.529920000000001</v>
      </c>
      <c r="L19" s="290">
        <f>LOOKUP(B19,'1.2 EDU Factors'!$A$12:$A$36, '1.2 EDU Factors'!$J$12:$J$36)</f>
        <v>1</v>
      </c>
      <c r="M19" s="291">
        <f t="shared" si="2"/>
        <v>13.529920000000001</v>
      </c>
      <c r="AC19" s="274"/>
      <c r="AD19" s="275"/>
    </row>
    <row r="20" spans="1:30" x14ac:dyDescent="0.2">
      <c r="A20" s="276"/>
      <c r="B20" s="272"/>
      <c r="C20" s="306"/>
      <c r="D20" s="273"/>
      <c r="E20" s="293"/>
      <c r="F20" s="290"/>
      <c r="G20" s="307"/>
      <c r="I20" s="293"/>
      <c r="J20" s="290"/>
      <c r="K20" s="291"/>
      <c r="L20" s="290"/>
      <c r="M20" s="307"/>
      <c r="AC20" s="274"/>
      <c r="AD20" s="275"/>
    </row>
    <row r="21" spans="1:30" x14ac:dyDescent="0.2">
      <c r="A21" s="276"/>
      <c r="B21" s="272"/>
      <c r="C21" s="273"/>
      <c r="D21" s="273"/>
      <c r="E21" s="293"/>
      <c r="F21" s="290"/>
      <c r="G21" s="291"/>
      <c r="I21" s="293"/>
      <c r="J21" s="290"/>
      <c r="K21" s="291"/>
      <c r="L21" s="290"/>
      <c r="M21" s="291"/>
      <c r="AC21" s="274"/>
      <c r="AD21" s="275"/>
    </row>
    <row r="22" spans="1:30" x14ac:dyDescent="0.2">
      <c r="A22" s="276" t="s">
        <v>439</v>
      </c>
      <c r="B22" s="272"/>
      <c r="C22" s="273">
        <f>SUM(C10:C20)</f>
        <v>395.30597</v>
      </c>
      <c r="D22" s="273"/>
      <c r="E22" s="293"/>
      <c r="F22" s="290"/>
      <c r="G22" s="273">
        <f>SUM(G10:G20)</f>
        <v>651.46429922524749</v>
      </c>
      <c r="I22" s="293"/>
      <c r="J22" s="290"/>
      <c r="K22" s="291"/>
      <c r="L22" s="290"/>
      <c r="M22" s="273">
        <f>SUM(M10:M20)</f>
        <v>3289.8947110875006</v>
      </c>
      <c r="AC22" s="274"/>
      <c r="AD22" s="275"/>
    </row>
    <row r="23" spans="1:30" x14ac:dyDescent="0.2">
      <c r="A23" s="279" t="s">
        <v>433</v>
      </c>
      <c r="G23" s="291">
        <f>$G$125</f>
        <v>808</v>
      </c>
      <c r="H23" s="286"/>
      <c r="I23" s="293"/>
      <c r="J23" s="290"/>
      <c r="K23" s="291"/>
      <c r="L23" s="290"/>
      <c r="M23" s="291">
        <f>$M$125</f>
        <v>160</v>
      </c>
    </row>
    <row r="24" spans="1:30" x14ac:dyDescent="0.2">
      <c r="A24" s="279" t="s">
        <v>434</v>
      </c>
      <c r="G24" s="291">
        <f>G22*G23</f>
        <v>526383.15377400001</v>
      </c>
      <c r="H24" s="286"/>
      <c r="I24" s="286"/>
      <c r="J24" s="286"/>
      <c r="K24" s="291"/>
      <c r="L24" s="286"/>
      <c r="M24" s="291">
        <f>M22*M23</f>
        <v>526383.15377400012</v>
      </c>
    </row>
    <row r="25" spans="1:30" x14ac:dyDescent="0.2">
      <c r="A25" s="276"/>
      <c r="B25" s="272"/>
      <c r="C25" s="273"/>
      <c r="D25" s="273"/>
      <c r="E25" s="293"/>
      <c r="F25" s="290"/>
      <c r="G25" s="291"/>
      <c r="I25" s="293"/>
      <c r="J25" s="290"/>
      <c r="K25" s="291"/>
      <c r="L25" s="290"/>
      <c r="M25" s="291"/>
      <c r="AC25" s="274"/>
      <c r="AD25" s="275"/>
    </row>
    <row r="26" spans="1:30" x14ac:dyDescent="0.2">
      <c r="A26" s="276"/>
      <c r="B26" s="272"/>
      <c r="C26" s="273"/>
      <c r="D26" s="273"/>
      <c r="E26" s="273"/>
      <c r="G26" s="291"/>
      <c r="K26" s="97"/>
      <c r="L26" s="290"/>
      <c r="M26" s="291"/>
      <c r="AC26" s="274"/>
      <c r="AD26" s="275"/>
    </row>
    <row r="27" spans="1:30" x14ac:dyDescent="0.2">
      <c r="A27" s="271" t="s">
        <v>235</v>
      </c>
      <c r="B27" s="272" t="s">
        <v>236</v>
      </c>
      <c r="C27" s="273">
        <v>3385.3006839999998</v>
      </c>
      <c r="D27" s="273"/>
      <c r="E27" s="293" t="str">
        <f>LOOKUP(B27,'1.2 EDU Factors'!$A$12:$A$36, '1.2 EDU Factors'!$C$12:$C$36)</f>
        <v>Acre</v>
      </c>
      <c r="F27" s="290">
        <f>LOOKUP(B27,'1.2 EDU Factors'!$A$12:$A$36, '1.2 EDU Factors'!$E$12:$E$36)</f>
        <v>0</v>
      </c>
      <c r="G27" s="291">
        <f t="shared" ref="G27:G49" si="3">F27*C27</f>
        <v>0</v>
      </c>
      <c r="I27" s="293" t="str">
        <f>LOOKUP(B27,'1.2 EDU Factors'!$A$12:$A$36, '1.2 EDU Factors'!$G$12:$G$36)</f>
        <v>Acre</v>
      </c>
      <c r="J27" s="290">
        <f>LOOKUP(B27,'1.2 EDU Factors'!$A$12:$A$36, '1.2 EDU Factors'!$H$12:$H$36)</f>
        <v>0</v>
      </c>
      <c r="K27" s="291">
        <f t="shared" ref="K27:K49" si="4">J27*C27</f>
        <v>0</v>
      </c>
      <c r="L27" s="290">
        <f>LOOKUP(B27,'1.2 EDU Factors'!$A$12:$A$36, '1.2 EDU Factors'!$J$12:$J$36)</f>
        <v>0</v>
      </c>
      <c r="M27" s="291">
        <f t="shared" ref="M27:M49" si="5">L27*K27</f>
        <v>0</v>
      </c>
      <c r="AC27" s="274"/>
      <c r="AD27" s="275"/>
    </row>
    <row r="28" spans="1:30" x14ac:dyDescent="0.2">
      <c r="A28" s="276"/>
      <c r="B28" s="272" t="s">
        <v>226</v>
      </c>
      <c r="C28" s="273">
        <v>29.292310000000001</v>
      </c>
      <c r="D28" s="273"/>
      <c r="E28" s="293" t="str">
        <f>LOOKUP(B28,'1.2 EDU Factors'!$A$12:$A$36, '1.2 EDU Factors'!$C$12:$C$36)</f>
        <v>Acre</v>
      </c>
      <c r="F28" s="290">
        <f>LOOKUP(B28,'1.2 EDU Factors'!$A$12:$A$36, '1.2 EDU Factors'!$E$12:$E$36)</f>
        <v>3.0606435643564356</v>
      </c>
      <c r="G28" s="291">
        <f t="shared" si="3"/>
        <v>89.65332008663367</v>
      </c>
      <c r="I28" s="293" t="str">
        <f>LOOKUP(B28,'1.2 EDU Factors'!$A$12:$A$36, '1.2 EDU Factors'!$G$12:$G$36)</f>
        <v>Acre</v>
      </c>
      <c r="J28" s="290">
        <f>LOOKUP(B28,'1.2 EDU Factors'!$A$12:$A$36, '1.2 EDU Factors'!$H$12:$H$36)</f>
        <v>1</v>
      </c>
      <c r="K28" s="291">
        <f t="shared" si="4"/>
        <v>29.292310000000001</v>
      </c>
      <c r="L28" s="290">
        <f>LOOKUP(B28,'1.2 EDU Factors'!$A$12:$A$36, '1.2 EDU Factors'!$J$12:$J$36)</f>
        <v>15.456250000000001</v>
      </c>
      <c r="M28" s="291">
        <f t="shared" si="5"/>
        <v>452.74926643750001</v>
      </c>
      <c r="AC28" s="274"/>
      <c r="AD28" s="275"/>
    </row>
    <row r="29" spans="1:30" x14ac:dyDescent="0.2">
      <c r="A29" s="276"/>
      <c r="B29" s="272" t="s">
        <v>227</v>
      </c>
      <c r="C29" s="273">
        <v>18.761132</v>
      </c>
      <c r="D29" s="273"/>
      <c r="E29" s="293" t="str">
        <f>LOOKUP(B29,'1.2 EDU Factors'!$A$12:$A$36, '1.2 EDU Factors'!$C$12:$C$36)</f>
        <v>Acre</v>
      </c>
      <c r="F29" s="290">
        <f>LOOKUP(B29,'1.2 EDU Factors'!$A$12:$A$36, '1.2 EDU Factors'!$E$12:$E$36)</f>
        <v>0.92821782178217827</v>
      </c>
      <c r="G29" s="291">
        <f t="shared" si="3"/>
        <v>17.414417079207922</v>
      </c>
      <c r="I29" s="293" t="str">
        <f>LOOKUP(B29,'1.2 EDU Factors'!$A$12:$A$36, '1.2 EDU Factors'!$G$12:$G$36)</f>
        <v>Acre</v>
      </c>
      <c r="J29" s="290">
        <f>LOOKUP(B29,'1.2 EDU Factors'!$A$12:$A$36, '1.2 EDU Factors'!$H$12:$H$36)</f>
        <v>1</v>
      </c>
      <c r="K29" s="291">
        <f t="shared" si="4"/>
        <v>18.761132</v>
      </c>
      <c r="L29" s="290">
        <f>LOOKUP(B29,'1.2 EDU Factors'!$A$12:$A$36, '1.2 EDU Factors'!$J$12:$J$36)</f>
        <v>4.6875</v>
      </c>
      <c r="M29" s="291">
        <f t="shared" si="5"/>
        <v>87.942806250000004</v>
      </c>
      <c r="AC29" s="274"/>
      <c r="AD29" s="275"/>
    </row>
    <row r="30" spans="1:30" x14ac:dyDescent="0.2">
      <c r="A30" s="276"/>
      <c r="B30" s="272" t="s">
        <v>228</v>
      </c>
      <c r="C30" s="273">
        <v>25.666180000000001</v>
      </c>
      <c r="D30" s="273"/>
      <c r="E30" s="293" t="str">
        <f>LOOKUP(B30,'1.2 EDU Factors'!$A$12:$A$36, '1.2 EDU Factors'!$C$12:$C$36)</f>
        <v>Acre</v>
      </c>
      <c r="F30" s="290">
        <f>LOOKUP(B30,'1.2 EDU Factors'!$A$12:$A$36, '1.2 EDU Factors'!$E$12:$E$36)</f>
        <v>2.8923267326732671</v>
      </c>
      <c r="G30" s="291">
        <f t="shared" si="3"/>
        <v>74.234978539603958</v>
      </c>
      <c r="I30" s="293" t="str">
        <f>LOOKUP(B30,'1.2 EDU Factors'!$A$12:$A$36, '1.2 EDU Factors'!$G$12:$G$36)</f>
        <v>Dwelling Unit</v>
      </c>
      <c r="J30" s="290">
        <f>LOOKUP(B30,'1.2 EDU Factors'!$A$12:$A$36, '1.2 EDU Factors'!$H$12:$H$36)</f>
        <v>19.974358974358974</v>
      </c>
      <c r="K30" s="291">
        <f t="shared" si="4"/>
        <v>512.66549282051278</v>
      </c>
      <c r="L30" s="290">
        <f>LOOKUP(B30,'1.2 EDU Factors'!$A$12:$A$36, '1.2 EDU Factors'!$J$12:$J$36)</f>
        <v>0.73124999999999996</v>
      </c>
      <c r="M30" s="291">
        <f t="shared" si="5"/>
        <v>374.88664162499992</v>
      </c>
      <c r="AC30" s="274"/>
      <c r="AD30" s="275"/>
    </row>
    <row r="31" spans="1:30" x14ac:dyDescent="0.2">
      <c r="A31" s="276"/>
      <c r="B31" s="272" t="s">
        <v>237</v>
      </c>
      <c r="C31" s="273">
        <v>175.12787800000001</v>
      </c>
      <c r="D31" s="273"/>
      <c r="E31" s="293" t="str">
        <f>LOOKUP(B31,'1.2 EDU Factors'!$A$12:$A$36, '1.2 EDU Factors'!$C$12:$C$36)</f>
        <v>Acre</v>
      </c>
      <c r="F31" s="290">
        <f>LOOKUP(B31,'1.2 EDU Factors'!$A$12:$A$36, '1.2 EDU Factors'!$E$12:$E$36)</f>
        <v>1.2376237623762376</v>
      </c>
      <c r="G31" s="291">
        <f t="shared" si="3"/>
        <v>216.74242326732676</v>
      </c>
      <c r="I31" s="293" t="str">
        <f>LOOKUP(B31,'1.2 EDU Factors'!$A$12:$A$36, '1.2 EDU Factors'!$G$12:$G$36)</f>
        <v>Acre</v>
      </c>
      <c r="J31" s="290">
        <f>LOOKUP(B31,'1.2 EDU Factors'!$A$12:$A$36, '1.2 EDU Factors'!$H$12:$H$36)</f>
        <v>1</v>
      </c>
      <c r="K31" s="291">
        <f t="shared" si="4"/>
        <v>175.12787800000001</v>
      </c>
      <c r="L31" s="290">
        <f>LOOKUP(B31,'1.2 EDU Factors'!$A$12:$A$36, '1.2 EDU Factors'!$J$12:$J$36)</f>
        <v>6.25</v>
      </c>
      <c r="M31" s="291">
        <f t="shared" si="5"/>
        <v>1094.5492375000001</v>
      </c>
      <c r="AC31" s="274"/>
      <c r="AD31" s="275"/>
    </row>
    <row r="32" spans="1:30" x14ac:dyDescent="0.2">
      <c r="A32" s="276"/>
      <c r="B32" s="272" t="s">
        <v>229</v>
      </c>
      <c r="C32" s="273">
        <v>1033.033453</v>
      </c>
      <c r="D32" s="273"/>
      <c r="E32" s="293" t="str">
        <f>LOOKUP(B32,'1.2 EDU Factors'!$A$12:$A$36, '1.2 EDU Factors'!$C$12:$C$36)</f>
        <v>Acre</v>
      </c>
      <c r="F32" s="290">
        <f>LOOKUP(B32,'1.2 EDU Factors'!$A$12:$A$36, '1.2 EDU Factors'!$E$12:$E$36)</f>
        <v>1</v>
      </c>
      <c r="G32" s="291">
        <f t="shared" si="3"/>
        <v>1033.033453</v>
      </c>
      <c r="I32" s="293" t="str">
        <f>LOOKUP(B32,'1.2 EDU Factors'!$A$12:$A$36, '1.2 EDU Factors'!$G$12:$G$36)</f>
        <v>Dwelling Unit</v>
      </c>
      <c r="J32" s="290">
        <f>LOOKUP(B32,'1.2 EDU Factors'!$A$12:$A$36, '1.2 EDU Factors'!$H$12:$H$36)</f>
        <v>5.05</v>
      </c>
      <c r="K32" s="291">
        <f t="shared" si="4"/>
        <v>5216.8189376499995</v>
      </c>
      <c r="L32" s="290">
        <f>LOOKUP(B32,'1.2 EDU Factors'!$A$12:$A$36, '1.2 EDU Factors'!$J$12:$J$36)</f>
        <v>1</v>
      </c>
      <c r="M32" s="291">
        <f t="shared" si="5"/>
        <v>5216.8189376499995</v>
      </c>
      <c r="AC32" s="274"/>
      <c r="AD32" s="275"/>
    </row>
    <row r="33" spans="1:30" x14ac:dyDescent="0.2">
      <c r="A33" s="276"/>
      <c r="B33" s="272" t="s">
        <v>230</v>
      </c>
      <c r="C33" s="273">
        <v>527.84235899999999</v>
      </c>
      <c r="D33" s="273"/>
      <c r="E33" s="293" t="str">
        <f>LOOKUP(B33,'1.2 EDU Factors'!$A$12:$A$36, '1.2 EDU Factors'!$C$12:$C$36)</f>
        <v>Acre</v>
      </c>
      <c r="F33" s="290">
        <f>LOOKUP(B33,'1.2 EDU Factors'!$A$12:$A$36, '1.2 EDU Factors'!$E$12:$E$36)</f>
        <v>1.2376237623762376</v>
      </c>
      <c r="G33" s="291">
        <f t="shared" si="3"/>
        <v>653.27024628712866</v>
      </c>
      <c r="I33" s="293" t="str">
        <f>LOOKUP(B33,'1.2 EDU Factors'!$A$12:$A$36, '1.2 EDU Factors'!$G$12:$G$36)</f>
        <v>Acre</v>
      </c>
      <c r="J33" s="290">
        <f>LOOKUP(B33,'1.2 EDU Factors'!$A$12:$A$36, '1.2 EDU Factors'!$H$12:$H$36)</f>
        <v>1</v>
      </c>
      <c r="K33" s="291">
        <f t="shared" si="4"/>
        <v>527.84235899999999</v>
      </c>
      <c r="L33" s="290">
        <f>LOOKUP(B33,'1.2 EDU Factors'!$A$12:$A$36, '1.2 EDU Factors'!$J$12:$J$36)</f>
        <v>6.25</v>
      </c>
      <c r="M33" s="291">
        <f t="shared" si="5"/>
        <v>3299.01474375</v>
      </c>
      <c r="AC33" s="274"/>
      <c r="AD33" s="275"/>
    </row>
    <row r="34" spans="1:30" x14ac:dyDescent="0.2">
      <c r="A34" s="276"/>
      <c r="B34" s="272" t="s">
        <v>231</v>
      </c>
      <c r="C34" s="273">
        <v>19.097294000000002</v>
      </c>
      <c r="D34" s="273"/>
      <c r="E34" s="293" t="str">
        <f>LOOKUP(B34,'1.2 EDU Factors'!$A$12:$A$36, '1.2 EDU Factors'!$C$12:$C$36)</f>
        <v>Acre</v>
      </c>
      <c r="F34" s="290">
        <f>LOOKUP(B34,'1.2 EDU Factors'!$A$12:$A$36, '1.2 EDU Factors'!$E$12:$E$36)</f>
        <v>1.6658415841584158</v>
      </c>
      <c r="G34" s="291">
        <f t="shared" si="3"/>
        <v>31.813066490099011</v>
      </c>
      <c r="I34" s="293" t="str">
        <f>LOOKUP(B34,'1.2 EDU Factors'!$A$12:$A$36, '1.2 EDU Factors'!$G$12:$G$36)</f>
        <v>Dwelling Unit</v>
      </c>
      <c r="J34" s="290">
        <f>LOOKUP(B34,'1.2 EDU Factors'!$A$12:$A$36, '1.2 EDU Factors'!$H$12:$H$36)</f>
        <v>11.504273504273504</v>
      </c>
      <c r="K34" s="291">
        <f t="shared" si="4"/>
        <v>219.70049336752137</v>
      </c>
      <c r="L34" s="290">
        <f>LOOKUP(B34,'1.2 EDU Factors'!$A$12:$A$36, '1.2 EDU Factors'!$J$12:$J$36)</f>
        <v>0.73124999999999996</v>
      </c>
      <c r="M34" s="291">
        <f t="shared" si="5"/>
        <v>160.655985775</v>
      </c>
      <c r="AC34" s="274"/>
      <c r="AD34" s="275"/>
    </row>
    <row r="35" spans="1:30" x14ac:dyDescent="0.2">
      <c r="A35" s="276"/>
      <c r="B35" s="272" t="s">
        <v>232</v>
      </c>
      <c r="C35" s="273">
        <v>22.485962000000001</v>
      </c>
      <c r="D35" s="273"/>
      <c r="E35" s="293" t="str">
        <f>LOOKUP(B35,'1.2 EDU Factors'!$A$12:$A$36, '1.2 EDU Factors'!$C$12:$C$36)</f>
        <v>Acre</v>
      </c>
      <c r="F35" s="290">
        <f>LOOKUP(B35,'1.2 EDU Factors'!$A$12:$A$36, '1.2 EDU Factors'!$E$12:$E$36)</f>
        <v>1.386138613861386</v>
      </c>
      <c r="G35" s="291">
        <f t="shared" si="3"/>
        <v>31.168660198019801</v>
      </c>
      <c r="I35" s="293" t="str">
        <f>LOOKUP(B35,'1.2 EDU Factors'!$A$12:$A$36, '1.2 EDU Factors'!$G$12:$G$36)</f>
        <v>Acre</v>
      </c>
      <c r="J35" s="290">
        <f>LOOKUP(B35,'1.2 EDU Factors'!$A$12:$A$36, '1.2 EDU Factors'!$H$12:$H$36)</f>
        <v>1</v>
      </c>
      <c r="K35" s="291">
        <f t="shared" si="4"/>
        <v>22.485962000000001</v>
      </c>
      <c r="L35" s="290">
        <f>LOOKUP(B35,'1.2 EDU Factors'!$A$12:$A$36, '1.2 EDU Factors'!$J$12:$J$36)</f>
        <v>7</v>
      </c>
      <c r="M35" s="291">
        <f t="shared" si="5"/>
        <v>157.401734</v>
      </c>
      <c r="AC35" s="274"/>
      <c r="AD35" s="275"/>
    </row>
    <row r="36" spans="1:30" x14ac:dyDescent="0.2">
      <c r="A36" s="276"/>
      <c r="B36" s="272" t="s">
        <v>238</v>
      </c>
      <c r="C36" s="273">
        <v>15.368535</v>
      </c>
      <c r="D36" s="273"/>
      <c r="E36" s="293" t="str">
        <f>LOOKUP(B36,'1.2 EDU Factors'!$A$12:$A$36, '1.2 EDU Factors'!$C$12:$C$36)</f>
        <v>Acre</v>
      </c>
      <c r="F36" s="290">
        <f>LOOKUP(B36,'1.2 EDU Factors'!$A$12:$A$36, '1.2 EDU Factors'!$E$12:$E$36)</f>
        <v>0</v>
      </c>
      <c r="G36" s="291">
        <f t="shared" si="3"/>
        <v>0</v>
      </c>
      <c r="I36" s="293" t="str">
        <f>LOOKUP(B36,'1.2 EDU Factors'!$A$12:$A$36, '1.2 EDU Factors'!$G$12:$G$36)</f>
        <v>Acre</v>
      </c>
      <c r="J36" s="290">
        <f>LOOKUP(B36,'1.2 EDU Factors'!$A$12:$A$36, '1.2 EDU Factors'!$H$12:$H$36)</f>
        <v>1</v>
      </c>
      <c r="K36" s="291">
        <f t="shared" si="4"/>
        <v>15.368535</v>
      </c>
      <c r="L36" s="290">
        <f>LOOKUP(B36,'1.2 EDU Factors'!$A$12:$A$36, '1.2 EDU Factors'!$J$12:$J$36)</f>
        <v>0</v>
      </c>
      <c r="M36" s="291">
        <f t="shared" si="5"/>
        <v>0</v>
      </c>
      <c r="AC36" s="274"/>
      <c r="AD36" s="275"/>
    </row>
    <row r="37" spans="1:30" x14ac:dyDescent="0.2">
      <c r="A37" s="276"/>
      <c r="B37" s="272" t="s">
        <v>233</v>
      </c>
      <c r="C37" s="273">
        <v>44.270046000000001</v>
      </c>
      <c r="D37" s="273"/>
      <c r="E37" s="293" t="str">
        <f>LOOKUP(B37,'1.2 EDU Factors'!$A$12:$A$36, '1.2 EDU Factors'!$C$12:$C$36)</f>
        <v>Acre</v>
      </c>
      <c r="F37" s="290">
        <f>LOOKUP(B37,'1.2 EDU Factors'!$A$12:$A$36, '1.2 EDU Factors'!$E$12:$E$36)</f>
        <v>0.49504950495049505</v>
      </c>
      <c r="G37" s="291">
        <f t="shared" si="3"/>
        <v>21.915864356435645</v>
      </c>
      <c r="I37" s="293" t="str">
        <f>LOOKUP(B37,'1.2 EDU Factors'!$A$12:$A$36, '1.2 EDU Factors'!$G$12:$G$36)</f>
        <v>Acre</v>
      </c>
      <c r="J37" s="290">
        <f>LOOKUP(B37,'1.2 EDU Factors'!$A$12:$A$36, '1.2 EDU Factors'!$H$12:$H$36)</f>
        <v>1</v>
      </c>
      <c r="K37" s="291">
        <f t="shared" si="4"/>
        <v>44.270046000000001</v>
      </c>
      <c r="L37" s="290">
        <f>LOOKUP(B37,'1.2 EDU Factors'!$A$12:$A$36, '1.2 EDU Factors'!$J$12:$J$36)</f>
        <v>2.5</v>
      </c>
      <c r="M37" s="291">
        <f t="shared" si="5"/>
        <v>110.67511500000001</v>
      </c>
      <c r="AC37" s="274"/>
      <c r="AD37" s="275"/>
    </row>
    <row r="38" spans="1:30" x14ac:dyDescent="0.2">
      <c r="A38" s="276"/>
      <c r="B38" s="272" t="s">
        <v>239</v>
      </c>
      <c r="C38" s="273">
        <v>157.17575600000001</v>
      </c>
      <c r="D38" s="273"/>
      <c r="E38" s="293" t="str">
        <f>LOOKUP(B38,'1.2 EDU Factors'!$A$12:$A$36, '1.2 EDU Factors'!$C$12:$C$36)</f>
        <v>Acre</v>
      </c>
      <c r="F38" s="290">
        <f>LOOKUP(B38,'1.2 EDU Factors'!$A$12:$A$36, '1.2 EDU Factors'!$E$12:$E$36)</f>
        <v>0.52599009900990101</v>
      </c>
      <c r="G38" s="291">
        <f t="shared" si="3"/>
        <v>82.672891460396045</v>
      </c>
      <c r="I38" s="293" t="str">
        <f>LOOKUP(B38,'1.2 EDU Factors'!$A$12:$A$36, '1.2 EDU Factors'!$G$12:$G$36)</f>
        <v>Acre</v>
      </c>
      <c r="J38" s="290">
        <f>LOOKUP(B38,'1.2 EDU Factors'!$A$12:$A$36, '1.2 EDU Factors'!$H$12:$H$36)</f>
        <v>1</v>
      </c>
      <c r="K38" s="291">
        <f t="shared" si="4"/>
        <v>157.17575600000001</v>
      </c>
      <c r="L38" s="290">
        <f>LOOKUP(B38,'1.2 EDU Factors'!$A$12:$A$36, '1.2 EDU Factors'!$J$12:$J$36)</f>
        <v>2.65625</v>
      </c>
      <c r="M38" s="291">
        <f t="shared" si="5"/>
        <v>417.49810187500003</v>
      </c>
      <c r="AC38" s="274"/>
      <c r="AD38" s="275"/>
    </row>
    <row r="39" spans="1:30" x14ac:dyDescent="0.2">
      <c r="A39" s="276"/>
      <c r="B39" s="272" t="s">
        <v>240</v>
      </c>
      <c r="C39" s="273">
        <v>578.53751799999998</v>
      </c>
      <c r="D39" s="273"/>
      <c r="E39" s="293" t="str">
        <f>LOOKUP(B39,'1.2 EDU Factors'!$A$12:$A$36, '1.2 EDU Factors'!$C$12:$C$36)</f>
        <v>Acre</v>
      </c>
      <c r="F39" s="290">
        <f>LOOKUP(B39,'1.2 EDU Factors'!$A$12:$A$36, '1.2 EDU Factors'!$E$12:$E$36)</f>
        <v>0.39603960396039606</v>
      </c>
      <c r="G39" s="291">
        <f t="shared" si="3"/>
        <v>229.1237695049505</v>
      </c>
      <c r="I39" s="293" t="str">
        <f>LOOKUP(B39,'1.2 EDU Factors'!$A$12:$A$36, '1.2 EDU Factors'!$G$12:$G$36)</f>
        <v>Acre</v>
      </c>
      <c r="J39" s="290">
        <f>LOOKUP(B39,'1.2 EDU Factors'!$A$12:$A$36, '1.2 EDU Factors'!$H$12:$H$36)</f>
        <v>1</v>
      </c>
      <c r="K39" s="291">
        <f t="shared" si="4"/>
        <v>578.53751799999998</v>
      </c>
      <c r="L39" s="290">
        <f>LOOKUP(B39,'1.2 EDU Factors'!$A$12:$A$36, '1.2 EDU Factors'!$J$12:$J$36)</f>
        <v>2</v>
      </c>
      <c r="M39" s="291">
        <f t="shared" si="5"/>
        <v>1157.075036</v>
      </c>
    </row>
    <row r="40" spans="1:30" x14ac:dyDescent="0.2">
      <c r="A40" s="276"/>
      <c r="B40" s="272" t="s">
        <v>241</v>
      </c>
      <c r="C40" s="273">
        <v>1152.6550749999999</v>
      </c>
      <c r="D40" s="273"/>
      <c r="E40" s="293" t="str">
        <f>LOOKUP(B40,'1.2 EDU Factors'!$A$12:$A$36, '1.2 EDU Factors'!$C$12:$C$36)</f>
        <v>Acre</v>
      </c>
      <c r="F40" s="290">
        <f>LOOKUP(B40,'1.2 EDU Factors'!$A$12:$A$36, '1.2 EDU Factors'!$E$12:$E$36)</f>
        <v>0</v>
      </c>
      <c r="G40" s="291">
        <f t="shared" si="3"/>
        <v>0</v>
      </c>
      <c r="I40" s="293" t="str">
        <f>LOOKUP(B40,'1.2 EDU Factors'!$A$12:$A$36, '1.2 EDU Factors'!$G$12:$G$36)</f>
        <v>Acre</v>
      </c>
      <c r="J40" s="290">
        <f>LOOKUP(B40,'1.2 EDU Factors'!$A$12:$A$36, '1.2 EDU Factors'!$H$12:$H$36)</f>
        <v>0</v>
      </c>
      <c r="K40" s="291">
        <f t="shared" si="4"/>
        <v>0</v>
      </c>
      <c r="L40" s="290">
        <f>LOOKUP(B40,'1.2 EDU Factors'!$A$12:$A$36, '1.2 EDU Factors'!$J$12:$J$36)</f>
        <v>0</v>
      </c>
      <c r="M40" s="291">
        <f t="shared" si="5"/>
        <v>0</v>
      </c>
    </row>
    <row r="41" spans="1:30" x14ac:dyDescent="0.2">
      <c r="A41" s="276"/>
      <c r="B41" s="272" t="s">
        <v>242</v>
      </c>
      <c r="C41" s="273">
        <v>43.057797000000001</v>
      </c>
      <c r="D41" s="273"/>
      <c r="E41" s="293" t="str">
        <f>LOOKUP(B41,'1.2 EDU Factors'!$A$12:$A$36, '1.2 EDU Factors'!$C$12:$C$36)</f>
        <v>Acre</v>
      </c>
      <c r="F41" s="290">
        <f>LOOKUP(B41,'1.2 EDU Factors'!$A$12:$A$36, '1.2 EDU Factors'!$E$12:$E$36)</f>
        <v>3.0606435643564356</v>
      </c>
      <c r="G41" s="291">
        <f t="shared" si="3"/>
        <v>131.78456928341583</v>
      </c>
      <c r="I41" s="293" t="str">
        <f>LOOKUP(B41,'1.2 EDU Factors'!$A$12:$A$36, '1.2 EDU Factors'!$G$12:$G$36)</f>
        <v>Acre</v>
      </c>
      <c r="J41" s="290">
        <f>LOOKUP(B41,'1.2 EDU Factors'!$A$12:$A$36, '1.2 EDU Factors'!$H$12:$H$36)</f>
        <v>1</v>
      </c>
      <c r="K41" s="291">
        <f t="shared" si="4"/>
        <v>43.057797000000001</v>
      </c>
      <c r="L41" s="290">
        <f>LOOKUP(B41,'1.2 EDU Factors'!$A$12:$A$36, '1.2 EDU Factors'!$J$12:$J$36)</f>
        <v>15.456250000000001</v>
      </c>
      <c r="M41" s="291">
        <f t="shared" si="5"/>
        <v>665.51207488124999</v>
      </c>
    </row>
    <row r="42" spans="1:30" x14ac:dyDescent="0.2">
      <c r="A42" s="276"/>
      <c r="B42" s="272" t="s">
        <v>243</v>
      </c>
      <c r="C42" s="273">
        <v>40.434798000000001</v>
      </c>
      <c r="D42" s="273"/>
      <c r="E42" s="293" t="str">
        <f>LOOKUP(B42,'1.2 EDU Factors'!$A$12:$A$36, '1.2 EDU Factors'!$C$12:$C$36)</f>
        <v>Acre</v>
      </c>
      <c r="F42" s="290">
        <f>LOOKUP(B42,'1.2 EDU Factors'!$A$12:$A$36, '1.2 EDU Factors'!$E$12:$E$36)</f>
        <v>0.92821782178217827</v>
      </c>
      <c r="G42" s="291">
        <f t="shared" si="3"/>
        <v>37.532300123762376</v>
      </c>
      <c r="I42" s="293" t="str">
        <f>LOOKUP(B42,'1.2 EDU Factors'!$A$12:$A$36, '1.2 EDU Factors'!$G$12:$G$36)</f>
        <v>Acre</v>
      </c>
      <c r="J42" s="290">
        <f>LOOKUP(B42,'1.2 EDU Factors'!$A$12:$A$36, '1.2 EDU Factors'!$H$12:$H$36)</f>
        <v>1</v>
      </c>
      <c r="K42" s="291">
        <f t="shared" si="4"/>
        <v>40.434798000000001</v>
      </c>
      <c r="L42" s="290">
        <f>LOOKUP(B42,'1.2 EDU Factors'!$A$12:$A$36, '1.2 EDU Factors'!$J$12:$J$36)</f>
        <v>4.6875</v>
      </c>
      <c r="M42" s="291">
        <f t="shared" si="5"/>
        <v>189.53811562499999</v>
      </c>
    </row>
    <row r="43" spans="1:30" x14ac:dyDescent="0.2">
      <c r="A43" s="276"/>
      <c r="B43" s="272" t="s">
        <v>244</v>
      </c>
      <c r="C43" s="273">
        <v>754.374683</v>
      </c>
      <c r="D43" s="273"/>
      <c r="E43" s="293" t="str">
        <f>LOOKUP(B43,'1.2 EDU Factors'!$A$12:$A$36, '1.2 EDU Factors'!$C$12:$C$36)</f>
        <v>Acre</v>
      </c>
      <c r="F43" s="290">
        <f>LOOKUP(B43,'1.2 EDU Factors'!$A$12:$A$36, '1.2 EDU Factors'!$E$12:$E$36)</f>
        <v>1</v>
      </c>
      <c r="G43" s="291">
        <f t="shared" si="3"/>
        <v>754.374683</v>
      </c>
      <c r="I43" s="293" t="str">
        <f>LOOKUP(B43,'1.2 EDU Factors'!$A$12:$A$36, '1.2 EDU Factors'!$G$12:$G$36)</f>
        <v>Dwelling Unit</v>
      </c>
      <c r="J43" s="290">
        <f>LOOKUP(B43,'1.2 EDU Factors'!$A$12:$A$36, '1.2 EDU Factors'!$H$12:$H$36)</f>
        <v>5.05</v>
      </c>
      <c r="K43" s="291">
        <f t="shared" si="4"/>
        <v>3809.5921491499998</v>
      </c>
      <c r="L43" s="290">
        <f>LOOKUP(B43,'1.2 EDU Factors'!$A$12:$A$36, '1.2 EDU Factors'!$J$12:$J$36)</f>
        <v>1</v>
      </c>
      <c r="M43" s="291">
        <f t="shared" si="5"/>
        <v>3809.5921491499998</v>
      </c>
    </row>
    <row r="44" spans="1:30" x14ac:dyDescent="0.2">
      <c r="A44" s="276"/>
      <c r="B44" s="272" t="s">
        <v>245</v>
      </c>
      <c r="C44" s="273">
        <v>114.44947000000001</v>
      </c>
      <c r="D44" s="273"/>
      <c r="E44" s="293" t="str">
        <f>LOOKUP(B44,'1.2 EDU Factors'!$A$12:$A$36, '1.2 EDU Factors'!$C$12:$C$36)</f>
        <v>Acre</v>
      </c>
      <c r="F44" s="290">
        <f>LOOKUP(B44,'1.2 EDU Factors'!$A$12:$A$36, '1.2 EDU Factors'!$E$12:$E$36)</f>
        <v>0.74257425742574257</v>
      </c>
      <c r="G44" s="291">
        <f t="shared" si="3"/>
        <v>84.987230198019802</v>
      </c>
      <c r="I44" s="293" t="str">
        <f>LOOKUP(B44,'1.2 EDU Factors'!$A$12:$A$36, '1.2 EDU Factors'!$G$12:$G$36)</f>
        <v>Acre</v>
      </c>
      <c r="J44" s="290">
        <f>LOOKUP(B44,'1.2 EDU Factors'!$A$12:$A$36, '1.2 EDU Factors'!$H$12:$H$36)</f>
        <v>1</v>
      </c>
      <c r="K44" s="291">
        <f t="shared" si="4"/>
        <v>114.44947000000001</v>
      </c>
      <c r="L44" s="290">
        <f>LOOKUP(B44,'1.2 EDU Factors'!$A$12:$A$36, '1.2 EDU Factors'!$J$12:$J$36)</f>
        <v>3.75</v>
      </c>
      <c r="M44" s="291">
        <f t="shared" si="5"/>
        <v>429.18551250000002</v>
      </c>
    </row>
    <row r="45" spans="1:30" x14ac:dyDescent="0.2">
      <c r="A45" s="276"/>
      <c r="B45" s="272" t="s">
        <v>246</v>
      </c>
      <c r="C45" s="273">
        <v>19.736191999999999</v>
      </c>
      <c r="D45" s="273"/>
      <c r="E45" s="293" t="str">
        <f>LOOKUP(B45,'1.2 EDU Factors'!$A$12:$A$36, '1.2 EDU Factors'!$C$12:$C$36)</f>
        <v>Acre</v>
      </c>
      <c r="F45" s="290">
        <f>LOOKUP(B45,'1.2 EDU Factors'!$A$12:$A$36, '1.2 EDU Factors'!$E$12:$E$36)</f>
        <v>1.6658415841584158</v>
      </c>
      <c r="G45" s="291">
        <f t="shared" si="3"/>
        <v>32.87736934653465</v>
      </c>
      <c r="I45" s="293" t="str">
        <f>LOOKUP(B45,'1.2 EDU Factors'!$A$12:$A$36, '1.2 EDU Factors'!$G$12:$G$36)</f>
        <v>Dwelling Unit</v>
      </c>
      <c r="J45" s="290">
        <f>LOOKUP(B45,'1.2 EDU Factors'!$A$12:$A$36, '1.2 EDU Factors'!$H$12:$H$36)</f>
        <v>11.504273504273504</v>
      </c>
      <c r="K45" s="291">
        <f t="shared" si="4"/>
        <v>227.0505507008547</v>
      </c>
      <c r="L45" s="290">
        <f>LOOKUP(B45,'1.2 EDU Factors'!$A$12:$A$36, '1.2 EDU Factors'!$J$12:$J$36)</f>
        <v>0.73124999999999996</v>
      </c>
      <c r="M45" s="291">
        <f t="shared" si="5"/>
        <v>166.0307152</v>
      </c>
    </row>
    <row r="46" spans="1:30" x14ac:dyDescent="0.2">
      <c r="A46" s="276"/>
      <c r="B46" s="272" t="s">
        <v>247</v>
      </c>
      <c r="C46" s="273">
        <v>37.560957999999999</v>
      </c>
      <c r="D46" s="273"/>
      <c r="E46" s="293" t="str">
        <f>LOOKUP(B46,'1.2 EDU Factors'!$A$12:$A$36, '1.2 EDU Factors'!$C$12:$C$36)</f>
        <v>Acre</v>
      </c>
      <c r="F46" s="290">
        <f>LOOKUP(B46,'1.2 EDU Factors'!$A$12:$A$36, '1.2 EDU Factors'!$E$12:$E$36)</f>
        <v>0.49504950495049505</v>
      </c>
      <c r="G46" s="291">
        <f t="shared" si="3"/>
        <v>18.594533663366335</v>
      </c>
      <c r="I46" s="293" t="str">
        <f>LOOKUP(B46,'1.2 EDU Factors'!$A$12:$A$36, '1.2 EDU Factors'!$G$12:$G$36)</f>
        <v>Acre</v>
      </c>
      <c r="J46" s="290">
        <f>LOOKUP(B46,'1.2 EDU Factors'!$A$12:$A$36, '1.2 EDU Factors'!$H$12:$H$36)</f>
        <v>1</v>
      </c>
      <c r="K46" s="291">
        <f t="shared" si="4"/>
        <v>37.560957999999999</v>
      </c>
      <c r="L46" s="290">
        <f>LOOKUP(B46,'1.2 EDU Factors'!$A$12:$A$36, '1.2 EDU Factors'!$J$12:$J$36)</f>
        <v>2.5</v>
      </c>
      <c r="M46" s="291">
        <f t="shared" si="5"/>
        <v>93.902394999999999</v>
      </c>
    </row>
    <row r="47" spans="1:30" x14ac:dyDescent="0.2">
      <c r="A47" s="276"/>
      <c r="B47" s="272" t="s">
        <v>248</v>
      </c>
      <c r="C47" s="273">
        <v>11.652851999999999</v>
      </c>
      <c r="D47" s="273"/>
      <c r="E47" s="293" t="str">
        <f>LOOKUP(B47,'1.2 EDU Factors'!$A$12:$A$36, '1.2 EDU Factors'!$C$12:$C$36)</f>
        <v>Acre</v>
      </c>
      <c r="F47" s="290">
        <f>LOOKUP(B47,'1.2 EDU Factors'!$A$12:$A$36, '1.2 EDU Factors'!$E$12:$E$36)</f>
        <v>0.52599009900990101</v>
      </c>
      <c r="G47" s="291">
        <f t="shared" si="3"/>
        <v>6.1292847772277224</v>
      </c>
      <c r="I47" s="293" t="str">
        <f>LOOKUP(B47,'1.2 EDU Factors'!$A$12:$A$36, '1.2 EDU Factors'!$G$12:$G$36)</f>
        <v>Acre</v>
      </c>
      <c r="J47" s="290">
        <f>LOOKUP(B47,'1.2 EDU Factors'!$A$12:$A$36, '1.2 EDU Factors'!$H$12:$H$36)</f>
        <v>1</v>
      </c>
      <c r="K47" s="291">
        <f t="shared" si="4"/>
        <v>11.652851999999999</v>
      </c>
      <c r="L47" s="290">
        <f>LOOKUP(B47,'1.2 EDU Factors'!$A$12:$A$36, '1.2 EDU Factors'!$J$12:$J$36)</f>
        <v>2.65625</v>
      </c>
      <c r="M47" s="291">
        <f t="shared" si="5"/>
        <v>30.952888124999998</v>
      </c>
    </row>
    <row r="48" spans="1:30" x14ac:dyDescent="0.2">
      <c r="A48" s="276"/>
      <c r="B48" s="272" t="s">
        <v>249</v>
      </c>
      <c r="C48" s="273">
        <v>352.59333099999998</v>
      </c>
      <c r="D48" s="273"/>
      <c r="E48" s="293" t="str">
        <f>LOOKUP(B48,'1.2 EDU Factors'!$A$12:$A$36, '1.2 EDU Factors'!$C$12:$C$36)</f>
        <v>Acre</v>
      </c>
      <c r="F48" s="290">
        <f>LOOKUP(B48,'1.2 EDU Factors'!$A$12:$A$36, '1.2 EDU Factors'!$E$12:$E$36)</f>
        <v>0.39603960396039606</v>
      </c>
      <c r="G48" s="291">
        <f t="shared" si="3"/>
        <v>139.64092316831682</v>
      </c>
      <c r="I48" s="293" t="str">
        <f>LOOKUP(B48,'1.2 EDU Factors'!$A$12:$A$36, '1.2 EDU Factors'!$G$12:$G$36)</f>
        <v>Dwelling Unit</v>
      </c>
      <c r="J48" s="290">
        <f>LOOKUP(B48,'1.2 EDU Factors'!$A$12:$A$36, '1.2 EDU Factors'!$H$12:$H$36)</f>
        <v>2</v>
      </c>
      <c r="K48" s="291">
        <f t="shared" si="4"/>
        <v>705.18666199999996</v>
      </c>
      <c r="L48" s="290">
        <f>LOOKUP(B48,'1.2 EDU Factors'!$A$12:$A$36, '1.2 EDU Factors'!$J$12:$J$36)</f>
        <v>1</v>
      </c>
      <c r="M48" s="291">
        <f t="shared" si="5"/>
        <v>705.18666199999996</v>
      </c>
    </row>
    <row r="49" spans="1:13" x14ac:dyDescent="0.2">
      <c r="A49" s="276"/>
      <c r="B49" s="272" t="s">
        <v>234</v>
      </c>
      <c r="C49" s="273">
        <v>127.986069</v>
      </c>
      <c r="D49" s="273"/>
      <c r="E49" s="293" t="str">
        <f>LOOKUP(B49,'1.2 EDU Factors'!$A$12:$A$36, '1.2 EDU Factors'!$C$12:$C$36)</f>
        <v>Acre</v>
      </c>
      <c r="F49" s="290">
        <f>LOOKUP(B49,'1.2 EDU Factors'!$A$12:$A$36, '1.2 EDU Factors'!$E$12:$E$36)</f>
        <v>0.39603960396039606</v>
      </c>
      <c r="G49" s="291">
        <f t="shared" si="3"/>
        <v>50.687552079207926</v>
      </c>
      <c r="I49" s="293" t="str">
        <f>LOOKUP(B49,'1.2 EDU Factors'!$A$12:$A$36, '1.2 EDU Factors'!$G$12:$G$36)</f>
        <v>Dwelling Unit</v>
      </c>
      <c r="J49" s="290">
        <f>LOOKUP(B49,'1.2 EDU Factors'!$A$12:$A$36, '1.2 EDU Factors'!$H$12:$H$36)</f>
        <v>2</v>
      </c>
      <c r="K49" s="291">
        <f t="shared" si="4"/>
        <v>255.972138</v>
      </c>
      <c r="L49" s="290">
        <f>LOOKUP(B49,'1.2 EDU Factors'!$A$12:$A$36, '1.2 EDU Factors'!$J$12:$J$36)</f>
        <v>1</v>
      </c>
      <c r="M49" s="291">
        <f t="shared" si="5"/>
        <v>255.972138</v>
      </c>
    </row>
    <row r="50" spans="1:13" x14ac:dyDescent="0.2">
      <c r="A50" s="276"/>
      <c r="B50" s="272"/>
      <c r="C50" s="306"/>
      <c r="D50" s="273"/>
      <c r="E50" s="293"/>
      <c r="F50" s="290"/>
      <c r="G50" s="307"/>
      <c r="I50" s="293"/>
      <c r="J50" s="290"/>
      <c r="K50" s="291"/>
      <c r="L50" s="290"/>
      <c r="M50" s="307"/>
    </row>
    <row r="51" spans="1:13" x14ac:dyDescent="0.2">
      <c r="A51" s="276"/>
      <c r="B51" s="272"/>
      <c r="C51" s="273"/>
      <c r="D51" s="273"/>
      <c r="E51" s="293"/>
      <c r="F51" s="290"/>
      <c r="G51" s="291"/>
      <c r="I51" s="293"/>
      <c r="J51" s="290"/>
      <c r="K51" s="291"/>
      <c r="L51" s="290"/>
      <c r="M51" s="291"/>
    </row>
    <row r="52" spans="1:13" x14ac:dyDescent="0.2">
      <c r="A52" s="276" t="s">
        <v>440</v>
      </c>
      <c r="B52" s="272"/>
      <c r="C52" s="273">
        <f>SUM(C27:C50)</f>
        <v>8686.4603319999987</v>
      </c>
      <c r="D52" s="273"/>
      <c r="E52" s="293"/>
      <c r="F52" s="290"/>
      <c r="G52" s="273">
        <f>SUM(G27:G50)</f>
        <v>3737.6515359096534</v>
      </c>
      <c r="I52" s="293"/>
      <c r="J52" s="290"/>
      <c r="K52" s="291"/>
      <c r="L52" s="290"/>
      <c r="M52" s="273">
        <f>SUM(M27:M50)</f>
        <v>18875.140256343751</v>
      </c>
    </row>
    <row r="53" spans="1:13" x14ac:dyDescent="0.2">
      <c r="A53" s="279" t="s">
        <v>433</v>
      </c>
      <c r="G53" s="291">
        <f>$G$125</f>
        <v>808</v>
      </c>
      <c r="H53" s="286"/>
      <c r="I53" s="293"/>
      <c r="J53" s="290"/>
      <c r="K53" s="291"/>
      <c r="L53" s="290"/>
      <c r="M53" s="291">
        <f>$M$125</f>
        <v>160</v>
      </c>
    </row>
    <row r="54" spans="1:13" x14ac:dyDescent="0.2">
      <c r="A54" s="279" t="s">
        <v>434</v>
      </c>
      <c r="G54" s="291">
        <f>G52*G53</f>
        <v>3020022.441015</v>
      </c>
      <c r="H54" s="286"/>
      <c r="I54" s="286"/>
      <c r="J54" s="286"/>
      <c r="K54" s="291"/>
      <c r="L54" s="286"/>
      <c r="M54" s="291">
        <f>M52*M53</f>
        <v>3020022.4410150005</v>
      </c>
    </row>
    <row r="55" spans="1:13" x14ac:dyDescent="0.2">
      <c r="A55" s="276"/>
      <c r="B55" s="272"/>
      <c r="C55" s="273"/>
      <c r="D55" s="273"/>
      <c r="E55" s="293"/>
      <c r="F55" s="290"/>
      <c r="G55" s="291"/>
      <c r="I55" s="293"/>
      <c r="J55" s="290"/>
      <c r="K55" s="291"/>
      <c r="L55" s="290"/>
      <c r="M55" s="291"/>
    </row>
    <row r="56" spans="1:13" x14ac:dyDescent="0.2">
      <c r="A56" s="276"/>
      <c r="B56" s="272"/>
      <c r="C56" s="273"/>
      <c r="D56" s="273"/>
      <c r="E56" s="273"/>
      <c r="G56" s="291"/>
      <c r="K56" s="97"/>
      <c r="L56" s="290"/>
      <c r="M56" s="291"/>
    </row>
    <row r="57" spans="1:13" x14ac:dyDescent="0.2">
      <c r="A57" s="271" t="s">
        <v>250</v>
      </c>
      <c r="B57" s="272" t="s">
        <v>226</v>
      </c>
      <c r="C57" s="273">
        <v>50.457075000000003</v>
      </c>
      <c r="D57" s="273"/>
      <c r="E57" s="293" t="str">
        <f>LOOKUP(B57,'1.2 EDU Factors'!$A$12:$A$36, '1.2 EDU Factors'!$C$12:$C$36)</f>
        <v>Acre</v>
      </c>
      <c r="F57" s="290">
        <f>LOOKUP(B57,'1.2 EDU Factors'!$A$12:$A$36, '1.2 EDU Factors'!$E$12:$E$36)</f>
        <v>3.0606435643564356</v>
      </c>
      <c r="G57" s="291">
        <f>F57*C57</f>
        <v>154.431121875</v>
      </c>
      <c r="I57" s="293" t="str">
        <f>LOOKUP(B57,'1.2 EDU Factors'!$A$12:$A$36, '1.2 EDU Factors'!$G$12:$G$36)</f>
        <v>Acre</v>
      </c>
      <c r="J57" s="290">
        <f>LOOKUP(B57,'1.2 EDU Factors'!$A$12:$A$36, '1.2 EDU Factors'!$H$12:$H$36)</f>
        <v>1</v>
      </c>
      <c r="K57" s="291">
        <f>J57*C57</f>
        <v>50.457075000000003</v>
      </c>
      <c r="L57" s="290">
        <f>LOOKUP(B57,'1.2 EDU Factors'!$A$12:$A$36, '1.2 EDU Factors'!$J$12:$J$36)</f>
        <v>15.456250000000001</v>
      </c>
      <c r="M57" s="291">
        <f t="shared" ref="M57:M60" si="6">L57*K57</f>
        <v>779.87716546875004</v>
      </c>
    </row>
    <row r="58" spans="1:13" x14ac:dyDescent="0.2">
      <c r="A58" s="276"/>
      <c r="B58" s="272" t="s">
        <v>227</v>
      </c>
      <c r="C58" s="273">
        <v>10.055574999999999</v>
      </c>
      <c r="D58" s="273"/>
      <c r="E58" s="293" t="str">
        <f>LOOKUP(B58,'1.2 EDU Factors'!$A$12:$A$36, '1.2 EDU Factors'!$C$12:$C$36)</f>
        <v>Acre</v>
      </c>
      <c r="F58" s="290">
        <f>LOOKUP(B58,'1.2 EDU Factors'!$A$12:$A$36, '1.2 EDU Factors'!$E$12:$E$36)</f>
        <v>0.92821782178217827</v>
      </c>
      <c r="G58" s="291">
        <f>F58*C58</f>
        <v>9.3337639232673268</v>
      </c>
      <c r="I58" s="293" t="str">
        <f>LOOKUP(B58,'1.2 EDU Factors'!$A$12:$A$36, '1.2 EDU Factors'!$G$12:$G$36)</f>
        <v>Acre</v>
      </c>
      <c r="J58" s="290">
        <f>LOOKUP(B58,'1.2 EDU Factors'!$A$12:$A$36, '1.2 EDU Factors'!$H$12:$H$36)</f>
        <v>1</v>
      </c>
      <c r="K58" s="291">
        <f>J58*C58</f>
        <v>10.055574999999999</v>
      </c>
      <c r="L58" s="290">
        <f>LOOKUP(B58,'1.2 EDU Factors'!$A$12:$A$36, '1.2 EDU Factors'!$J$12:$J$36)</f>
        <v>4.6875</v>
      </c>
      <c r="M58" s="291">
        <f t="shared" si="6"/>
        <v>47.135507812499995</v>
      </c>
    </row>
    <row r="59" spans="1:13" x14ac:dyDescent="0.2">
      <c r="A59" s="276"/>
      <c r="B59" s="272" t="s">
        <v>229</v>
      </c>
      <c r="C59" s="273">
        <v>6.8119079999999999</v>
      </c>
      <c r="D59" s="273"/>
      <c r="E59" s="293" t="str">
        <f>LOOKUP(B59,'1.2 EDU Factors'!$A$12:$A$36, '1.2 EDU Factors'!$C$12:$C$36)</f>
        <v>Acre</v>
      </c>
      <c r="F59" s="290">
        <f>LOOKUP(B59,'1.2 EDU Factors'!$A$12:$A$36, '1.2 EDU Factors'!$E$12:$E$36)</f>
        <v>1</v>
      </c>
      <c r="G59" s="291">
        <f>F59*C59</f>
        <v>6.8119079999999999</v>
      </c>
      <c r="I59" s="293" t="str">
        <f>LOOKUP(B59,'1.2 EDU Factors'!$A$12:$A$36, '1.2 EDU Factors'!$G$12:$G$36)</f>
        <v>Dwelling Unit</v>
      </c>
      <c r="J59" s="290">
        <f>LOOKUP(B59,'1.2 EDU Factors'!$A$12:$A$36, '1.2 EDU Factors'!$H$12:$H$36)</f>
        <v>5.05</v>
      </c>
      <c r="K59" s="291">
        <f>J59*C59</f>
        <v>34.400135399999996</v>
      </c>
      <c r="L59" s="290">
        <f>LOOKUP(B59,'1.2 EDU Factors'!$A$12:$A$36, '1.2 EDU Factors'!$J$12:$J$36)</f>
        <v>1</v>
      </c>
      <c r="M59" s="291">
        <f t="shared" si="6"/>
        <v>34.400135399999996</v>
      </c>
    </row>
    <row r="60" spans="1:13" x14ac:dyDescent="0.2">
      <c r="A60" s="276"/>
      <c r="B60" s="272" t="s">
        <v>230</v>
      </c>
      <c r="C60" s="273">
        <v>34.600757000000002</v>
      </c>
      <c r="D60" s="273"/>
      <c r="E60" s="293" t="str">
        <f>LOOKUP(B60,'1.2 EDU Factors'!$A$12:$A$36, '1.2 EDU Factors'!$C$12:$C$36)</f>
        <v>Acre</v>
      </c>
      <c r="F60" s="290">
        <f>LOOKUP(B60,'1.2 EDU Factors'!$A$12:$A$36, '1.2 EDU Factors'!$E$12:$E$36)</f>
        <v>1.2376237623762376</v>
      </c>
      <c r="G60" s="291">
        <f>F60*C60</f>
        <v>42.822719059405941</v>
      </c>
      <c r="I60" s="293" t="str">
        <f>LOOKUP(B60,'1.2 EDU Factors'!$A$12:$A$36, '1.2 EDU Factors'!$G$12:$G$36)</f>
        <v>Acre</v>
      </c>
      <c r="J60" s="290">
        <f>LOOKUP(B60,'1.2 EDU Factors'!$A$12:$A$36, '1.2 EDU Factors'!$H$12:$H$36)</f>
        <v>1</v>
      </c>
      <c r="K60" s="291">
        <f>J60*C60</f>
        <v>34.600757000000002</v>
      </c>
      <c r="L60" s="290">
        <f>LOOKUP(B60,'1.2 EDU Factors'!$A$12:$A$36, '1.2 EDU Factors'!$J$12:$J$36)</f>
        <v>6.25</v>
      </c>
      <c r="M60" s="291">
        <f t="shared" si="6"/>
        <v>216.25473125000002</v>
      </c>
    </row>
    <row r="61" spans="1:13" x14ac:dyDescent="0.2">
      <c r="A61" s="276"/>
      <c r="B61" s="272"/>
      <c r="C61" s="306"/>
      <c r="D61" s="273"/>
      <c r="E61" s="293"/>
      <c r="F61" s="290"/>
      <c r="G61" s="307"/>
      <c r="I61" s="293"/>
      <c r="J61" s="290"/>
      <c r="K61" s="291"/>
      <c r="L61" s="290"/>
      <c r="M61" s="307"/>
    </row>
    <row r="62" spans="1:13" x14ac:dyDescent="0.2">
      <c r="A62" s="276"/>
      <c r="B62" s="272"/>
      <c r="C62" s="273"/>
      <c r="D62" s="273"/>
      <c r="E62" s="293"/>
      <c r="F62" s="290"/>
      <c r="G62" s="291"/>
      <c r="I62" s="293"/>
      <c r="J62" s="290"/>
      <c r="K62" s="291"/>
      <c r="L62" s="290"/>
      <c r="M62" s="291"/>
    </row>
    <row r="63" spans="1:13" x14ac:dyDescent="0.2">
      <c r="A63" s="276" t="s">
        <v>441</v>
      </c>
      <c r="B63" s="272"/>
      <c r="C63" s="273">
        <f>SUM(C57:C61)</f>
        <v>101.925315</v>
      </c>
      <c r="D63" s="273"/>
      <c r="E63" s="293"/>
      <c r="F63" s="290"/>
      <c r="G63" s="273">
        <f>SUM(G57:G61)</f>
        <v>213.39951285767324</v>
      </c>
      <c r="I63" s="293"/>
      <c r="J63" s="290"/>
      <c r="K63" s="291"/>
      <c r="L63" s="290"/>
      <c r="M63" s="273">
        <f>SUM(M57:M61)</f>
        <v>1077.6675399312501</v>
      </c>
    </row>
    <row r="64" spans="1:13" x14ac:dyDescent="0.2">
      <c r="A64" s="279" t="s">
        <v>433</v>
      </c>
      <c r="G64" s="291">
        <f>$G$125</f>
        <v>808</v>
      </c>
      <c r="H64" s="286"/>
      <c r="I64" s="293"/>
      <c r="J64" s="290"/>
      <c r="K64" s="291"/>
      <c r="L64" s="290"/>
      <c r="M64" s="291">
        <f>$M$125</f>
        <v>160</v>
      </c>
    </row>
    <row r="65" spans="1:13" x14ac:dyDescent="0.2">
      <c r="A65" s="279" t="s">
        <v>434</v>
      </c>
      <c r="G65" s="291">
        <f>G63*G64</f>
        <v>172426.80638899998</v>
      </c>
      <c r="H65" s="286"/>
      <c r="I65" s="286"/>
      <c r="J65" s="286"/>
      <c r="K65" s="291"/>
      <c r="L65" s="286"/>
      <c r="M65" s="291">
        <f>M63*M64</f>
        <v>172426.806389</v>
      </c>
    </row>
    <row r="66" spans="1:13" x14ac:dyDescent="0.2">
      <c r="A66" s="276"/>
      <c r="B66" s="272"/>
      <c r="C66" s="273"/>
      <c r="D66" s="273"/>
      <c r="E66" s="273"/>
      <c r="G66" s="291"/>
      <c r="K66" s="97"/>
      <c r="L66" s="290"/>
      <c r="M66" s="291"/>
    </row>
    <row r="67" spans="1:13" x14ac:dyDescent="0.2">
      <c r="A67" s="276"/>
      <c r="B67" s="272"/>
      <c r="C67" s="273"/>
      <c r="D67" s="273"/>
      <c r="E67" s="273"/>
      <c r="G67" s="291"/>
      <c r="K67" s="97"/>
      <c r="L67" s="290"/>
      <c r="M67" s="291"/>
    </row>
    <row r="68" spans="1:13" x14ac:dyDescent="0.2">
      <c r="A68" s="271" t="s">
        <v>251</v>
      </c>
      <c r="B68" s="272" t="s">
        <v>236</v>
      </c>
      <c r="C68" s="273">
        <v>111.47872099999999</v>
      </c>
      <c r="D68" s="273"/>
      <c r="E68" s="293" t="str">
        <f>LOOKUP(B68,'1.2 EDU Factors'!$A$12:$A$36, '1.2 EDU Factors'!$C$12:$C$36)</f>
        <v>Acre</v>
      </c>
      <c r="G68" s="291">
        <f t="shared" ref="G68:G87" si="7">F68*C68</f>
        <v>0</v>
      </c>
      <c r="I68" s="293" t="str">
        <f>LOOKUP(B68,'1.2 EDU Factors'!$A$12:$A$36, '1.2 EDU Factors'!$G$12:$G$36)</f>
        <v>Acre</v>
      </c>
      <c r="J68" s="290">
        <f>LOOKUP(B68,'1.2 EDU Factors'!$A$12:$A$36, '1.2 EDU Factors'!$H$12:$H$36)</f>
        <v>0</v>
      </c>
      <c r="K68" s="291">
        <f t="shared" ref="K68:K87" si="8">J68*C68</f>
        <v>0</v>
      </c>
      <c r="L68" s="290">
        <f>LOOKUP(B68,'1.2 EDU Factors'!$A$12:$A$36, '1.2 EDU Factors'!$J$12:$J$36)</f>
        <v>0</v>
      </c>
      <c r="M68" s="291">
        <f t="shared" ref="M68:M87" si="9">L68*K68</f>
        <v>0</v>
      </c>
    </row>
    <row r="69" spans="1:13" x14ac:dyDescent="0.2">
      <c r="A69" s="276"/>
      <c r="B69" s="272" t="s">
        <v>252</v>
      </c>
      <c r="C69" s="273">
        <v>44.659910000000004</v>
      </c>
      <c r="D69" s="273"/>
      <c r="E69" s="293" t="str">
        <f>LOOKUP(B69,'1.2 EDU Factors'!$A$12:$A$36, '1.2 EDU Factors'!$C$12:$C$36)</f>
        <v>Acre</v>
      </c>
      <c r="F69" s="290">
        <f>LOOKUP(B69,'1.2 EDU Factors'!$A$12:$A$36, '1.2 EDU Factors'!$E$12:$E$36)</f>
        <v>1.4851485148514851</v>
      </c>
      <c r="G69" s="291">
        <f t="shared" si="7"/>
        <v>66.326599009900988</v>
      </c>
      <c r="I69" s="293" t="str">
        <f>LOOKUP(B69,'1.2 EDU Factors'!$A$12:$A$36, '1.2 EDU Factors'!$G$12:$G$36)</f>
        <v>Acre</v>
      </c>
      <c r="J69" s="290">
        <f>LOOKUP(B69,'1.2 EDU Factors'!$A$12:$A$36, '1.2 EDU Factors'!$H$12:$H$36)</f>
        <v>1</v>
      </c>
      <c r="K69" s="291">
        <f t="shared" si="8"/>
        <v>44.659910000000004</v>
      </c>
      <c r="L69" s="290">
        <f>LOOKUP(B69,'1.2 EDU Factors'!$A$12:$A$36, '1.2 EDU Factors'!$J$12:$J$36)</f>
        <v>7.5</v>
      </c>
      <c r="M69" s="291">
        <f t="shared" si="9"/>
        <v>334.94932500000004</v>
      </c>
    </row>
    <row r="70" spans="1:13" x14ac:dyDescent="0.2">
      <c r="A70" s="276"/>
      <c r="B70" s="272" t="s">
        <v>226</v>
      </c>
      <c r="C70" s="273">
        <v>162.75238300000001</v>
      </c>
      <c r="D70" s="273"/>
      <c r="E70" s="293" t="str">
        <f>LOOKUP(B70,'1.2 EDU Factors'!$A$12:$A$36, '1.2 EDU Factors'!$C$12:$C$36)</f>
        <v>Acre</v>
      </c>
      <c r="F70" s="290">
        <f>LOOKUP(B70,'1.2 EDU Factors'!$A$12:$A$36, '1.2 EDU Factors'!$E$12:$E$36)</f>
        <v>3.0606435643564356</v>
      </c>
      <c r="G70" s="291">
        <f t="shared" si="7"/>
        <v>498.12703361262379</v>
      </c>
      <c r="I70" s="293" t="str">
        <f>LOOKUP(B70,'1.2 EDU Factors'!$A$12:$A$36, '1.2 EDU Factors'!$G$12:$G$36)</f>
        <v>Acre</v>
      </c>
      <c r="J70" s="290">
        <f>LOOKUP(B70,'1.2 EDU Factors'!$A$12:$A$36, '1.2 EDU Factors'!$H$12:$H$36)</f>
        <v>1</v>
      </c>
      <c r="K70" s="291">
        <f t="shared" si="8"/>
        <v>162.75238300000001</v>
      </c>
      <c r="L70" s="290">
        <f>LOOKUP(B70,'1.2 EDU Factors'!$A$12:$A$36, '1.2 EDU Factors'!$J$12:$J$36)</f>
        <v>15.456250000000001</v>
      </c>
      <c r="M70" s="291">
        <f t="shared" si="9"/>
        <v>2515.5415197437501</v>
      </c>
    </row>
    <row r="71" spans="1:13" x14ac:dyDescent="0.2">
      <c r="A71" s="276"/>
      <c r="B71" s="272" t="s">
        <v>227</v>
      </c>
      <c r="C71" s="273">
        <v>320.10928699999999</v>
      </c>
      <c r="D71" s="273"/>
      <c r="E71" s="293" t="str">
        <f>LOOKUP(B71,'1.2 EDU Factors'!$A$12:$A$36, '1.2 EDU Factors'!$C$12:$C$36)</f>
        <v>Acre</v>
      </c>
      <c r="F71" s="290">
        <f>LOOKUP(B71,'1.2 EDU Factors'!$A$12:$A$36, '1.2 EDU Factors'!$E$12:$E$36)</f>
        <v>0.92821782178217827</v>
      </c>
      <c r="G71" s="291">
        <f t="shared" si="7"/>
        <v>297.13114511138616</v>
      </c>
      <c r="I71" s="293" t="str">
        <f>LOOKUP(B71,'1.2 EDU Factors'!$A$12:$A$36, '1.2 EDU Factors'!$G$12:$G$36)</f>
        <v>Acre</v>
      </c>
      <c r="J71" s="290">
        <f>LOOKUP(B71,'1.2 EDU Factors'!$A$12:$A$36, '1.2 EDU Factors'!$H$12:$H$36)</f>
        <v>1</v>
      </c>
      <c r="K71" s="291">
        <f t="shared" si="8"/>
        <v>320.10928699999999</v>
      </c>
      <c r="L71" s="290">
        <f>LOOKUP(B71,'1.2 EDU Factors'!$A$12:$A$36, '1.2 EDU Factors'!$J$12:$J$36)</f>
        <v>4.6875</v>
      </c>
      <c r="M71" s="291">
        <f t="shared" si="9"/>
        <v>1500.5122828125</v>
      </c>
    </row>
    <row r="72" spans="1:13" x14ac:dyDescent="0.2">
      <c r="A72" s="276"/>
      <c r="B72" s="272" t="s">
        <v>228</v>
      </c>
      <c r="C72" s="273">
        <v>68.273225999999994</v>
      </c>
      <c r="D72" s="273"/>
      <c r="E72" s="293" t="str">
        <f>LOOKUP(B72,'1.2 EDU Factors'!$A$12:$A$36, '1.2 EDU Factors'!$C$12:$C$36)</f>
        <v>Acre</v>
      </c>
      <c r="F72" s="290">
        <f>LOOKUP(B72,'1.2 EDU Factors'!$A$12:$A$36, '1.2 EDU Factors'!$E$12:$E$36)</f>
        <v>2.8923267326732671</v>
      </c>
      <c r="G72" s="291">
        <f t="shared" si="7"/>
        <v>197.46847668564354</v>
      </c>
      <c r="I72" s="293" t="str">
        <f>LOOKUP(B72,'1.2 EDU Factors'!$A$12:$A$36, '1.2 EDU Factors'!$G$12:$G$36)</f>
        <v>Dwelling Unit</v>
      </c>
      <c r="J72" s="290">
        <f>LOOKUP(B72,'1.2 EDU Factors'!$A$12:$A$36, '1.2 EDU Factors'!$H$12:$H$36)</f>
        <v>19.974358974358974</v>
      </c>
      <c r="K72" s="291">
        <f t="shared" si="8"/>
        <v>1363.7139244615385</v>
      </c>
      <c r="L72" s="290">
        <f>LOOKUP(B72,'1.2 EDU Factors'!$A$12:$A$36, '1.2 EDU Factors'!$J$12:$J$36)</f>
        <v>0.73124999999999996</v>
      </c>
      <c r="M72" s="291">
        <f t="shared" si="9"/>
        <v>997.21580726249988</v>
      </c>
    </row>
    <row r="73" spans="1:13" x14ac:dyDescent="0.2">
      <c r="A73" s="276"/>
      <c r="B73" s="272" t="s">
        <v>237</v>
      </c>
      <c r="C73" s="273">
        <v>563.79220399999997</v>
      </c>
      <c r="D73" s="273"/>
      <c r="E73" s="293" t="str">
        <f>LOOKUP(B73,'1.2 EDU Factors'!$A$12:$A$36, '1.2 EDU Factors'!$C$12:$C$36)</f>
        <v>Acre</v>
      </c>
      <c r="F73" s="290">
        <f>LOOKUP(B73,'1.2 EDU Factors'!$A$12:$A$36, '1.2 EDU Factors'!$E$12:$E$36)</f>
        <v>1.2376237623762376</v>
      </c>
      <c r="G73" s="291">
        <f t="shared" si="7"/>
        <v>697.76262871287122</v>
      </c>
      <c r="I73" s="293" t="str">
        <f>LOOKUP(B73,'1.2 EDU Factors'!$A$12:$A$36, '1.2 EDU Factors'!$G$12:$G$36)</f>
        <v>Acre</v>
      </c>
      <c r="J73" s="290">
        <f>LOOKUP(B73,'1.2 EDU Factors'!$A$12:$A$36, '1.2 EDU Factors'!$H$12:$H$36)</f>
        <v>1</v>
      </c>
      <c r="K73" s="291">
        <f t="shared" si="8"/>
        <v>563.79220399999997</v>
      </c>
      <c r="L73" s="290">
        <f>LOOKUP(B73,'1.2 EDU Factors'!$A$12:$A$36, '1.2 EDU Factors'!$J$12:$J$36)</f>
        <v>6.25</v>
      </c>
      <c r="M73" s="291">
        <f t="shared" si="9"/>
        <v>3523.7012749999999</v>
      </c>
    </row>
    <row r="74" spans="1:13" x14ac:dyDescent="0.2">
      <c r="A74" s="276"/>
      <c r="B74" s="272" t="s">
        <v>229</v>
      </c>
      <c r="C74" s="273">
        <v>1934.059522</v>
      </c>
      <c r="D74" s="273"/>
      <c r="E74" s="293" t="str">
        <f>LOOKUP(B74,'1.2 EDU Factors'!$A$12:$A$36, '1.2 EDU Factors'!$C$12:$C$36)</f>
        <v>Acre</v>
      </c>
      <c r="F74" s="290">
        <f>LOOKUP(B74,'1.2 EDU Factors'!$A$12:$A$36, '1.2 EDU Factors'!$E$12:$E$36)</f>
        <v>1</v>
      </c>
      <c r="G74" s="291">
        <f t="shared" si="7"/>
        <v>1934.059522</v>
      </c>
      <c r="I74" s="293" t="str">
        <f>LOOKUP(B74,'1.2 EDU Factors'!$A$12:$A$36, '1.2 EDU Factors'!$G$12:$G$36)</f>
        <v>Dwelling Unit</v>
      </c>
      <c r="J74" s="290">
        <f>LOOKUP(B74,'1.2 EDU Factors'!$A$12:$A$36, '1.2 EDU Factors'!$H$12:$H$36)</f>
        <v>5.05</v>
      </c>
      <c r="K74" s="291">
        <f t="shared" si="8"/>
        <v>9767.0005860999991</v>
      </c>
      <c r="L74" s="290">
        <f>LOOKUP(B74,'1.2 EDU Factors'!$A$12:$A$36, '1.2 EDU Factors'!$J$12:$J$36)</f>
        <v>1</v>
      </c>
      <c r="M74" s="291">
        <f t="shared" si="9"/>
        <v>9767.0005860999991</v>
      </c>
    </row>
    <row r="75" spans="1:13" x14ac:dyDescent="0.2">
      <c r="A75" s="276"/>
      <c r="B75" s="272" t="s">
        <v>230</v>
      </c>
      <c r="C75" s="273">
        <v>180.02126100000001</v>
      </c>
      <c r="D75" s="273"/>
      <c r="E75" s="293" t="str">
        <f>LOOKUP(B75,'1.2 EDU Factors'!$A$12:$A$36, '1.2 EDU Factors'!$C$12:$C$36)</f>
        <v>Acre</v>
      </c>
      <c r="F75" s="290">
        <f>LOOKUP(B75,'1.2 EDU Factors'!$A$12:$A$36, '1.2 EDU Factors'!$E$12:$E$36)</f>
        <v>1.2376237623762376</v>
      </c>
      <c r="G75" s="291">
        <f t="shared" si="7"/>
        <v>222.79859034653467</v>
      </c>
      <c r="I75" s="293" t="str">
        <f>LOOKUP(B75,'1.2 EDU Factors'!$A$12:$A$36, '1.2 EDU Factors'!$G$12:$G$36)</f>
        <v>Acre</v>
      </c>
      <c r="J75" s="290">
        <f>LOOKUP(B75,'1.2 EDU Factors'!$A$12:$A$36, '1.2 EDU Factors'!$H$12:$H$36)</f>
        <v>1</v>
      </c>
      <c r="K75" s="291">
        <f t="shared" si="8"/>
        <v>180.02126100000001</v>
      </c>
      <c r="L75" s="290">
        <f>LOOKUP(B75,'1.2 EDU Factors'!$A$12:$A$36, '1.2 EDU Factors'!$J$12:$J$36)</f>
        <v>6.25</v>
      </c>
      <c r="M75" s="291">
        <f t="shared" si="9"/>
        <v>1125.1328812500001</v>
      </c>
    </row>
    <row r="76" spans="1:13" x14ac:dyDescent="0.2">
      <c r="A76" s="276"/>
      <c r="B76" s="272" t="s">
        <v>231</v>
      </c>
      <c r="C76" s="273">
        <v>113.576701</v>
      </c>
      <c r="D76" s="273"/>
      <c r="E76" s="293" t="str">
        <f>LOOKUP(B76,'1.2 EDU Factors'!$A$12:$A$36, '1.2 EDU Factors'!$C$12:$C$36)</f>
        <v>Acre</v>
      </c>
      <c r="F76" s="290">
        <f>LOOKUP(B76,'1.2 EDU Factors'!$A$12:$A$36, '1.2 EDU Factors'!$E$12:$E$36)</f>
        <v>1.6658415841584158</v>
      </c>
      <c r="G76" s="291">
        <f t="shared" si="7"/>
        <v>189.20079151732673</v>
      </c>
      <c r="I76" s="293" t="str">
        <f>LOOKUP(B76,'1.2 EDU Factors'!$A$12:$A$36, '1.2 EDU Factors'!$G$12:$G$36)</f>
        <v>Dwelling Unit</v>
      </c>
      <c r="J76" s="290">
        <f>LOOKUP(B76,'1.2 EDU Factors'!$A$12:$A$36, '1.2 EDU Factors'!$H$12:$H$36)</f>
        <v>11.504273504273504</v>
      </c>
      <c r="K76" s="291">
        <f t="shared" si="8"/>
        <v>1306.617432017094</v>
      </c>
      <c r="L76" s="290">
        <f>LOOKUP(B76,'1.2 EDU Factors'!$A$12:$A$36, '1.2 EDU Factors'!$J$12:$J$36)</f>
        <v>0.73124999999999996</v>
      </c>
      <c r="M76" s="291">
        <f t="shared" si="9"/>
        <v>955.46399716249994</v>
      </c>
    </row>
    <row r="77" spans="1:13" x14ac:dyDescent="0.2">
      <c r="A77" s="276"/>
      <c r="B77" s="272" t="s">
        <v>232</v>
      </c>
      <c r="C77" s="273">
        <v>20.52543</v>
      </c>
      <c r="D77" s="273"/>
      <c r="E77" s="293" t="str">
        <f>LOOKUP(B77,'1.2 EDU Factors'!$A$12:$A$36, '1.2 EDU Factors'!$C$12:$C$36)</f>
        <v>Acre</v>
      </c>
      <c r="F77" s="290">
        <f>LOOKUP(B77,'1.2 EDU Factors'!$A$12:$A$36, '1.2 EDU Factors'!$E$12:$E$36)</f>
        <v>1.386138613861386</v>
      </c>
      <c r="G77" s="291">
        <f t="shared" si="7"/>
        <v>28.45109108910891</v>
      </c>
      <c r="I77" s="293" t="str">
        <f>LOOKUP(B77,'1.2 EDU Factors'!$A$12:$A$36, '1.2 EDU Factors'!$G$12:$G$36)</f>
        <v>Acre</v>
      </c>
      <c r="J77" s="290">
        <f>LOOKUP(B77,'1.2 EDU Factors'!$A$12:$A$36, '1.2 EDU Factors'!$H$12:$H$36)</f>
        <v>1</v>
      </c>
      <c r="K77" s="291">
        <f t="shared" si="8"/>
        <v>20.52543</v>
      </c>
      <c r="L77" s="290">
        <f>LOOKUP(B77,'1.2 EDU Factors'!$A$12:$A$36, '1.2 EDU Factors'!$J$12:$J$36)</f>
        <v>7</v>
      </c>
      <c r="M77" s="291">
        <f t="shared" si="9"/>
        <v>143.67801</v>
      </c>
    </row>
    <row r="78" spans="1:13" x14ac:dyDescent="0.2">
      <c r="A78" s="276"/>
      <c r="B78" s="272" t="s">
        <v>233</v>
      </c>
      <c r="C78" s="273">
        <v>108.351705</v>
      </c>
      <c r="D78" s="273"/>
      <c r="E78" s="293" t="str">
        <f>LOOKUP(B78,'1.2 EDU Factors'!$A$12:$A$36, '1.2 EDU Factors'!$C$12:$C$36)</f>
        <v>Acre</v>
      </c>
      <c r="F78" s="290">
        <f>LOOKUP(B78,'1.2 EDU Factors'!$A$12:$A$36, '1.2 EDU Factors'!$E$12:$E$36)</f>
        <v>0.49504950495049505</v>
      </c>
      <c r="G78" s="291">
        <f t="shared" si="7"/>
        <v>53.639457920792076</v>
      </c>
      <c r="I78" s="293" t="str">
        <f>LOOKUP(B78,'1.2 EDU Factors'!$A$12:$A$36, '1.2 EDU Factors'!$G$12:$G$36)</f>
        <v>Acre</v>
      </c>
      <c r="J78" s="290">
        <f>LOOKUP(B78,'1.2 EDU Factors'!$A$12:$A$36, '1.2 EDU Factors'!$H$12:$H$36)</f>
        <v>1</v>
      </c>
      <c r="K78" s="291">
        <f t="shared" si="8"/>
        <v>108.351705</v>
      </c>
      <c r="L78" s="290">
        <f>LOOKUP(B78,'1.2 EDU Factors'!$A$12:$A$36, '1.2 EDU Factors'!$J$12:$J$36)</f>
        <v>2.5</v>
      </c>
      <c r="M78" s="291">
        <f t="shared" si="9"/>
        <v>270.87926249999998</v>
      </c>
    </row>
    <row r="79" spans="1:13" x14ac:dyDescent="0.2">
      <c r="A79" s="276"/>
      <c r="B79" s="272" t="s">
        <v>239</v>
      </c>
      <c r="C79" s="273">
        <v>85.042383999999998</v>
      </c>
      <c r="D79" s="273"/>
      <c r="E79" s="293" t="str">
        <f>LOOKUP(B79,'1.2 EDU Factors'!$A$12:$A$36, '1.2 EDU Factors'!$C$12:$C$36)</f>
        <v>Acre</v>
      </c>
      <c r="F79" s="290">
        <f>LOOKUP(B79,'1.2 EDU Factors'!$A$12:$A$36, '1.2 EDU Factors'!$E$12:$E$36)</f>
        <v>0.52599009900990101</v>
      </c>
      <c r="G79" s="291">
        <f t="shared" si="7"/>
        <v>44.731451980198024</v>
      </c>
      <c r="I79" s="293" t="str">
        <f>LOOKUP(B79,'1.2 EDU Factors'!$A$12:$A$36, '1.2 EDU Factors'!$G$12:$G$36)</f>
        <v>Acre</v>
      </c>
      <c r="J79" s="290">
        <f>LOOKUP(B79,'1.2 EDU Factors'!$A$12:$A$36, '1.2 EDU Factors'!$H$12:$H$36)</f>
        <v>1</v>
      </c>
      <c r="K79" s="291">
        <f t="shared" si="8"/>
        <v>85.042383999999998</v>
      </c>
      <c r="L79" s="290">
        <f>LOOKUP(B79,'1.2 EDU Factors'!$A$12:$A$36, '1.2 EDU Factors'!$J$12:$J$36)</f>
        <v>2.65625</v>
      </c>
      <c r="M79" s="291">
        <f t="shared" si="9"/>
        <v>225.8938325</v>
      </c>
    </row>
    <row r="80" spans="1:13" x14ac:dyDescent="0.2">
      <c r="A80" s="276"/>
      <c r="B80" s="272" t="s">
        <v>240</v>
      </c>
      <c r="C80" s="273">
        <v>1130.5527509999999</v>
      </c>
      <c r="D80" s="273"/>
      <c r="E80" s="293" t="str">
        <f>LOOKUP(B80,'1.2 EDU Factors'!$A$12:$A$36, '1.2 EDU Factors'!$C$12:$C$36)</f>
        <v>Acre</v>
      </c>
      <c r="F80" s="290">
        <f>LOOKUP(B80,'1.2 EDU Factors'!$A$12:$A$36, '1.2 EDU Factors'!$E$12:$E$36)</f>
        <v>0.39603960396039606</v>
      </c>
      <c r="G80" s="291">
        <f t="shared" si="7"/>
        <v>447.74366376237623</v>
      </c>
      <c r="I80" s="293" t="str">
        <f>LOOKUP(B80,'1.2 EDU Factors'!$A$12:$A$36, '1.2 EDU Factors'!$G$12:$G$36)</f>
        <v>Acre</v>
      </c>
      <c r="J80" s="290">
        <f>LOOKUP(B80,'1.2 EDU Factors'!$A$12:$A$36, '1.2 EDU Factors'!$H$12:$H$36)</f>
        <v>1</v>
      </c>
      <c r="K80" s="291">
        <f t="shared" si="8"/>
        <v>1130.5527509999999</v>
      </c>
      <c r="L80" s="290">
        <f>LOOKUP(B80,'1.2 EDU Factors'!$A$12:$A$36, '1.2 EDU Factors'!$J$12:$J$36)</f>
        <v>2</v>
      </c>
      <c r="M80" s="291">
        <f t="shared" si="9"/>
        <v>2261.1055019999999</v>
      </c>
    </row>
    <row r="81" spans="1:13" x14ac:dyDescent="0.2">
      <c r="A81" s="276"/>
      <c r="B81" s="272" t="s">
        <v>241</v>
      </c>
      <c r="C81" s="273">
        <v>459.19615099999999</v>
      </c>
      <c r="D81" s="273"/>
      <c r="E81" s="293" t="str">
        <f>LOOKUP(B81,'1.2 EDU Factors'!$A$12:$A$36, '1.2 EDU Factors'!$C$12:$C$36)</f>
        <v>Acre</v>
      </c>
      <c r="F81" s="290">
        <f>LOOKUP(B81,'1.2 EDU Factors'!$A$12:$A$36, '1.2 EDU Factors'!$E$12:$E$36)</f>
        <v>0</v>
      </c>
      <c r="G81" s="291">
        <f t="shared" si="7"/>
        <v>0</v>
      </c>
      <c r="I81" s="293" t="str">
        <f>LOOKUP(B81,'1.2 EDU Factors'!$A$12:$A$36, '1.2 EDU Factors'!$G$12:$G$36)</f>
        <v>Acre</v>
      </c>
      <c r="J81" s="290">
        <f>LOOKUP(B81,'1.2 EDU Factors'!$A$12:$A$36, '1.2 EDU Factors'!$H$12:$H$36)</f>
        <v>0</v>
      </c>
      <c r="K81" s="291">
        <f t="shared" si="8"/>
        <v>0</v>
      </c>
      <c r="L81" s="290">
        <f>LOOKUP(B81,'1.2 EDU Factors'!$A$12:$A$36, '1.2 EDU Factors'!$J$12:$J$36)</f>
        <v>0</v>
      </c>
      <c r="M81" s="291">
        <f t="shared" si="9"/>
        <v>0</v>
      </c>
    </row>
    <row r="82" spans="1:13" x14ac:dyDescent="0.2">
      <c r="A82" s="276"/>
      <c r="B82" s="272" t="s">
        <v>253</v>
      </c>
      <c r="C82" s="273">
        <v>338.69793499999997</v>
      </c>
      <c r="D82" s="273"/>
      <c r="E82" s="293" t="str">
        <f>LOOKUP(B82,'1.2 EDU Factors'!$A$12:$A$36, '1.2 EDU Factors'!$C$12:$C$36)</f>
        <v>Acre</v>
      </c>
      <c r="F82" s="290">
        <f>LOOKUP(B82,'1.2 EDU Factors'!$A$12:$A$36, '1.2 EDU Factors'!$E$12:$E$36)</f>
        <v>1.4851485148514851</v>
      </c>
      <c r="G82" s="291">
        <f t="shared" si="7"/>
        <v>503.01673514851478</v>
      </c>
      <c r="I82" s="293" t="str">
        <f>LOOKUP(B82,'1.2 EDU Factors'!$A$12:$A$36, '1.2 EDU Factors'!$G$12:$G$36)</f>
        <v>Acre</v>
      </c>
      <c r="J82" s="290">
        <f>LOOKUP(B82,'1.2 EDU Factors'!$A$12:$A$36, '1.2 EDU Factors'!$H$12:$H$36)</f>
        <v>1</v>
      </c>
      <c r="K82" s="291">
        <f t="shared" si="8"/>
        <v>338.69793499999997</v>
      </c>
      <c r="L82" s="290">
        <f>LOOKUP(B82,'1.2 EDU Factors'!$A$12:$A$36, '1.2 EDU Factors'!$J$12:$J$36)</f>
        <v>7.5</v>
      </c>
      <c r="M82" s="291">
        <f t="shared" si="9"/>
        <v>2540.2345124999997</v>
      </c>
    </row>
    <row r="83" spans="1:13" x14ac:dyDescent="0.2">
      <c r="A83" s="276"/>
      <c r="B83" s="272" t="s">
        <v>242</v>
      </c>
      <c r="C83" s="273">
        <v>293.76250499999998</v>
      </c>
      <c r="D83" s="273"/>
      <c r="E83" s="293" t="str">
        <f>LOOKUP(B83,'1.2 EDU Factors'!$A$12:$A$36, '1.2 EDU Factors'!$C$12:$C$36)</f>
        <v>Acre</v>
      </c>
      <c r="F83" s="290">
        <f>LOOKUP(B83,'1.2 EDU Factors'!$A$12:$A$36, '1.2 EDU Factors'!$E$12:$E$36)</f>
        <v>3.0606435643564356</v>
      </c>
      <c r="G83" s="291">
        <f t="shared" si="7"/>
        <v>899.10232037747517</v>
      </c>
      <c r="I83" s="293" t="str">
        <f>LOOKUP(B83,'1.2 EDU Factors'!$A$12:$A$36, '1.2 EDU Factors'!$G$12:$G$36)</f>
        <v>Acre</v>
      </c>
      <c r="J83" s="290">
        <f>LOOKUP(B83,'1.2 EDU Factors'!$A$12:$A$36, '1.2 EDU Factors'!$H$12:$H$36)</f>
        <v>1</v>
      </c>
      <c r="K83" s="291">
        <f t="shared" si="8"/>
        <v>293.76250499999998</v>
      </c>
      <c r="L83" s="290">
        <f>LOOKUP(B83,'1.2 EDU Factors'!$A$12:$A$36, '1.2 EDU Factors'!$J$12:$J$36)</f>
        <v>15.456250000000001</v>
      </c>
      <c r="M83" s="291">
        <f t="shared" si="9"/>
        <v>4540.4667179062499</v>
      </c>
    </row>
    <row r="84" spans="1:13" x14ac:dyDescent="0.2">
      <c r="A84" s="276"/>
      <c r="B84" s="272" t="s">
        <v>244</v>
      </c>
      <c r="C84" s="273">
        <v>481.46015399999999</v>
      </c>
      <c r="D84" s="273"/>
      <c r="E84" s="293" t="str">
        <f>LOOKUP(B84,'1.2 EDU Factors'!$A$12:$A$36, '1.2 EDU Factors'!$C$12:$C$36)</f>
        <v>Acre</v>
      </c>
      <c r="F84" s="290">
        <f>LOOKUP(B84,'1.2 EDU Factors'!$A$12:$A$36, '1.2 EDU Factors'!$E$12:$E$36)</f>
        <v>1</v>
      </c>
      <c r="G84" s="291">
        <f t="shared" si="7"/>
        <v>481.46015399999999</v>
      </c>
      <c r="I84" s="293" t="str">
        <f>LOOKUP(B84,'1.2 EDU Factors'!$A$12:$A$36, '1.2 EDU Factors'!$G$12:$G$36)</f>
        <v>Dwelling Unit</v>
      </c>
      <c r="J84" s="290">
        <f>LOOKUP(B84,'1.2 EDU Factors'!$A$12:$A$36, '1.2 EDU Factors'!$H$12:$H$36)</f>
        <v>5.05</v>
      </c>
      <c r="K84" s="291">
        <f t="shared" si="8"/>
        <v>2431.3737776999997</v>
      </c>
      <c r="L84" s="290">
        <f>LOOKUP(B84,'1.2 EDU Factors'!$A$12:$A$36, '1.2 EDU Factors'!$J$12:$J$36)</f>
        <v>1</v>
      </c>
      <c r="M84" s="291">
        <f t="shared" si="9"/>
        <v>2431.3737776999997</v>
      </c>
    </row>
    <row r="85" spans="1:13" x14ac:dyDescent="0.2">
      <c r="A85" s="276"/>
      <c r="B85" s="272" t="s">
        <v>247</v>
      </c>
      <c r="C85" s="273">
        <v>29.960425000000001</v>
      </c>
      <c r="D85" s="273"/>
      <c r="E85" s="293" t="str">
        <f>LOOKUP(B85,'1.2 EDU Factors'!$A$12:$A$36, '1.2 EDU Factors'!$C$12:$C$36)</f>
        <v>Acre</v>
      </c>
      <c r="F85" s="290">
        <f>LOOKUP(B85,'1.2 EDU Factors'!$A$12:$A$36, '1.2 EDU Factors'!$E$12:$E$36)</f>
        <v>0.49504950495049505</v>
      </c>
      <c r="G85" s="291">
        <f t="shared" si="7"/>
        <v>14.831893564356436</v>
      </c>
      <c r="I85" s="293" t="str">
        <f>LOOKUP(B85,'1.2 EDU Factors'!$A$12:$A$36, '1.2 EDU Factors'!$G$12:$G$36)</f>
        <v>Acre</v>
      </c>
      <c r="J85" s="290">
        <f>LOOKUP(B85,'1.2 EDU Factors'!$A$12:$A$36, '1.2 EDU Factors'!$H$12:$H$36)</f>
        <v>1</v>
      </c>
      <c r="K85" s="291">
        <f t="shared" si="8"/>
        <v>29.960425000000001</v>
      </c>
      <c r="L85" s="290">
        <f>LOOKUP(B85,'1.2 EDU Factors'!$A$12:$A$36, '1.2 EDU Factors'!$J$12:$J$36)</f>
        <v>2.5</v>
      </c>
      <c r="M85" s="291">
        <f t="shared" si="9"/>
        <v>74.901062499999995</v>
      </c>
    </row>
    <row r="86" spans="1:13" x14ac:dyDescent="0.2">
      <c r="A86" s="276"/>
      <c r="B86" s="272" t="s">
        <v>249</v>
      </c>
      <c r="C86" s="273">
        <v>78.736902000000001</v>
      </c>
      <c r="D86" s="273"/>
      <c r="E86" s="293" t="str">
        <f>LOOKUP(B86,'1.2 EDU Factors'!$A$12:$A$36, '1.2 EDU Factors'!$C$12:$C$36)</f>
        <v>Acre</v>
      </c>
      <c r="F86" s="290">
        <f>LOOKUP(B86,'1.2 EDU Factors'!$A$12:$A$36, '1.2 EDU Factors'!$E$12:$E$36)</f>
        <v>0.39603960396039606</v>
      </c>
      <c r="G86" s="291">
        <f t="shared" si="7"/>
        <v>31.182931485148515</v>
      </c>
      <c r="I86" s="293" t="str">
        <f>LOOKUP(B86,'1.2 EDU Factors'!$A$12:$A$36, '1.2 EDU Factors'!$G$12:$G$36)</f>
        <v>Dwelling Unit</v>
      </c>
      <c r="J86" s="290">
        <f>LOOKUP(B86,'1.2 EDU Factors'!$A$12:$A$36, '1.2 EDU Factors'!$H$12:$H$36)</f>
        <v>2</v>
      </c>
      <c r="K86" s="291">
        <f t="shared" si="8"/>
        <v>157.473804</v>
      </c>
      <c r="L86" s="290">
        <f>LOOKUP(B86,'1.2 EDU Factors'!$A$12:$A$36, '1.2 EDU Factors'!$J$12:$J$36)</f>
        <v>1</v>
      </c>
      <c r="M86" s="291">
        <f t="shared" si="9"/>
        <v>157.473804</v>
      </c>
    </row>
    <row r="87" spans="1:13" x14ac:dyDescent="0.2">
      <c r="A87" s="276"/>
      <c r="B87" s="272" t="s">
        <v>234</v>
      </c>
      <c r="C87" s="273">
        <v>524.78247399999998</v>
      </c>
      <c r="D87" s="273"/>
      <c r="E87" s="293" t="str">
        <f>LOOKUP(B87,'1.2 EDU Factors'!$A$12:$A$36, '1.2 EDU Factors'!$C$12:$C$36)</f>
        <v>Acre</v>
      </c>
      <c r="F87" s="290">
        <f>LOOKUP(B87,'1.2 EDU Factors'!$A$12:$A$36, '1.2 EDU Factors'!$E$12:$E$36)</f>
        <v>0.39603960396039606</v>
      </c>
      <c r="G87" s="291">
        <f t="shared" si="7"/>
        <v>207.83464316831683</v>
      </c>
      <c r="I87" s="293" t="str">
        <f>LOOKUP(B87,'1.2 EDU Factors'!$A$12:$A$36, '1.2 EDU Factors'!$G$12:$G$36)</f>
        <v>Dwelling Unit</v>
      </c>
      <c r="J87" s="290">
        <f>LOOKUP(B87,'1.2 EDU Factors'!$A$12:$A$36, '1.2 EDU Factors'!$H$12:$H$36)</f>
        <v>2</v>
      </c>
      <c r="K87" s="291">
        <f t="shared" si="8"/>
        <v>1049.564948</v>
      </c>
      <c r="L87" s="290">
        <f>LOOKUP(B87,'1.2 EDU Factors'!$A$12:$A$36, '1.2 EDU Factors'!$J$12:$J$36)</f>
        <v>1</v>
      </c>
      <c r="M87" s="291">
        <f t="shared" si="9"/>
        <v>1049.564948</v>
      </c>
    </row>
    <row r="88" spans="1:13" x14ac:dyDescent="0.2">
      <c r="A88" s="276"/>
      <c r="B88" s="272"/>
      <c r="C88" s="306"/>
      <c r="D88" s="273"/>
      <c r="E88" s="293"/>
      <c r="F88" s="290"/>
      <c r="G88" s="307"/>
      <c r="I88" s="293"/>
      <c r="J88" s="290"/>
      <c r="K88" s="291"/>
      <c r="L88" s="290"/>
      <c r="M88" s="307"/>
    </row>
    <row r="89" spans="1:13" x14ac:dyDescent="0.2">
      <c r="A89" s="276"/>
      <c r="B89" s="272"/>
      <c r="C89" s="273"/>
      <c r="D89" s="273"/>
      <c r="E89" s="293"/>
      <c r="F89" s="290"/>
      <c r="G89" s="291"/>
      <c r="I89" s="293"/>
      <c r="J89" s="290"/>
      <c r="K89" s="291"/>
      <c r="L89" s="290"/>
      <c r="M89" s="291"/>
    </row>
    <row r="90" spans="1:13" x14ac:dyDescent="0.2">
      <c r="A90" s="276" t="s">
        <v>442</v>
      </c>
      <c r="B90" s="272"/>
      <c r="C90" s="273">
        <f>SUM(C68:C88)</f>
        <v>7049.792031</v>
      </c>
      <c r="D90" s="273"/>
      <c r="E90" s="293"/>
      <c r="F90" s="290"/>
      <c r="G90" s="273">
        <f>SUM(G68:G88)</f>
        <v>6814.8691294925738</v>
      </c>
      <c r="I90" s="293"/>
      <c r="J90" s="290"/>
      <c r="K90" s="291"/>
      <c r="L90" s="290"/>
      <c r="M90" s="273">
        <f>SUM(M68:M88)</f>
        <v>34415.089103937498</v>
      </c>
    </row>
    <row r="91" spans="1:13" x14ac:dyDescent="0.2">
      <c r="A91" s="279" t="s">
        <v>433</v>
      </c>
      <c r="G91" s="291">
        <f>$G$125</f>
        <v>808</v>
      </c>
      <c r="H91" s="286"/>
      <c r="I91" s="293"/>
      <c r="J91" s="290"/>
      <c r="K91" s="291"/>
      <c r="L91" s="290"/>
      <c r="M91" s="291">
        <f>$M$125</f>
        <v>160</v>
      </c>
    </row>
    <row r="92" spans="1:13" x14ac:dyDescent="0.2">
      <c r="A92" s="279" t="s">
        <v>434</v>
      </c>
      <c r="G92" s="291">
        <f>G90*G91</f>
        <v>5506414.2566299997</v>
      </c>
      <c r="H92" s="286"/>
      <c r="I92" s="286"/>
      <c r="J92" s="286"/>
      <c r="K92" s="291"/>
      <c r="L92" s="286"/>
      <c r="M92" s="291">
        <f>M90*M91</f>
        <v>5506414.2566299997</v>
      </c>
    </row>
    <row r="93" spans="1:13" x14ac:dyDescent="0.2">
      <c r="A93" s="276"/>
      <c r="B93" s="272"/>
      <c r="C93" s="273"/>
      <c r="D93" s="273"/>
      <c r="E93" s="273"/>
      <c r="G93" s="291"/>
      <c r="K93" s="97"/>
      <c r="L93" s="290"/>
      <c r="M93" s="291"/>
    </row>
    <row r="94" spans="1:13" x14ac:dyDescent="0.2">
      <c r="A94" s="276"/>
      <c r="B94" s="272"/>
      <c r="C94" s="273"/>
      <c r="D94" s="273"/>
      <c r="E94" s="273"/>
      <c r="G94" s="291"/>
      <c r="K94" s="97"/>
      <c r="L94" s="290"/>
      <c r="M94" s="291"/>
    </row>
    <row r="95" spans="1:13" x14ac:dyDescent="0.2">
      <c r="A95" s="271" t="s">
        <v>254</v>
      </c>
      <c r="B95" s="272" t="s">
        <v>236</v>
      </c>
      <c r="C95" s="273">
        <v>191.42892800000001</v>
      </c>
      <c r="D95" s="273"/>
      <c r="E95" s="290">
        <v>0</v>
      </c>
      <c r="F95" s="290">
        <f>LOOKUP(B95,'1.2 EDU Factors'!$A$12:$A$36, '1.2 EDU Factors'!$E$12:$E$36)</f>
        <v>0</v>
      </c>
      <c r="G95" s="291">
        <f t="shared" ref="G95:G105" si="10">F95*C95</f>
        <v>0</v>
      </c>
      <c r="I95" s="293" t="str">
        <f>LOOKUP(B95,'1.2 EDU Factors'!$A$12:$A$36, '1.2 EDU Factors'!$G$12:$G$36)</f>
        <v>Acre</v>
      </c>
      <c r="J95" s="290">
        <f>LOOKUP(B95,'1.2 EDU Factors'!$A$12:$A$36, '1.2 EDU Factors'!$H$12:$H$36)</f>
        <v>0</v>
      </c>
      <c r="K95" s="291">
        <f t="shared" ref="K95:K105" si="11">J95*C95</f>
        <v>0</v>
      </c>
      <c r="L95" s="290">
        <f>LOOKUP(B95,'1.2 EDU Factors'!$A$12:$A$36, '1.2 EDU Factors'!$J$12:$J$36)</f>
        <v>0</v>
      </c>
      <c r="M95" s="291">
        <f t="shared" ref="M95:M105" si="12">L95*K95</f>
        <v>0</v>
      </c>
    </row>
    <row r="96" spans="1:13" x14ac:dyDescent="0.2">
      <c r="A96" s="276"/>
      <c r="B96" s="272" t="s">
        <v>252</v>
      </c>
      <c r="C96" s="273">
        <v>135.32440500000001</v>
      </c>
      <c r="D96" s="273"/>
      <c r="E96" s="293" t="str">
        <f>LOOKUP(B96,'1.2 EDU Factors'!$A$12:$A$36, '1.2 EDU Factors'!$C$12:$C$36)</f>
        <v>Acre</v>
      </c>
      <c r="F96" s="290">
        <f>LOOKUP(B96,'1.2 EDU Factors'!$A$12:$A$36, '1.2 EDU Factors'!$E$12:$E$36)</f>
        <v>1.4851485148514851</v>
      </c>
      <c r="G96" s="291">
        <f t="shared" si="10"/>
        <v>200.97683910891089</v>
      </c>
      <c r="I96" s="293" t="str">
        <f>LOOKUP(B96,'1.2 EDU Factors'!$A$12:$A$36, '1.2 EDU Factors'!$G$12:$G$36)</f>
        <v>Acre</v>
      </c>
      <c r="J96" s="290">
        <f>LOOKUP(B96,'1.2 EDU Factors'!$A$12:$A$36, '1.2 EDU Factors'!$H$12:$H$36)</f>
        <v>1</v>
      </c>
      <c r="K96" s="291">
        <f t="shared" si="11"/>
        <v>135.32440500000001</v>
      </c>
      <c r="L96" s="290">
        <f>LOOKUP(B96,'1.2 EDU Factors'!$A$12:$A$36, '1.2 EDU Factors'!$J$12:$J$36)</f>
        <v>7.5</v>
      </c>
      <c r="M96" s="291">
        <f t="shared" si="12"/>
        <v>1014.9330375000001</v>
      </c>
    </row>
    <row r="97" spans="1:13" x14ac:dyDescent="0.2">
      <c r="A97" s="276"/>
      <c r="B97" s="272" t="s">
        <v>227</v>
      </c>
      <c r="C97" s="273">
        <v>78.564483999999993</v>
      </c>
      <c r="D97" s="273"/>
      <c r="E97" s="293" t="str">
        <f>LOOKUP(B97,'1.2 EDU Factors'!$A$12:$A$36, '1.2 EDU Factors'!$C$12:$C$36)</f>
        <v>Acre</v>
      </c>
      <c r="F97" s="290">
        <f>LOOKUP(B97,'1.2 EDU Factors'!$A$12:$A$36, '1.2 EDU Factors'!$E$12:$E$36)</f>
        <v>0.92821782178217827</v>
      </c>
      <c r="G97" s="291">
        <f t="shared" si="10"/>
        <v>72.924954207920791</v>
      </c>
      <c r="I97" s="293" t="str">
        <f>LOOKUP(B97,'1.2 EDU Factors'!$A$12:$A$36, '1.2 EDU Factors'!$G$12:$G$36)</f>
        <v>Acre</v>
      </c>
      <c r="J97" s="290">
        <f>LOOKUP(B97,'1.2 EDU Factors'!$A$12:$A$36, '1.2 EDU Factors'!$H$12:$H$36)</f>
        <v>1</v>
      </c>
      <c r="K97" s="291">
        <f t="shared" si="11"/>
        <v>78.564483999999993</v>
      </c>
      <c r="L97" s="290">
        <f>LOOKUP(B97,'1.2 EDU Factors'!$A$12:$A$36, '1.2 EDU Factors'!$J$12:$J$36)</f>
        <v>4.6875</v>
      </c>
      <c r="M97" s="291">
        <f t="shared" si="12"/>
        <v>368.27101874999994</v>
      </c>
    </row>
    <row r="98" spans="1:13" x14ac:dyDescent="0.2">
      <c r="A98" s="276"/>
      <c r="B98" s="272" t="s">
        <v>228</v>
      </c>
      <c r="C98" s="273">
        <v>18.722038000000001</v>
      </c>
      <c r="D98" s="273"/>
      <c r="E98" s="293" t="str">
        <f>LOOKUP(B98,'1.2 EDU Factors'!$A$12:$A$36, '1.2 EDU Factors'!$C$12:$C$36)</f>
        <v>Acre</v>
      </c>
      <c r="F98" s="290">
        <f>LOOKUP(B98,'1.2 EDU Factors'!$A$12:$A$36, '1.2 EDU Factors'!$E$12:$E$36)</f>
        <v>2.8923267326732671</v>
      </c>
      <c r="G98" s="291">
        <f t="shared" si="10"/>
        <v>54.150250997524751</v>
      </c>
      <c r="I98" s="293" t="str">
        <f>LOOKUP(B98,'1.2 EDU Factors'!$A$12:$A$36, '1.2 EDU Factors'!$G$12:$G$36)</f>
        <v>Dwelling Unit</v>
      </c>
      <c r="J98" s="290">
        <f>LOOKUP(B98,'1.2 EDU Factors'!$A$12:$A$36, '1.2 EDU Factors'!$H$12:$H$36)</f>
        <v>19.974358974358974</v>
      </c>
      <c r="K98" s="291">
        <f t="shared" si="11"/>
        <v>373.96070774358975</v>
      </c>
      <c r="L98" s="290">
        <f>LOOKUP(B98,'1.2 EDU Factors'!$A$12:$A$36, '1.2 EDU Factors'!$J$12:$J$36)</f>
        <v>0.73124999999999996</v>
      </c>
      <c r="M98" s="291">
        <f t="shared" si="12"/>
        <v>273.45876753749997</v>
      </c>
    </row>
    <row r="99" spans="1:13" x14ac:dyDescent="0.2">
      <c r="A99" s="276"/>
      <c r="B99" s="272" t="s">
        <v>229</v>
      </c>
      <c r="C99" s="273">
        <v>545.78978700000005</v>
      </c>
      <c r="D99" s="273"/>
      <c r="E99" s="293" t="str">
        <f>LOOKUP(B99,'1.2 EDU Factors'!$A$12:$A$36, '1.2 EDU Factors'!$C$12:$C$36)</f>
        <v>Acre</v>
      </c>
      <c r="F99" s="290">
        <f>LOOKUP(B99,'1.2 EDU Factors'!$A$12:$A$36, '1.2 EDU Factors'!$E$12:$E$36)</f>
        <v>1</v>
      </c>
      <c r="G99" s="291">
        <f t="shared" si="10"/>
        <v>545.78978700000005</v>
      </c>
      <c r="I99" s="293" t="str">
        <f>LOOKUP(B99,'1.2 EDU Factors'!$A$12:$A$36, '1.2 EDU Factors'!$G$12:$G$36)</f>
        <v>Dwelling Unit</v>
      </c>
      <c r="J99" s="290">
        <f>LOOKUP(B99,'1.2 EDU Factors'!$A$12:$A$36, '1.2 EDU Factors'!$H$12:$H$36)</f>
        <v>5.05</v>
      </c>
      <c r="K99" s="291">
        <f t="shared" si="11"/>
        <v>2756.2384243500001</v>
      </c>
      <c r="L99" s="290">
        <f>LOOKUP(B99,'1.2 EDU Factors'!$A$12:$A$36, '1.2 EDU Factors'!$J$12:$J$36)</f>
        <v>1</v>
      </c>
      <c r="M99" s="291">
        <f t="shared" si="12"/>
        <v>2756.2384243500001</v>
      </c>
    </row>
    <row r="100" spans="1:13" x14ac:dyDescent="0.2">
      <c r="A100" s="276"/>
      <c r="B100" s="272" t="s">
        <v>231</v>
      </c>
      <c r="C100" s="273">
        <v>48.975785000000002</v>
      </c>
      <c r="D100" s="273"/>
      <c r="E100" s="293" t="str">
        <f>LOOKUP(B100,'1.2 EDU Factors'!$A$12:$A$36, '1.2 EDU Factors'!$C$12:$C$36)</f>
        <v>Acre</v>
      </c>
      <c r="F100" s="290">
        <f>LOOKUP(B100,'1.2 EDU Factors'!$A$12:$A$36, '1.2 EDU Factors'!$E$12:$E$36)</f>
        <v>1.6658415841584158</v>
      </c>
      <c r="G100" s="291">
        <f t="shared" si="10"/>
        <v>81.585899269801985</v>
      </c>
      <c r="I100" s="293" t="str">
        <f>LOOKUP(B100,'1.2 EDU Factors'!$A$12:$A$36, '1.2 EDU Factors'!$G$12:$G$36)</f>
        <v>Dwelling Unit</v>
      </c>
      <c r="J100" s="290">
        <f>LOOKUP(B100,'1.2 EDU Factors'!$A$12:$A$36, '1.2 EDU Factors'!$H$12:$H$36)</f>
        <v>11.504273504273504</v>
      </c>
      <c r="K100" s="291">
        <f t="shared" si="11"/>
        <v>563.43082572649575</v>
      </c>
      <c r="L100" s="290">
        <f>LOOKUP(B100,'1.2 EDU Factors'!$A$12:$A$36, '1.2 EDU Factors'!$J$12:$J$36)</f>
        <v>0.73124999999999996</v>
      </c>
      <c r="M100" s="291">
        <f t="shared" si="12"/>
        <v>412.00879131250002</v>
      </c>
    </row>
    <row r="101" spans="1:13" x14ac:dyDescent="0.2">
      <c r="A101" s="276"/>
      <c r="B101" s="272" t="s">
        <v>238</v>
      </c>
      <c r="C101" s="273">
        <v>428.98151100000001</v>
      </c>
      <c r="D101" s="273"/>
      <c r="E101" s="293" t="str">
        <f>LOOKUP(B101,'1.2 EDU Factors'!$A$12:$A$36, '1.2 EDU Factors'!$C$12:$C$36)</f>
        <v>Acre</v>
      </c>
      <c r="F101" s="290">
        <f>LOOKUP(B101,'1.2 EDU Factors'!$A$12:$A$36, '1.2 EDU Factors'!$E$12:$E$36)</f>
        <v>0</v>
      </c>
      <c r="G101" s="291">
        <f t="shared" si="10"/>
        <v>0</v>
      </c>
      <c r="I101" s="293" t="str">
        <f>LOOKUP(B101,'1.2 EDU Factors'!$A$12:$A$36, '1.2 EDU Factors'!$G$12:$G$36)</f>
        <v>Acre</v>
      </c>
      <c r="J101" s="290">
        <f>LOOKUP(B101,'1.2 EDU Factors'!$A$12:$A$36, '1.2 EDU Factors'!$H$12:$H$36)</f>
        <v>1</v>
      </c>
      <c r="K101" s="291">
        <f t="shared" si="11"/>
        <v>428.98151100000001</v>
      </c>
      <c r="L101" s="290">
        <f>LOOKUP(B101,'1.2 EDU Factors'!$A$12:$A$36, '1.2 EDU Factors'!$J$12:$J$36)</f>
        <v>0</v>
      </c>
      <c r="M101" s="291">
        <f t="shared" si="12"/>
        <v>0</v>
      </c>
    </row>
    <row r="102" spans="1:13" x14ac:dyDescent="0.2">
      <c r="A102" s="276"/>
      <c r="B102" s="272" t="s">
        <v>253</v>
      </c>
      <c r="C102" s="273">
        <v>70.002771999999993</v>
      </c>
      <c r="D102" s="273"/>
      <c r="E102" s="293" t="str">
        <f>LOOKUP(B102,'1.2 EDU Factors'!$A$12:$A$36, '1.2 EDU Factors'!$C$12:$C$36)</f>
        <v>Acre</v>
      </c>
      <c r="F102" s="290">
        <f>LOOKUP(B102,'1.2 EDU Factors'!$A$12:$A$36, '1.2 EDU Factors'!$E$12:$E$36)</f>
        <v>1.4851485148514851</v>
      </c>
      <c r="G102" s="291">
        <f t="shared" si="10"/>
        <v>103.96451287128711</v>
      </c>
      <c r="I102" s="293" t="str">
        <f>LOOKUP(B102,'1.2 EDU Factors'!$A$12:$A$36, '1.2 EDU Factors'!$G$12:$G$36)</f>
        <v>Acre</v>
      </c>
      <c r="J102" s="290">
        <f>LOOKUP(B102,'1.2 EDU Factors'!$A$12:$A$36, '1.2 EDU Factors'!$H$12:$H$36)</f>
        <v>1</v>
      </c>
      <c r="K102" s="291">
        <f t="shared" si="11"/>
        <v>70.002771999999993</v>
      </c>
      <c r="L102" s="290">
        <f>LOOKUP(B102,'1.2 EDU Factors'!$A$12:$A$36, '1.2 EDU Factors'!$J$12:$J$36)</f>
        <v>7.5</v>
      </c>
      <c r="M102" s="291">
        <f t="shared" si="12"/>
        <v>525.02078999999992</v>
      </c>
    </row>
    <row r="103" spans="1:13" x14ac:dyDescent="0.2">
      <c r="A103" s="276"/>
      <c r="B103" s="272" t="s">
        <v>242</v>
      </c>
      <c r="C103" s="273">
        <v>98.809805999999995</v>
      </c>
      <c r="D103" s="273"/>
      <c r="E103" s="293" t="str">
        <f>LOOKUP(B103,'1.2 EDU Factors'!$A$12:$A$36, '1.2 EDU Factors'!$C$12:$C$36)</f>
        <v>Acre</v>
      </c>
      <c r="F103" s="290">
        <f>LOOKUP(B103,'1.2 EDU Factors'!$A$12:$A$36, '1.2 EDU Factors'!$E$12:$E$36)</f>
        <v>3.0606435643564356</v>
      </c>
      <c r="G103" s="291">
        <f t="shared" si="10"/>
        <v>302.42159682920789</v>
      </c>
      <c r="I103" s="293" t="str">
        <f>LOOKUP(B103,'1.2 EDU Factors'!$A$12:$A$36, '1.2 EDU Factors'!$G$12:$G$36)</f>
        <v>Acre</v>
      </c>
      <c r="J103" s="290">
        <f>LOOKUP(B103,'1.2 EDU Factors'!$A$12:$A$36, '1.2 EDU Factors'!$H$12:$H$36)</f>
        <v>1</v>
      </c>
      <c r="K103" s="291">
        <f t="shared" si="11"/>
        <v>98.809805999999995</v>
      </c>
      <c r="L103" s="290">
        <f>LOOKUP(B103,'1.2 EDU Factors'!$A$12:$A$36, '1.2 EDU Factors'!$J$12:$J$36)</f>
        <v>15.456250000000001</v>
      </c>
      <c r="M103" s="291">
        <f t="shared" si="12"/>
        <v>1527.2290639875</v>
      </c>
    </row>
    <row r="104" spans="1:13" x14ac:dyDescent="0.2">
      <c r="A104" s="276"/>
      <c r="B104" s="272" t="s">
        <v>244</v>
      </c>
      <c r="C104" s="273">
        <v>145.51939100000001</v>
      </c>
      <c r="D104" s="273"/>
      <c r="E104" s="293" t="str">
        <f>LOOKUP(B104,'1.2 EDU Factors'!$A$12:$A$36, '1.2 EDU Factors'!$C$12:$C$36)</f>
        <v>Acre</v>
      </c>
      <c r="F104" s="290">
        <f>LOOKUP(B104,'1.2 EDU Factors'!$A$12:$A$36, '1.2 EDU Factors'!$E$12:$E$36)</f>
        <v>1</v>
      </c>
      <c r="G104" s="291">
        <f t="shared" si="10"/>
        <v>145.51939100000001</v>
      </c>
      <c r="I104" s="293" t="str">
        <f>LOOKUP(B104,'1.2 EDU Factors'!$A$12:$A$36, '1.2 EDU Factors'!$G$12:$G$36)</f>
        <v>Dwelling Unit</v>
      </c>
      <c r="J104" s="290">
        <f>LOOKUP(B104,'1.2 EDU Factors'!$A$12:$A$36, '1.2 EDU Factors'!$H$12:$H$36)</f>
        <v>5.05</v>
      </c>
      <c r="K104" s="291">
        <f t="shared" si="11"/>
        <v>734.87292454999999</v>
      </c>
      <c r="L104" s="290">
        <f>LOOKUP(B104,'1.2 EDU Factors'!$A$12:$A$36, '1.2 EDU Factors'!$J$12:$J$36)</f>
        <v>1</v>
      </c>
      <c r="M104" s="291">
        <f t="shared" si="12"/>
        <v>734.87292454999999</v>
      </c>
    </row>
    <row r="105" spans="1:13" x14ac:dyDescent="0.2">
      <c r="A105" s="276"/>
      <c r="B105" s="272" t="s">
        <v>249</v>
      </c>
      <c r="C105" s="273">
        <v>195.96840499999999</v>
      </c>
      <c r="D105" s="273"/>
      <c r="E105" s="293" t="str">
        <f>LOOKUP(B105,'1.2 EDU Factors'!$A$12:$A$36, '1.2 EDU Factors'!$C$12:$C$36)</f>
        <v>Acre</v>
      </c>
      <c r="F105" s="290">
        <f>LOOKUP(B105,'1.2 EDU Factors'!$A$12:$A$36, '1.2 EDU Factors'!$E$12:$E$36)</f>
        <v>0.39603960396039606</v>
      </c>
      <c r="G105" s="291">
        <f t="shared" si="10"/>
        <v>77.611249504950493</v>
      </c>
      <c r="I105" s="293" t="str">
        <f>LOOKUP(B105,'1.2 EDU Factors'!$A$12:$A$36, '1.2 EDU Factors'!$G$12:$G$36)</f>
        <v>Dwelling Unit</v>
      </c>
      <c r="J105" s="290">
        <f>LOOKUP(B105,'1.2 EDU Factors'!$A$12:$A$36, '1.2 EDU Factors'!$H$12:$H$36)</f>
        <v>2</v>
      </c>
      <c r="K105" s="291">
        <f t="shared" si="11"/>
        <v>391.93680999999998</v>
      </c>
      <c r="L105" s="290">
        <f>LOOKUP(B105,'1.2 EDU Factors'!$A$12:$A$36, '1.2 EDU Factors'!$J$12:$J$36)</f>
        <v>1</v>
      </c>
      <c r="M105" s="291">
        <f t="shared" si="12"/>
        <v>391.93680999999998</v>
      </c>
    </row>
    <row r="106" spans="1:13" x14ac:dyDescent="0.2">
      <c r="A106" s="276"/>
      <c r="B106" s="272"/>
      <c r="C106" s="306"/>
      <c r="D106" s="273"/>
      <c r="E106" s="293"/>
      <c r="F106" s="290"/>
      <c r="G106" s="307"/>
      <c r="I106" s="293"/>
      <c r="J106" s="290"/>
      <c r="K106" s="291"/>
      <c r="L106" s="290"/>
      <c r="M106" s="307"/>
    </row>
    <row r="107" spans="1:13" x14ac:dyDescent="0.2">
      <c r="A107" s="276"/>
      <c r="B107" s="272"/>
      <c r="C107" s="273"/>
      <c r="D107" s="273"/>
      <c r="E107" s="293"/>
      <c r="F107" s="290"/>
      <c r="G107" s="291"/>
      <c r="I107" s="293"/>
      <c r="J107" s="290"/>
      <c r="K107" s="292"/>
      <c r="L107" s="290"/>
      <c r="M107" s="291"/>
    </row>
    <row r="108" spans="1:13" x14ac:dyDescent="0.2">
      <c r="A108" s="276" t="s">
        <v>438</v>
      </c>
      <c r="B108" s="272"/>
      <c r="C108" s="273">
        <f>SUM(C95:C106)</f>
        <v>1958.0873120000001</v>
      </c>
      <c r="D108" s="273"/>
      <c r="E108" s="293"/>
      <c r="F108" s="290"/>
      <c r="G108" s="273">
        <f>SUM(G95:G106)</f>
        <v>1584.9444807896041</v>
      </c>
      <c r="I108" s="293"/>
      <c r="J108" s="290"/>
      <c r="K108" s="292"/>
      <c r="L108" s="290"/>
      <c r="M108" s="273">
        <f>SUM(M95:M106)</f>
        <v>8003.9696279874997</v>
      </c>
    </row>
    <row r="109" spans="1:13" x14ac:dyDescent="0.2">
      <c r="A109" s="279" t="s">
        <v>433</v>
      </c>
      <c r="G109" s="291">
        <f>$G$125</f>
        <v>808</v>
      </c>
      <c r="H109" s="286"/>
      <c r="I109" s="293"/>
      <c r="J109" s="290"/>
      <c r="K109" s="292"/>
      <c r="L109" s="290"/>
      <c r="M109" s="291">
        <f>$M$125</f>
        <v>160</v>
      </c>
    </row>
    <row r="110" spans="1:13" x14ac:dyDescent="0.2">
      <c r="A110" s="279" t="s">
        <v>434</v>
      </c>
      <c r="G110" s="291">
        <f>G108*G109</f>
        <v>1280635.140478</v>
      </c>
      <c r="H110" s="286"/>
      <c r="I110" s="286"/>
      <c r="J110" s="286"/>
      <c r="K110" s="286"/>
      <c r="L110" s="286"/>
      <c r="M110" s="291">
        <f>M108*M109</f>
        <v>1280635.140478</v>
      </c>
    </row>
    <row r="111" spans="1:13" x14ac:dyDescent="0.2">
      <c r="G111" s="291"/>
      <c r="H111" s="286"/>
      <c r="I111" s="286"/>
      <c r="J111" s="286"/>
      <c r="K111" s="286"/>
      <c r="L111" s="286"/>
      <c r="M111" s="291"/>
    </row>
    <row r="112" spans="1:13" x14ac:dyDescent="0.2">
      <c r="G112" s="291"/>
      <c r="H112" s="286"/>
      <c r="I112" s="286"/>
      <c r="J112" s="286"/>
      <c r="K112" s="286"/>
      <c r="L112" s="286"/>
      <c r="M112" s="291"/>
    </row>
    <row r="113" spans="1:13" x14ac:dyDescent="0.2">
      <c r="A113" s="271" t="s">
        <v>449</v>
      </c>
      <c r="B113" s="272" t="s">
        <v>227</v>
      </c>
      <c r="C113" s="273">
        <v>57.88</v>
      </c>
      <c r="D113" s="273"/>
      <c r="E113" s="290">
        <v>0</v>
      </c>
      <c r="F113" s="290">
        <f>LOOKUP(B113,'1.2 EDU Factors'!$A$12:$A$36, '1.2 EDU Factors'!$E$12:$E$36)</f>
        <v>0.92821782178217827</v>
      </c>
      <c r="G113" s="291">
        <f t="shared" ref="G113:G114" si="13">F113*C113</f>
        <v>53.725247524752483</v>
      </c>
      <c r="I113" s="293" t="str">
        <f>LOOKUP(B113,'1.2 EDU Factors'!$A$12:$A$36, '1.2 EDU Factors'!$G$12:$G$36)</f>
        <v>Acre</v>
      </c>
      <c r="J113" s="290">
        <f>LOOKUP(B113,'1.2 EDU Factors'!$A$12:$A$36, '1.2 EDU Factors'!$H$12:$H$36)</f>
        <v>1</v>
      </c>
      <c r="K113" s="291">
        <f t="shared" ref="K113:K114" si="14">J113*C113</f>
        <v>57.88</v>
      </c>
      <c r="L113" s="290">
        <f>LOOKUP(B113,'1.2 EDU Factors'!$A$12:$A$36, '1.2 EDU Factors'!$J$12:$J$36)</f>
        <v>4.6875</v>
      </c>
      <c r="M113" s="291">
        <f t="shared" ref="M113:M114" si="15">L113*K113</f>
        <v>271.3125</v>
      </c>
    </row>
    <row r="114" spans="1:13" x14ac:dyDescent="0.2">
      <c r="A114" s="276"/>
      <c r="B114" s="272" t="s">
        <v>229</v>
      </c>
      <c r="C114" s="273">
        <v>275.07</v>
      </c>
      <c r="D114" s="273"/>
      <c r="E114" s="293" t="str">
        <f>LOOKUP(B114,'1.2 EDU Factors'!$A$12:$A$36, '1.2 EDU Factors'!$C$12:$C$36)</f>
        <v>Acre</v>
      </c>
      <c r="F114" s="290">
        <f>LOOKUP(B114,'1.2 EDU Factors'!$A$12:$A$36, '1.2 EDU Factors'!$E$12:$E$36)</f>
        <v>1</v>
      </c>
      <c r="G114" s="291">
        <f t="shared" si="13"/>
        <v>275.07</v>
      </c>
      <c r="I114" s="293" t="str">
        <f>LOOKUP(B114,'1.2 EDU Factors'!$A$12:$A$36, '1.2 EDU Factors'!$G$12:$G$36)</f>
        <v>Dwelling Unit</v>
      </c>
      <c r="J114" s="290">
        <f>LOOKUP(B114,'1.2 EDU Factors'!$A$12:$A$36, '1.2 EDU Factors'!$H$12:$H$36)</f>
        <v>5.05</v>
      </c>
      <c r="K114" s="291">
        <f t="shared" si="14"/>
        <v>1389.1034999999999</v>
      </c>
      <c r="L114" s="290">
        <f>LOOKUP(B114,'1.2 EDU Factors'!$A$12:$A$36, '1.2 EDU Factors'!$J$12:$J$36)</f>
        <v>1</v>
      </c>
      <c r="M114" s="291">
        <f t="shared" si="15"/>
        <v>1389.1034999999999</v>
      </c>
    </row>
    <row r="115" spans="1:13" x14ac:dyDescent="0.2">
      <c r="A115" s="276"/>
      <c r="B115" s="272"/>
      <c r="C115" s="306"/>
      <c r="D115" s="273"/>
      <c r="E115" s="293"/>
      <c r="F115" s="290"/>
      <c r="G115" s="307"/>
      <c r="I115" s="293"/>
      <c r="J115" s="290"/>
      <c r="K115" s="291"/>
      <c r="L115" s="290"/>
      <c r="M115" s="307"/>
    </row>
    <row r="116" spans="1:13" x14ac:dyDescent="0.2">
      <c r="A116" s="276"/>
      <c r="B116" s="272"/>
      <c r="C116" s="273"/>
      <c r="D116" s="273"/>
      <c r="E116" s="293"/>
      <c r="F116" s="290"/>
      <c r="G116" s="291"/>
      <c r="I116" s="293"/>
      <c r="J116" s="290"/>
      <c r="K116" s="292"/>
      <c r="L116" s="290"/>
      <c r="M116" s="291"/>
    </row>
    <row r="117" spans="1:13" x14ac:dyDescent="0.2">
      <c r="A117" s="276" t="s">
        <v>438</v>
      </c>
      <c r="B117" s="272"/>
      <c r="C117" s="273">
        <f>SUM(C113:C115)</f>
        <v>332.95</v>
      </c>
      <c r="D117" s="273"/>
      <c r="E117" s="293"/>
      <c r="F117" s="290"/>
      <c r="G117" s="273">
        <f>SUM(G113:G115)</f>
        <v>328.79524752475248</v>
      </c>
      <c r="I117" s="293"/>
      <c r="J117" s="290"/>
      <c r="K117" s="292"/>
      <c r="L117" s="290"/>
      <c r="M117" s="273">
        <f>SUM(M113:M115)</f>
        <v>1660.4159999999999</v>
      </c>
    </row>
    <row r="118" spans="1:13" x14ac:dyDescent="0.2">
      <c r="A118" s="279" t="s">
        <v>433</v>
      </c>
      <c r="G118" s="291">
        <f>$G$125</f>
        <v>808</v>
      </c>
      <c r="H118" s="286"/>
      <c r="I118" s="293"/>
      <c r="J118" s="290"/>
      <c r="K118" s="292"/>
      <c r="L118" s="290"/>
      <c r="M118" s="291">
        <f>$M$125</f>
        <v>160</v>
      </c>
    </row>
    <row r="119" spans="1:13" x14ac:dyDescent="0.2">
      <c r="A119" s="279" t="s">
        <v>434</v>
      </c>
      <c r="G119" s="291">
        <f>G117*G118</f>
        <v>265666.56</v>
      </c>
      <c r="H119" s="286"/>
      <c r="I119" s="286"/>
      <c r="J119" s="286"/>
      <c r="K119" s="286"/>
      <c r="L119" s="286"/>
      <c r="M119" s="291">
        <f>M117*M118</f>
        <v>265666.56</v>
      </c>
    </row>
    <row r="120" spans="1:13" x14ac:dyDescent="0.2">
      <c r="G120" s="291"/>
      <c r="H120" s="286"/>
      <c r="I120" s="286"/>
      <c r="J120" s="286"/>
      <c r="K120" s="286"/>
      <c r="L120" s="286"/>
      <c r="M120" s="291"/>
    </row>
    <row r="121" spans="1:13" x14ac:dyDescent="0.2">
      <c r="A121" s="276"/>
      <c r="B121" s="272"/>
      <c r="C121" s="273"/>
      <c r="D121" s="273"/>
      <c r="E121" s="293"/>
      <c r="F121" s="290"/>
      <c r="G121" s="291"/>
      <c r="I121" s="293"/>
      <c r="J121" s="290"/>
      <c r="K121" s="292"/>
      <c r="L121" s="290"/>
      <c r="M121" s="291"/>
    </row>
    <row r="122" spans="1:13" ht="13.5" thickBot="1" x14ac:dyDescent="0.25">
      <c r="B122" s="304"/>
      <c r="C122" s="305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</row>
    <row r="123" spans="1:13" ht="13.5" thickTop="1" x14ac:dyDescent="0.2">
      <c r="A123" s="277" t="s">
        <v>255</v>
      </c>
      <c r="B123" s="277" t="s">
        <v>255</v>
      </c>
      <c r="C123" s="308">
        <f>C108+C90+C63+C52+C22+C117</f>
        <v>18524.520960000002</v>
      </c>
      <c r="D123" s="280"/>
      <c r="E123" s="293"/>
      <c r="F123" s="290"/>
      <c r="G123" s="308">
        <f>G108+G90+G63+G52+G22+G117</f>
        <v>13331.124205799506</v>
      </c>
      <c r="I123" s="293"/>
      <c r="J123" s="290"/>
      <c r="K123" s="292"/>
      <c r="L123" s="290"/>
      <c r="M123" s="308">
        <f>M108+M90+M63+M52+M22+M117</f>
        <v>67322.177239287499</v>
      </c>
    </row>
    <row r="124" spans="1:13" x14ac:dyDescent="0.2">
      <c r="E124" s="293"/>
      <c r="I124" s="293"/>
      <c r="J124" s="290"/>
      <c r="K124" s="292"/>
      <c r="L124" s="290"/>
    </row>
    <row r="125" spans="1:13" x14ac:dyDescent="0.2">
      <c r="A125" s="279" t="s">
        <v>433</v>
      </c>
      <c r="G125" s="291">
        <f>'1.2 EDU Factors'!D18</f>
        <v>808</v>
      </c>
      <c r="H125" s="286"/>
      <c r="I125" s="293"/>
      <c r="J125" s="290"/>
      <c r="K125" s="292"/>
      <c r="L125" s="290"/>
      <c r="M125" s="291">
        <f>'1.2 EDU Factors'!I18</f>
        <v>160</v>
      </c>
    </row>
    <row r="126" spans="1:13" x14ac:dyDescent="0.2">
      <c r="A126" s="279" t="s">
        <v>434</v>
      </c>
      <c r="G126" s="291">
        <f>G125*G123</f>
        <v>10771548.358286001</v>
      </c>
      <c r="H126" s="286"/>
      <c r="I126" s="286"/>
      <c r="J126" s="286"/>
      <c r="K126" s="286"/>
      <c r="L126" s="286"/>
      <c r="M126" s="291">
        <f>M125*M123</f>
        <v>10771548.358286001</v>
      </c>
    </row>
    <row r="127" spans="1:13" x14ac:dyDescent="0.2">
      <c r="G127" s="286"/>
      <c r="H127" s="286"/>
      <c r="I127" s="286"/>
      <c r="J127" s="286"/>
      <c r="K127" s="286"/>
      <c r="L127" s="286"/>
      <c r="M127" s="286"/>
    </row>
    <row r="130" spans="1:31" x14ac:dyDescent="0.2">
      <c r="A130" s="303" t="s">
        <v>11</v>
      </c>
    </row>
    <row r="131" spans="1:31" s="274" customFormat="1" x14ac:dyDescent="0.2">
      <c r="A131" s="281"/>
      <c r="C131" s="282"/>
      <c r="D131" s="28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">
      <c r="A132" s="281" t="s">
        <v>423</v>
      </c>
    </row>
    <row r="133" spans="1:31" x14ac:dyDescent="0.2">
      <c r="A133" s="281"/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workbookViewId="0">
      <pane xSplit="3" ySplit="9" topLeftCell="D111" activePane="bottomRight" state="frozen"/>
      <selection pane="topRight" activeCell="D1" sqref="D1"/>
      <selection pane="bottomLeft" activeCell="A10" sqref="A10"/>
      <selection pane="bottomRight" activeCell="G130" sqref="G130"/>
    </sheetView>
  </sheetViews>
  <sheetFormatPr defaultRowHeight="12.75" x14ac:dyDescent="0.2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7" width="14.140625" customWidth="1"/>
    <col min="8" max="9" width="14.140625" bestFit="1" customWidth="1"/>
    <col min="10" max="10" width="10.42578125" bestFit="1" customWidth="1"/>
    <col min="11" max="11" width="14.140625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 x14ac:dyDescent="0.2">
      <c r="A1" s="171" t="s">
        <v>77</v>
      </c>
      <c r="M1" s="51" t="str">
        <f>Assumptions!$B$12</f>
        <v>Internal</v>
      </c>
    </row>
    <row r="2" spans="1:14" x14ac:dyDescent="0.2">
      <c r="A2" s="171" t="str">
        <f>Assumptions!B10</f>
        <v>City of Manteca</v>
      </c>
      <c r="M2" s="52" t="str">
        <f>Assumptions!$B$13</f>
        <v>Working Draft - v9</v>
      </c>
    </row>
    <row r="3" spans="1:14" x14ac:dyDescent="0.2">
      <c r="A3" s="171" t="str">
        <f>Assumptions!B18</f>
        <v>PFF Sewer Collection Fee</v>
      </c>
      <c r="M3" s="53">
        <f>Assumptions!$B$14</f>
        <v>41291</v>
      </c>
    </row>
    <row r="4" spans="1:14" x14ac:dyDescent="0.2">
      <c r="A4" s="171" t="s">
        <v>369</v>
      </c>
    </row>
    <row r="7" spans="1:14" x14ac:dyDescent="0.2">
      <c r="C7" s="223" t="s">
        <v>47</v>
      </c>
      <c r="D7" s="223" t="s">
        <v>379</v>
      </c>
      <c r="E7" s="223" t="s">
        <v>0</v>
      </c>
      <c r="F7" s="223" t="s">
        <v>1</v>
      </c>
      <c r="G7" s="322" t="s">
        <v>2</v>
      </c>
      <c r="H7" s="223" t="s">
        <v>3</v>
      </c>
      <c r="I7" s="223" t="s">
        <v>4</v>
      </c>
      <c r="J7" s="223" t="s">
        <v>299</v>
      </c>
      <c r="K7" s="322" t="s">
        <v>335</v>
      </c>
      <c r="L7" s="223" t="s">
        <v>47</v>
      </c>
      <c r="M7" s="223"/>
    </row>
    <row r="8" spans="1:14" x14ac:dyDescent="0.2">
      <c r="C8" s="223" t="s">
        <v>301</v>
      </c>
      <c r="D8" s="223" t="s">
        <v>380</v>
      </c>
      <c r="E8" s="223" t="s">
        <v>5</v>
      </c>
      <c r="F8" s="223" t="s">
        <v>5</v>
      </c>
      <c r="G8" s="322" t="s">
        <v>5</v>
      </c>
      <c r="H8" s="223" t="s">
        <v>5</v>
      </c>
      <c r="I8" s="223" t="s">
        <v>5</v>
      </c>
      <c r="J8" s="223" t="s">
        <v>5</v>
      </c>
      <c r="K8" s="322" t="s">
        <v>5</v>
      </c>
      <c r="L8" s="223" t="s">
        <v>363</v>
      </c>
      <c r="M8" s="223"/>
    </row>
    <row r="9" spans="1:14" x14ac:dyDescent="0.2">
      <c r="B9" s="224" t="s">
        <v>302</v>
      </c>
      <c r="C9" s="225" t="s">
        <v>5</v>
      </c>
      <c r="D9" s="225" t="s">
        <v>364</v>
      </c>
      <c r="E9" s="225" t="s">
        <v>8</v>
      </c>
      <c r="F9" s="225" t="s">
        <v>8</v>
      </c>
      <c r="G9" s="323" t="s">
        <v>8</v>
      </c>
      <c r="H9" s="225" t="s">
        <v>8</v>
      </c>
      <c r="I9" s="225" t="s">
        <v>8</v>
      </c>
      <c r="J9" s="225" t="s">
        <v>8</v>
      </c>
      <c r="K9" s="323" t="s">
        <v>8</v>
      </c>
      <c r="L9" s="225" t="s">
        <v>364</v>
      </c>
      <c r="M9" s="225" t="s">
        <v>9</v>
      </c>
      <c r="N9" s="243" t="s">
        <v>61</v>
      </c>
    </row>
    <row r="12" spans="1:14" x14ac:dyDescent="0.2">
      <c r="A12" s="7" t="s">
        <v>378</v>
      </c>
      <c r="B12" s="17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2">
      <c r="B13" s="171" t="s">
        <v>489</v>
      </c>
      <c r="C13" s="321">
        <v>276000</v>
      </c>
      <c r="D13" s="331"/>
      <c r="E13" s="331"/>
      <c r="F13" s="331"/>
      <c r="G13" s="331"/>
      <c r="H13" s="331"/>
      <c r="I13" s="97"/>
      <c r="J13" s="97">
        <v>276000</v>
      </c>
      <c r="K13" s="97"/>
      <c r="L13" s="97">
        <f t="shared" ref="L13:L18" si="0">SUM(E13:K13)</f>
        <v>276000</v>
      </c>
      <c r="M13" s="97">
        <f t="shared" ref="M13:M18" si="1">L13+D13</f>
        <v>276000</v>
      </c>
      <c r="N13" s="321">
        <f t="shared" ref="N13:N18" si="2">M13-C13</f>
        <v>0</v>
      </c>
    </row>
    <row r="14" spans="1:14" x14ac:dyDescent="0.2">
      <c r="B14" s="171" t="s">
        <v>457</v>
      </c>
      <c r="C14" s="321">
        <v>263000</v>
      </c>
      <c r="D14" s="331"/>
      <c r="E14" s="331"/>
      <c r="F14" s="331"/>
      <c r="G14" s="331"/>
      <c r="H14" s="331">
        <v>263000</v>
      </c>
      <c r="I14" s="97"/>
      <c r="J14" s="97"/>
      <c r="K14" s="97"/>
      <c r="L14" s="97">
        <f t="shared" si="0"/>
        <v>263000</v>
      </c>
      <c r="M14" s="97">
        <f t="shared" si="1"/>
        <v>263000</v>
      </c>
      <c r="N14" s="321">
        <f t="shared" si="2"/>
        <v>0</v>
      </c>
    </row>
    <row r="15" spans="1:14" x14ac:dyDescent="0.2">
      <c r="B15" s="171" t="s">
        <v>346</v>
      </c>
      <c r="C15" s="321">
        <v>165000</v>
      </c>
      <c r="D15" s="331"/>
      <c r="E15" s="331"/>
      <c r="F15" s="331"/>
      <c r="G15" s="331"/>
      <c r="H15" s="331">
        <v>165000</v>
      </c>
      <c r="I15" s="97"/>
      <c r="J15" s="97"/>
      <c r="K15" s="97"/>
      <c r="L15" s="97">
        <f t="shared" si="0"/>
        <v>165000</v>
      </c>
      <c r="M15" s="97">
        <f t="shared" si="1"/>
        <v>165000</v>
      </c>
      <c r="N15" s="321">
        <f t="shared" si="2"/>
        <v>0</v>
      </c>
    </row>
    <row r="16" spans="1:14" x14ac:dyDescent="0.2">
      <c r="B16" s="171" t="s">
        <v>345</v>
      </c>
      <c r="C16" s="321">
        <v>292000</v>
      </c>
      <c r="D16" s="331"/>
      <c r="E16" s="331"/>
      <c r="F16" s="331"/>
      <c r="G16" s="331"/>
      <c r="H16" s="331">
        <v>292000</v>
      </c>
      <c r="I16" s="97"/>
      <c r="J16" s="97"/>
      <c r="K16" s="97"/>
      <c r="L16" s="97">
        <f t="shared" si="0"/>
        <v>292000</v>
      </c>
      <c r="M16" s="97">
        <f t="shared" si="1"/>
        <v>292000</v>
      </c>
      <c r="N16" s="321">
        <f t="shared" si="2"/>
        <v>0</v>
      </c>
    </row>
    <row r="17" spans="1:14" x14ac:dyDescent="0.2">
      <c r="B17" s="171" t="s">
        <v>348</v>
      </c>
      <c r="C17" s="321">
        <v>1565000</v>
      </c>
      <c r="D17" s="331"/>
      <c r="E17" s="331"/>
      <c r="F17" s="331"/>
      <c r="G17" s="331"/>
      <c r="H17" s="331">
        <v>1565000</v>
      </c>
      <c r="I17" s="97"/>
      <c r="J17" s="97"/>
      <c r="K17" s="97"/>
      <c r="L17" s="97">
        <f t="shared" si="0"/>
        <v>1565000</v>
      </c>
      <c r="M17" s="97">
        <f t="shared" si="1"/>
        <v>1565000</v>
      </c>
      <c r="N17" s="321">
        <f t="shared" si="2"/>
        <v>0</v>
      </c>
    </row>
    <row r="18" spans="1:14" x14ac:dyDescent="0.2">
      <c r="B18" s="171" t="s">
        <v>333</v>
      </c>
      <c r="C18" s="321">
        <v>336000</v>
      </c>
      <c r="D18" s="331"/>
      <c r="E18" s="331"/>
      <c r="F18" s="331">
        <v>336000</v>
      </c>
      <c r="G18" s="331"/>
      <c r="H18" s="331"/>
      <c r="I18" s="97"/>
      <c r="J18" s="97"/>
      <c r="K18" s="97">
        <v>0</v>
      </c>
      <c r="L18" s="97">
        <f t="shared" si="0"/>
        <v>336000</v>
      </c>
      <c r="M18" s="97">
        <f t="shared" si="1"/>
        <v>336000</v>
      </c>
      <c r="N18" s="321">
        <f t="shared" si="2"/>
        <v>0</v>
      </c>
    </row>
    <row r="19" spans="1:14" x14ac:dyDescent="0.2">
      <c r="B19" s="171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</row>
    <row r="20" spans="1:14" x14ac:dyDescent="0.2">
      <c r="B20" s="17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">
      <c r="B21" s="171" t="s">
        <v>461</v>
      </c>
      <c r="C21" s="97">
        <f t="shared" ref="C21:N21" si="3">SUM(C12:C20)</f>
        <v>2897000</v>
      </c>
      <c r="D21" s="97">
        <f t="shared" si="3"/>
        <v>0</v>
      </c>
      <c r="E21" s="97">
        <f t="shared" si="3"/>
        <v>0</v>
      </c>
      <c r="F21" s="97">
        <f t="shared" si="3"/>
        <v>336000</v>
      </c>
      <c r="G21" s="97">
        <f t="shared" si="3"/>
        <v>0</v>
      </c>
      <c r="H21" s="97">
        <f t="shared" si="3"/>
        <v>2285000</v>
      </c>
      <c r="I21" s="97">
        <f t="shared" si="3"/>
        <v>0</v>
      </c>
      <c r="J21" s="97">
        <f t="shared" si="3"/>
        <v>276000</v>
      </c>
      <c r="K21" s="97">
        <f t="shared" si="3"/>
        <v>0</v>
      </c>
      <c r="L21" s="97">
        <f t="shared" si="3"/>
        <v>2897000</v>
      </c>
      <c r="M21" s="97">
        <f t="shared" si="3"/>
        <v>2897000</v>
      </c>
      <c r="N21" s="97">
        <f t="shared" si="3"/>
        <v>0</v>
      </c>
    </row>
    <row r="22" spans="1:14" x14ac:dyDescent="0.2">
      <c r="B22" s="171" t="s">
        <v>463</v>
      </c>
      <c r="C22" s="97">
        <f>C21*0.08</f>
        <v>231760</v>
      </c>
      <c r="D22" s="97">
        <f t="shared" ref="D22:N22" si="4">D21*0.08</f>
        <v>0</v>
      </c>
      <c r="E22" s="97">
        <f t="shared" si="4"/>
        <v>0</v>
      </c>
      <c r="F22" s="97">
        <f t="shared" si="4"/>
        <v>26880</v>
      </c>
      <c r="G22" s="97">
        <f t="shared" si="4"/>
        <v>0</v>
      </c>
      <c r="H22" s="97">
        <f t="shared" si="4"/>
        <v>182800</v>
      </c>
      <c r="I22" s="97">
        <f t="shared" si="4"/>
        <v>0</v>
      </c>
      <c r="J22" s="97">
        <f t="shared" si="4"/>
        <v>22080</v>
      </c>
      <c r="K22" s="97">
        <f t="shared" si="4"/>
        <v>0</v>
      </c>
      <c r="L22" s="97">
        <f t="shared" si="4"/>
        <v>231760</v>
      </c>
      <c r="M22" s="97">
        <f t="shared" si="4"/>
        <v>231760</v>
      </c>
      <c r="N22" s="97">
        <f t="shared" si="4"/>
        <v>0</v>
      </c>
    </row>
    <row r="23" spans="1:14" x14ac:dyDescent="0.2">
      <c r="B23" s="171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 x14ac:dyDescent="0.2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">
      <c r="B25" s="171" t="s">
        <v>464</v>
      </c>
      <c r="C25" s="97">
        <f>C21+C22</f>
        <v>3128760</v>
      </c>
      <c r="D25" s="97">
        <f t="shared" ref="D25:N25" si="5">D21+D22</f>
        <v>0</v>
      </c>
      <c r="E25" s="97">
        <f t="shared" si="5"/>
        <v>0</v>
      </c>
      <c r="F25" s="97">
        <f t="shared" si="5"/>
        <v>362880</v>
      </c>
      <c r="G25" s="97">
        <f t="shared" si="5"/>
        <v>0</v>
      </c>
      <c r="H25" s="97">
        <f t="shared" si="5"/>
        <v>2467800</v>
      </c>
      <c r="I25" s="97">
        <f t="shared" si="5"/>
        <v>0</v>
      </c>
      <c r="J25" s="97">
        <f t="shared" si="5"/>
        <v>298080</v>
      </c>
      <c r="K25" s="97">
        <f t="shared" si="5"/>
        <v>0</v>
      </c>
      <c r="L25" s="97">
        <f t="shared" si="5"/>
        <v>3128760</v>
      </c>
      <c r="M25" s="97">
        <f t="shared" si="5"/>
        <v>3128760</v>
      </c>
      <c r="N25" s="97">
        <f t="shared" si="5"/>
        <v>0</v>
      </c>
    </row>
    <row r="26" spans="1:14" x14ac:dyDescent="0.2">
      <c r="B26" s="17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2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x14ac:dyDescent="0.2">
      <c r="A28" s="7" t="s">
        <v>377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x14ac:dyDescent="0.2">
      <c r="B29" s="171" t="s">
        <v>357</v>
      </c>
      <c r="C29" s="321">
        <v>1135000</v>
      </c>
      <c r="D29" s="331"/>
      <c r="E29" s="331"/>
      <c r="F29" s="331"/>
      <c r="G29" s="331"/>
      <c r="H29" s="321">
        <v>964750</v>
      </c>
      <c r="I29" s="331">
        <v>124850</v>
      </c>
      <c r="J29" s="331">
        <v>45400</v>
      </c>
      <c r="K29" s="97"/>
      <c r="L29" s="97">
        <f t="shared" ref="L29:L60" si="6">SUM(E29:K29)</f>
        <v>1135000</v>
      </c>
      <c r="M29" s="97">
        <f t="shared" ref="M29:M60" si="7">L29+D29</f>
        <v>1135000</v>
      </c>
      <c r="N29" s="321">
        <f t="shared" ref="N29:N60" si="8">M29-C29</f>
        <v>0</v>
      </c>
    </row>
    <row r="30" spans="1:14" x14ac:dyDescent="0.2">
      <c r="B30" s="171" t="s">
        <v>313</v>
      </c>
      <c r="C30" s="321">
        <v>539000</v>
      </c>
      <c r="D30" s="331">
        <v>485100</v>
      </c>
      <c r="E30" s="331">
        <v>53900</v>
      </c>
      <c r="F30" s="331"/>
      <c r="G30" s="331"/>
      <c r="H30" s="331"/>
      <c r="I30" s="331"/>
      <c r="J30" s="331"/>
      <c r="K30" s="97"/>
      <c r="L30" s="97">
        <f t="shared" si="6"/>
        <v>53900</v>
      </c>
      <c r="M30" s="97">
        <f t="shared" si="7"/>
        <v>539000</v>
      </c>
      <c r="N30" s="321">
        <f t="shared" si="8"/>
        <v>0</v>
      </c>
    </row>
    <row r="31" spans="1:14" x14ac:dyDescent="0.2">
      <c r="B31" s="171" t="s">
        <v>349</v>
      </c>
      <c r="C31" s="321">
        <v>1359000</v>
      </c>
      <c r="D31" s="331"/>
      <c r="E31" s="331"/>
      <c r="F31" s="331"/>
      <c r="G31" s="331"/>
      <c r="H31" s="321">
        <v>1359000</v>
      </c>
      <c r="I31" s="331"/>
      <c r="J31" s="331"/>
      <c r="K31" s="97"/>
      <c r="L31" s="97">
        <f t="shared" si="6"/>
        <v>1359000</v>
      </c>
      <c r="M31" s="97">
        <f t="shared" si="7"/>
        <v>1359000</v>
      </c>
      <c r="N31" s="321">
        <f t="shared" si="8"/>
        <v>0</v>
      </c>
    </row>
    <row r="32" spans="1:14" x14ac:dyDescent="0.2">
      <c r="B32" s="171" t="s">
        <v>491</v>
      </c>
      <c r="C32" s="321">
        <v>63000</v>
      </c>
      <c r="D32" s="331"/>
      <c r="E32" s="331"/>
      <c r="F32" s="331"/>
      <c r="G32" s="331"/>
      <c r="H32" s="321">
        <v>63000</v>
      </c>
      <c r="I32" s="331"/>
      <c r="J32" s="331"/>
      <c r="K32" s="97"/>
      <c r="L32" s="97">
        <f t="shared" si="6"/>
        <v>63000</v>
      </c>
      <c r="M32" s="97">
        <f t="shared" si="7"/>
        <v>63000</v>
      </c>
      <c r="N32" s="321">
        <f t="shared" si="8"/>
        <v>0</v>
      </c>
    </row>
    <row r="33" spans="2:14" x14ac:dyDescent="0.2">
      <c r="B33" s="171" t="s">
        <v>341</v>
      </c>
      <c r="C33" s="321">
        <v>770000</v>
      </c>
      <c r="D33" s="331"/>
      <c r="E33" s="331"/>
      <c r="F33" s="331"/>
      <c r="G33" s="331"/>
      <c r="H33" s="321">
        <v>654500</v>
      </c>
      <c r="I33" s="331">
        <v>84700</v>
      </c>
      <c r="J33" s="331">
        <v>30800</v>
      </c>
      <c r="K33" s="97"/>
      <c r="L33" s="97">
        <f t="shared" si="6"/>
        <v>770000</v>
      </c>
      <c r="M33" s="97">
        <f t="shared" si="7"/>
        <v>770000</v>
      </c>
      <c r="N33" s="321">
        <f t="shared" si="8"/>
        <v>0</v>
      </c>
    </row>
    <row r="34" spans="2:14" x14ac:dyDescent="0.2">
      <c r="B34" s="171" t="s">
        <v>342</v>
      </c>
      <c r="C34" s="321">
        <v>2011000</v>
      </c>
      <c r="D34" s="331"/>
      <c r="E34" s="331"/>
      <c r="F34" s="331"/>
      <c r="G34" s="331"/>
      <c r="H34" s="321">
        <v>2011000</v>
      </c>
      <c r="I34" s="331"/>
      <c r="J34" s="331"/>
      <c r="K34" s="97"/>
      <c r="L34" s="97">
        <f t="shared" si="6"/>
        <v>2011000</v>
      </c>
      <c r="M34" s="97">
        <f t="shared" si="7"/>
        <v>2011000</v>
      </c>
      <c r="N34" s="321">
        <f t="shared" si="8"/>
        <v>0</v>
      </c>
    </row>
    <row r="35" spans="2:14" x14ac:dyDescent="0.2">
      <c r="B35" s="171" t="s">
        <v>455</v>
      </c>
      <c r="C35" s="321">
        <v>3633000</v>
      </c>
      <c r="D35" s="331"/>
      <c r="E35" s="331"/>
      <c r="F35" s="331"/>
      <c r="G35" s="331"/>
      <c r="H35" s="321">
        <v>3633000</v>
      </c>
      <c r="I35" s="331"/>
      <c r="J35" s="331"/>
      <c r="K35" s="97"/>
      <c r="L35" s="97">
        <f t="shared" si="6"/>
        <v>3633000</v>
      </c>
      <c r="M35" s="97">
        <f t="shared" si="7"/>
        <v>3633000</v>
      </c>
      <c r="N35" s="321">
        <f t="shared" si="8"/>
        <v>0</v>
      </c>
    </row>
    <row r="36" spans="2:14" x14ac:dyDescent="0.2">
      <c r="B36" s="171" t="s">
        <v>456</v>
      </c>
      <c r="C36" s="321">
        <v>1016000</v>
      </c>
      <c r="D36" s="331"/>
      <c r="E36" s="331"/>
      <c r="F36" s="331"/>
      <c r="G36" s="331"/>
      <c r="H36" s="321">
        <v>1016000</v>
      </c>
      <c r="I36" s="331"/>
      <c r="J36" s="331"/>
      <c r="K36" s="97"/>
      <c r="L36" s="97">
        <f t="shared" ref="L36" si="9">SUM(E36:K36)</f>
        <v>1016000</v>
      </c>
      <c r="M36" s="97">
        <f t="shared" ref="M36" si="10">L36+D36</f>
        <v>1016000</v>
      </c>
      <c r="N36" s="321">
        <f t="shared" ref="N36" si="11">M36-C36</f>
        <v>0</v>
      </c>
    </row>
    <row r="37" spans="2:14" x14ac:dyDescent="0.2">
      <c r="B37" s="171" t="s">
        <v>492</v>
      </c>
      <c r="C37" s="321">
        <v>800000</v>
      </c>
      <c r="D37" s="331"/>
      <c r="E37" s="331"/>
      <c r="F37" s="331"/>
      <c r="G37" s="331"/>
      <c r="H37" s="321">
        <v>800000</v>
      </c>
      <c r="I37" s="331"/>
      <c r="J37" s="331"/>
      <c r="K37" s="97"/>
      <c r="L37" s="97">
        <f t="shared" ref="L37" si="12">SUM(E37:K37)</f>
        <v>800000</v>
      </c>
      <c r="M37" s="97">
        <f t="shared" ref="M37" si="13">L37+D37</f>
        <v>800000</v>
      </c>
      <c r="N37" s="321">
        <f t="shared" ref="N37" si="14">M37-C37</f>
        <v>0</v>
      </c>
    </row>
    <row r="38" spans="2:14" x14ac:dyDescent="0.2">
      <c r="B38" s="171" t="s">
        <v>343</v>
      </c>
      <c r="C38" s="321">
        <v>736000</v>
      </c>
      <c r="D38" s="331"/>
      <c r="E38" s="331"/>
      <c r="F38" s="331"/>
      <c r="G38" s="331"/>
      <c r="H38" s="321">
        <v>736000</v>
      </c>
      <c r="I38" s="331"/>
      <c r="J38" s="331"/>
      <c r="K38" s="97"/>
      <c r="L38" s="97">
        <f t="shared" si="6"/>
        <v>736000</v>
      </c>
      <c r="M38" s="97">
        <f t="shared" si="7"/>
        <v>736000</v>
      </c>
      <c r="N38" s="321">
        <f t="shared" si="8"/>
        <v>0</v>
      </c>
    </row>
    <row r="39" spans="2:14" x14ac:dyDescent="0.2">
      <c r="B39" s="171" t="s">
        <v>354</v>
      </c>
      <c r="C39" s="321">
        <v>1471000</v>
      </c>
      <c r="D39" s="331"/>
      <c r="E39" s="331"/>
      <c r="F39" s="331"/>
      <c r="G39" s="331"/>
      <c r="H39" s="321">
        <v>1250350</v>
      </c>
      <c r="I39" s="331">
        <v>161810</v>
      </c>
      <c r="J39" s="331">
        <v>58840</v>
      </c>
      <c r="K39" s="97"/>
      <c r="L39" s="97">
        <f t="shared" si="6"/>
        <v>1471000</v>
      </c>
      <c r="M39" s="97">
        <f t="shared" si="7"/>
        <v>1471000</v>
      </c>
      <c r="N39" s="321">
        <f t="shared" si="8"/>
        <v>0</v>
      </c>
    </row>
    <row r="40" spans="2:14" x14ac:dyDescent="0.2">
      <c r="B40" s="171" t="s">
        <v>361</v>
      </c>
      <c r="C40" s="321">
        <v>924000</v>
      </c>
      <c r="D40" s="331"/>
      <c r="E40" s="331"/>
      <c r="F40" s="331"/>
      <c r="G40" s="331"/>
      <c r="H40" s="331"/>
      <c r="I40" s="331">
        <v>674520</v>
      </c>
      <c r="J40" s="331">
        <v>249480</v>
      </c>
      <c r="K40" s="97"/>
      <c r="L40" s="97">
        <f t="shared" si="6"/>
        <v>924000</v>
      </c>
      <c r="M40" s="97">
        <f t="shared" si="7"/>
        <v>924000</v>
      </c>
      <c r="N40" s="321">
        <f t="shared" si="8"/>
        <v>0</v>
      </c>
    </row>
    <row r="41" spans="2:14" x14ac:dyDescent="0.2">
      <c r="B41" s="171" t="s">
        <v>355</v>
      </c>
      <c r="C41" s="321">
        <v>764000</v>
      </c>
      <c r="D41" s="331"/>
      <c r="E41" s="331"/>
      <c r="F41" s="331"/>
      <c r="G41" s="331"/>
      <c r="H41" s="321">
        <v>649400</v>
      </c>
      <c r="I41" s="331">
        <v>84040</v>
      </c>
      <c r="J41" s="331">
        <v>30560</v>
      </c>
      <c r="K41" s="97"/>
      <c r="L41" s="97">
        <f t="shared" si="6"/>
        <v>764000</v>
      </c>
      <c r="M41" s="97">
        <f t="shared" si="7"/>
        <v>764000</v>
      </c>
      <c r="N41" s="321">
        <f t="shared" si="8"/>
        <v>0</v>
      </c>
    </row>
    <row r="42" spans="2:14" x14ac:dyDescent="0.2">
      <c r="B42" s="171" t="s">
        <v>356</v>
      </c>
      <c r="C42" s="321">
        <v>2987000</v>
      </c>
      <c r="D42" s="331"/>
      <c r="E42" s="331"/>
      <c r="F42" s="331"/>
      <c r="G42" s="331"/>
      <c r="H42" s="321">
        <v>2538950</v>
      </c>
      <c r="I42" s="331">
        <v>328570</v>
      </c>
      <c r="J42" s="331">
        <v>119480</v>
      </c>
      <c r="K42" s="97"/>
      <c r="L42" s="97">
        <f t="shared" si="6"/>
        <v>2987000</v>
      </c>
      <c r="M42" s="97">
        <f t="shared" si="7"/>
        <v>2987000</v>
      </c>
      <c r="N42" s="321">
        <f t="shared" si="8"/>
        <v>0</v>
      </c>
    </row>
    <row r="43" spans="2:14" x14ac:dyDescent="0.2">
      <c r="B43" s="171" t="s">
        <v>337</v>
      </c>
      <c r="C43" s="321">
        <v>1038000</v>
      </c>
      <c r="D43" s="331">
        <v>508620</v>
      </c>
      <c r="E43" s="331">
        <v>301747</v>
      </c>
      <c r="F43" s="331">
        <v>227633</v>
      </c>
      <c r="G43" s="331"/>
      <c r="H43" s="331"/>
      <c r="I43" s="331"/>
      <c r="J43" s="331"/>
      <c r="K43" s="97"/>
      <c r="L43" s="97">
        <f t="shared" si="6"/>
        <v>529380</v>
      </c>
      <c r="M43" s="97">
        <f t="shared" si="7"/>
        <v>1038000</v>
      </c>
      <c r="N43" s="321">
        <f t="shared" si="8"/>
        <v>0</v>
      </c>
    </row>
    <row r="44" spans="2:14" x14ac:dyDescent="0.2">
      <c r="B44" s="171" t="s">
        <v>338</v>
      </c>
      <c r="C44" s="321">
        <v>749000</v>
      </c>
      <c r="D44" s="331">
        <v>374500</v>
      </c>
      <c r="E44" s="331">
        <v>213465</v>
      </c>
      <c r="F44" s="331">
        <v>161035</v>
      </c>
      <c r="G44" s="331"/>
      <c r="H44" s="331"/>
      <c r="I44" s="331"/>
      <c r="J44" s="331"/>
      <c r="K44" s="97"/>
      <c r="L44" s="97">
        <f t="shared" si="6"/>
        <v>374500</v>
      </c>
      <c r="M44" s="97">
        <f t="shared" si="7"/>
        <v>749000</v>
      </c>
      <c r="N44" s="321">
        <f t="shared" si="8"/>
        <v>0</v>
      </c>
    </row>
    <row r="45" spans="2:14" x14ac:dyDescent="0.2">
      <c r="B45" s="171" t="s">
        <v>339</v>
      </c>
      <c r="C45" s="321">
        <v>1227000</v>
      </c>
      <c r="D45" s="331">
        <v>613500</v>
      </c>
      <c r="E45" s="331">
        <v>349695</v>
      </c>
      <c r="F45" s="331">
        <v>263805</v>
      </c>
      <c r="G45" s="331"/>
      <c r="H45" s="331"/>
      <c r="I45" s="331"/>
      <c r="J45" s="331"/>
      <c r="K45" s="97"/>
      <c r="L45" s="97">
        <f t="shared" si="6"/>
        <v>613500</v>
      </c>
      <c r="M45" s="97">
        <f t="shared" si="7"/>
        <v>1227000</v>
      </c>
      <c r="N45" s="321">
        <f t="shared" si="8"/>
        <v>0</v>
      </c>
    </row>
    <row r="46" spans="2:14" x14ac:dyDescent="0.2">
      <c r="B46" s="171" t="s">
        <v>334</v>
      </c>
      <c r="C46" s="350">
        <v>1353000</v>
      </c>
      <c r="D46" s="331"/>
      <c r="E46" s="331"/>
      <c r="F46" s="331">
        <v>1353000</v>
      </c>
      <c r="G46" s="331"/>
      <c r="H46" s="331"/>
      <c r="I46" s="331"/>
      <c r="J46" s="331"/>
      <c r="K46" s="97"/>
      <c r="L46" s="97">
        <f t="shared" si="6"/>
        <v>1353000</v>
      </c>
      <c r="M46" s="97">
        <f t="shared" si="7"/>
        <v>1353000</v>
      </c>
      <c r="N46" s="321">
        <f t="shared" si="8"/>
        <v>0</v>
      </c>
    </row>
    <row r="47" spans="2:14" x14ac:dyDescent="0.2">
      <c r="B47" s="171" t="s">
        <v>336</v>
      </c>
      <c r="C47" s="321">
        <v>58000</v>
      </c>
      <c r="D47" s="331"/>
      <c r="E47" s="331"/>
      <c r="F47" s="331">
        <v>58000</v>
      </c>
      <c r="G47" s="331"/>
      <c r="H47" s="331"/>
      <c r="I47" s="331"/>
      <c r="J47" s="331"/>
      <c r="K47" s="97"/>
      <c r="L47" s="97">
        <f t="shared" si="6"/>
        <v>58000</v>
      </c>
      <c r="M47" s="97">
        <f t="shared" si="7"/>
        <v>58000</v>
      </c>
      <c r="N47" s="321">
        <f t="shared" si="8"/>
        <v>0</v>
      </c>
    </row>
    <row r="48" spans="2:14" x14ac:dyDescent="0.2">
      <c r="B48" s="171" t="s">
        <v>330</v>
      </c>
      <c r="C48" s="321">
        <v>838000</v>
      </c>
      <c r="D48" s="331"/>
      <c r="E48" s="331"/>
      <c r="F48" s="331">
        <v>838000</v>
      </c>
      <c r="G48" s="331"/>
      <c r="H48" s="331"/>
      <c r="I48" s="331"/>
      <c r="J48" s="331"/>
      <c r="K48" s="97"/>
      <c r="L48" s="97">
        <f t="shared" si="6"/>
        <v>838000</v>
      </c>
      <c r="M48" s="97">
        <f t="shared" si="7"/>
        <v>838000</v>
      </c>
      <c r="N48" s="321">
        <f t="shared" si="8"/>
        <v>0</v>
      </c>
    </row>
    <row r="49" spans="2:14" x14ac:dyDescent="0.2">
      <c r="B49" s="171" t="s">
        <v>331</v>
      </c>
      <c r="C49" s="321">
        <v>833000</v>
      </c>
      <c r="D49" s="331"/>
      <c r="E49" s="331"/>
      <c r="F49" s="331">
        <v>833000</v>
      </c>
      <c r="G49" s="331"/>
      <c r="H49" s="331"/>
      <c r="I49" s="331"/>
      <c r="J49" s="331"/>
      <c r="K49" s="97"/>
      <c r="L49" s="97">
        <f t="shared" si="6"/>
        <v>833000</v>
      </c>
      <c r="M49" s="97">
        <f t="shared" si="7"/>
        <v>833000</v>
      </c>
      <c r="N49" s="321">
        <f t="shared" si="8"/>
        <v>0</v>
      </c>
    </row>
    <row r="50" spans="2:14" x14ac:dyDescent="0.2">
      <c r="B50" s="171" t="s">
        <v>332</v>
      </c>
      <c r="C50" s="321">
        <v>129000</v>
      </c>
      <c r="D50" s="331"/>
      <c r="E50" s="331"/>
      <c r="F50" s="331">
        <v>129000</v>
      </c>
      <c r="G50" s="331"/>
      <c r="H50" s="331"/>
      <c r="I50" s="331"/>
      <c r="J50" s="331"/>
      <c r="K50" s="97"/>
      <c r="L50" s="97">
        <f t="shared" si="6"/>
        <v>129000</v>
      </c>
      <c r="M50" s="97">
        <f t="shared" si="7"/>
        <v>129000</v>
      </c>
      <c r="N50" s="321">
        <f t="shared" si="8"/>
        <v>0</v>
      </c>
    </row>
    <row r="51" spans="2:14" x14ac:dyDescent="0.2">
      <c r="B51" s="171" t="s">
        <v>328</v>
      </c>
      <c r="C51" s="321">
        <v>1647000</v>
      </c>
      <c r="D51" s="331"/>
      <c r="E51" s="331"/>
      <c r="F51" s="331">
        <v>1647000</v>
      </c>
      <c r="G51" s="331"/>
      <c r="H51" s="331"/>
      <c r="I51" s="331"/>
      <c r="J51" s="331"/>
      <c r="K51" s="97"/>
      <c r="L51" s="97">
        <f t="shared" si="6"/>
        <v>1647000</v>
      </c>
      <c r="M51" s="97">
        <f t="shared" si="7"/>
        <v>1647000</v>
      </c>
      <c r="N51" s="321">
        <f t="shared" si="8"/>
        <v>0</v>
      </c>
    </row>
    <row r="52" spans="2:14" x14ac:dyDescent="0.2">
      <c r="B52" s="171" t="s">
        <v>329</v>
      </c>
      <c r="C52" s="321">
        <v>362000</v>
      </c>
      <c r="D52" s="331"/>
      <c r="E52" s="331"/>
      <c r="F52" s="331">
        <v>362000</v>
      </c>
      <c r="G52" s="331"/>
      <c r="H52" s="331"/>
      <c r="I52" s="331"/>
      <c r="J52" s="331"/>
      <c r="K52" s="97"/>
      <c r="L52" s="97">
        <f t="shared" si="6"/>
        <v>362000</v>
      </c>
      <c r="M52" s="97">
        <f t="shared" si="7"/>
        <v>362000</v>
      </c>
      <c r="N52" s="321">
        <f t="shared" si="8"/>
        <v>0</v>
      </c>
    </row>
    <row r="53" spans="2:14" x14ac:dyDescent="0.2">
      <c r="B53" s="171" t="s">
        <v>322</v>
      </c>
      <c r="C53" s="321">
        <v>142000</v>
      </c>
      <c r="D53" s="331"/>
      <c r="E53" s="331"/>
      <c r="F53" s="331">
        <v>142000</v>
      </c>
      <c r="G53" s="331"/>
      <c r="H53" s="331"/>
      <c r="I53" s="331"/>
      <c r="J53" s="331"/>
      <c r="K53" s="97"/>
      <c r="L53" s="97">
        <f t="shared" si="6"/>
        <v>142000</v>
      </c>
      <c r="M53" s="97">
        <f t="shared" si="7"/>
        <v>142000</v>
      </c>
      <c r="N53" s="321">
        <f t="shared" si="8"/>
        <v>0</v>
      </c>
    </row>
    <row r="54" spans="2:14" x14ac:dyDescent="0.2">
      <c r="B54" s="171" t="s">
        <v>323</v>
      </c>
      <c r="C54" s="321">
        <v>363000</v>
      </c>
      <c r="D54" s="331"/>
      <c r="E54" s="331"/>
      <c r="F54" s="331">
        <v>363000</v>
      </c>
      <c r="G54" s="331"/>
      <c r="H54" s="331"/>
      <c r="I54" s="331"/>
      <c r="J54" s="331"/>
      <c r="K54" s="97"/>
      <c r="L54" s="97">
        <f t="shared" si="6"/>
        <v>363000</v>
      </c>
      <c r="M54" s="97">
        <f t="shared" si="7"/>
        <v>363000</v>
      </c>
      <c r="N54" s="321">
        <f t="shared" si="8"/>
        <v>0</v>
      </c>
    </row>
    <row r="55" spans="2:14" x14ac:dyDescent="0.2">
      <c r="B55" s="171" t="s">
        <v>324</v>
      </c>
      <c r="C55" s="321">
        <v>1774000</v>
      </c>
      <c r="D55" s="331"/>
      <c r="E55" s="331"/>
      <c r="F55" s="331">
        <v>1774000</v>
      </c>
      <c r="G55" s="331"/>
      <c r="H55" s="331"/>
      <c r="I55" s="331"/>
      <c r="J55" s="331"/>
      <c r="K55" s="97"/>
      <c r="L55" s="97">
        <f t="shared" si="6"/>
        <v>1774000</v>
      </c>
      <c r="M55" s="97">
        <f t="shared" si="7"/>
        <v>1774000</v>
      </c>
      <c r="N55" s="321">
        <f t="shared" si="8"/>
        <v>0</v>
      </c>
    </row>
    <row r="56" spans="2:14" x14ac:dyDescent="0.2">
      <c r="B56" s="171" t="s">
        <v>325</v>
      </c>
      <c r="C56" s="321">
        <v>720000</v>
      </c>
      <c r="D56" s="331"/>
      <c r="E56" s="331"/>
      <c r="F56" s="331">
        <v>720000</v>
      </c>
      <c r="G56" s="331"/>
      <c r="H56" s="331"/>
      <c r="I56" s="331"/>
      <c r="J56" s="331"/>
      <c r="K56" s="97"/>
      <c r="L56" s="97">
        <f t="shared" si="6"/>
        <v>720000</v>
      </c>
      <c r="M56" s="97">
        <f t="shared" si="7"/>
        <v>720000</v>
      </c>
      <c r="N56" s="321">
        <f t="shared" si="8"/>
        <v>0</v>
      </c>
    </row>
    <row r="57" spans="2:14" x14ac:dyDescent="0.2">
      <c r="B57" s="171" t="s">
        <v>326</v>
      </c>
      <c r="C57" s="321">
        <v>147000</v>
      </c>
      <c r="D57" s="331"/>
      <c r="E57" s="331"/>
      <c r="F57" s="331">
        <v>147000</v>
      </c>
      <c r="G57" s="331"/>
      <c r="H57" s="331"/>
      <c r="I57" s="331"/>
      <c r="J57" s="331"/>
      <c r="K57" s="97"/>
      <c r="L57" s="97">
        <f t="shared" si="6"/>
        <v>147000</v>
      </c>
      <c r="M57" s="97">
        <f t="shared" si="7"/>
        <v>147000</v>
      </c>
      <c r="N57" s="321">
        <f t="shared" si="8"/>
        <v>0</v>
      </c>
    </row>
    <row r="58" spans="2:14" x14ac:dyDescent="0.2">
      <c r="B58" s="171" t="s">
        <v>319</v>
      </c>
      <c r="C58" s="321">
        <v>289000</v>
      </c>
      <c r="D58" s="331"/>
      <c r="E58" s="331"/>
      <c r="F58" s="331">
        <v>289000</v>
      </c>
      <c r="G58" s="331"/>
      <c r="H58" s="331"/>
      <c r="I58" s="331"/>
      <c r="J58" s="331"/>
      <c r="K58" s="97"/>
      <c r="L58" s="97">
        <f t="shared" si="6"/>
        <v>289000</v>
      </c>
      <c r="M58" s="97">
        <f t="shared" si="7"/>
        <v>289000</v>
      </c>
      <c r="N58" s="321">
        <f t="shared" si="8"/>
        <v>0</v>
      </c>
    </row>
    <row r="59" spans="2:14" x14ac:dyDescent="0.2">
      <c r="B59" s="171" t="s">
        <v>320</v>
      </c>
      <c r="C59" s="321">
        <v>552000</v>
      </c>
      <c r="D59" s="331"/>
      <c r="E59" s="331"/>
      <c r="F59" s="331">
        <v>552000</v>
      </c>
      <c r="G59" s="331"/>
      <c r="H59" s="331"/>
      <c r="I59" s="331"/>
      <c r="J59" s="331"/>
      <c r="K59" s="97"/>
      <c r="L59" s="97">
        <f t="shared" si="6"/>
        <v>552000</v>
      </c>
      <c r="M59" s="97">
        <f t="shared" si="7"/>
        <v>552000</v>
      </c>
      <c r="N59" s="321">
        <f t="shared" si="8"/>
        <v>0</v>
      </c>
    </row>
    <row r="60" spans="2:14" x14ac:dyDescent="0.2">
      <c r="B60" s="171" t="s">
        <v>321</v>
      </c>
      <c r="C60" s="321">
        <v>418000</v>
      </c>
      <c r="D60" s="331"/>
      <c r="E60" s="331"/>
      <c r="F60" s="331">
        <v>418000</v>
      </c>
      <c r="G60" s="331"/>
      <c r="H60" s="331"/>
      <c r="I60" s="331"/>
      <c r="J60" s="331"/>
      <c r="K60" s="97"/>
      <c r="L60" s="97">
        <f t="shared" si="6"/>
        <v>418000</v>
      </c>
      <c r="M60" s="97">
        <f t="shared" si="7"/>
        <v>418000</v>
      </c>
      <c r="N60" s="321">
        <f t="shared" si="8"/>
        <v>0</v>
      </c>
    </row>
    <row r="61" spans="2:14" x14ac:dyDescent="0.2">
      <c r="B61" s="171" t="s">
        <v>317</v>
      </c>
      <c r="C61" s="321">
        <v>410000</v>
      </c>
      <c r="D61" s="331"/>
      <c r="E61" s="331"/>
      <c r="F61" s="331">
        <v>410000</v>
      </c>
      <c r="G61" s="331"/>
      <c r="H61" s="331"/>
      <c r="I61" s="331"/>
      <c r="J61" s="331"/>
      <c r="K61" s="97"/>
      <c r="L61" s="97">
        <f t="shared" ref="L61:L77" si="15">SUM(E61:K61)</f>
        <v>410000</v>
      </c>
      <c r="M61" s="97">
        <f t="shared" ref="M61:M77" si="16">L61+D61</f>
        <v>410000</v>
      </c>
      <c r="N61" s="321">
        <f t="shared" ref="N61:N77" si="17">M61-C61</f>
        <v>0</v>
      </c>
    </row>
    <row r="62" spans="2:14" x14ac:dyDescent="0.2">
      <c r="B62" s="171" t="s">
        <v>318</v>
      </c>
      <c r="C62" s="321">
        <v>1231000</v>
      </c>
      <c r="D62" s="331"/>
      <c r="E62" s="331"/>
      <c r="F62" s="331">
        <v>1231000</v>
      </c>
      <c r="G62" s="331"/>
      <c r="H62" s="331"/>
      <c r="I62" s="331"/>
      <c r="J62" s="331"/>
      <c r="K62" s="97"/>
      <c r="L62" s="97">
        <f t="shared" si="15"/>
        <v>1231000</v>
      </c>
      <c r="M62" s="97">
        <f t="shared" si="16"/>
        <v>1231000</v>
      </c>
      <c r="N62" s="321">
        <f t="shared" si="17"/>
        <v>0</v>
      </c>
    </row>
    <row r="63" spans="2:14" x14ac:dyDescent="0.2">
      <c r="B63" s="171" t="s">
        <v>315</v>
      </c>
      <c r="C63" s="321">
        <v>392000</v>
      </c>
      <c r="D63" s="331">
        <v>0</v>
      </c>
      <c r="E63" s="331">
        <v>0</v>
      </c>
      <c r="F63" s="331">
        <v>392000</v>
      </c>
      <c r="G63" s="331"/>
      <c r="H63" s="331"/>
      <c r="I63" s="331"/>
      <c r="J63" s="331"/>
      <c r="K63" s="97"/>
      <c r="L63" s="97">
        <f t="shared" si="15"/>
        <v>392000</v>
      </c>
      <c r="M63" s="97">
        <f t="shared" si="16"/>
        <v>392000</v>
      </c>
      <c r="N63" s="321">
        <f t="shared" si="17"/>
        <v>0</v>
      </c>
    </row>
    <row r="64" spans="2:14" x14ac:dyDescent="0.2">
      <c r="B64" s="171" t="s">
        <v>316</v>
      </c>
      <c r="C64" s="321">
        <v>1220000</v>
      </c>
      <c r="D64" s="331"/>
      <c r="E64" s="331"/>
      <c r="F64" s="331">
        <v>1220000</v>
      </c>
      <c r="G64" s="331"/>
      <c r="H64" s="331"/>
      <c r="I64" s="331"/>
      <c r="J64" s="331"/>
      <c r="K64" s="97"/>
      <c r="L64" s="97">
        <f t="shared" si="15"/>
        <v>1220000</v>
      </c>
      <c r="M64" s="97">
        <f t="shared" si="16"/>
        <v>1220000</v>
      </c>
      <c r="N64" s="321">
        <f t="shared" si="17"/>
        <v>0</v>
      </c>
    </row>
    <row r="65" spans="2:14" x14ac:dyDescent="0.2">
      <c r="B65" s="171" t="s">
        <v>352</v>
      </c>
      <c r="C65" s="321">
        <v>1346000</v>
      </c>
      <c r="D65" s="331"/>
      <c r="E65" s="331"/>
      <c r="F65" s="331"/>
      <c r="G65" s="331"/>
      <c r="H65" s="331">
        <v>1346000</v>
      </c>
      <c r="I65" s="331"/>
      <c r="J65" s="331"/>
      <c r="K65" s="97"/>
      <c r="L65" s="97">
        <f t="shared" si="15"/>
        <v>1346000</v>
      </c>
      <c r="M65" s="97">
        <f t="shared" si="16"/>
        <v>1346000</v>
      </c>
      <c r="N65" s="321">
        <f t="shared" si="17"/>
        <v>0</v>
      </c>
    </row>
    <row r="66" spans="2:14" x14ac:dyDescent="0.2">
      <c r="B66" s="171" t="s">
        <v>303</v>
      </c>
      <c r="C66" s="321">
        <v>1464000</v>
      </c>
      <c r="D66" s="331">
        <v>732000</v>
      </c>
      <c r="E66" s="331">
        <v>417240</v>
      </c>
      <c r="F66" s="331">
        <v>314760</v>
      </c>
      <c r="G66" s="331"/>
      <c r="H66" s="331">
        <v>0</v>
      </c>
      <c r="I66" s="331">
        <v>0</v>
      </c>
      <c r="J66" s="331"/>
      <c r="K66" s="97">
        <v>0</v>
      </c>
      <c r="L66" s="97">
        <f t="shared" si="15"/>
        <v>732000</v>
      </c>
      <c r="M66" s="97">
        <f t="shared" si="16"/>
        <v>1464000</v>
      </c>
      <c r="N66" s="321">
        <f t="shared" si="17"/>
        <v>0</v>
      </c>
    </row>
    <row r="67" spans="2:14" x14ac:dyDescent="0.2">
      <c r="B67" s="171" t="s">
        <v>304</v>
      </c>
      <c r="C67" s="321">
        <v>754000</v>
      </c>
      <c r="D67" s="331">
        <v>377000</v>
      </c>
      <c r="E67" s="331">
        <v>214890</v>
      </c>
      <c r="F67" s="331">
        <v>162110</v>
      </c>
      <c r="G67" s="331"/>
      <c r="H67" s="331"/>
      <c r="I67" s="331"/>
      <c r="J67" s="331"/>
      <c r="K67" s="97"/>
      <c r="L67" s="97">
        <f t="shared" si="15"/>
        <v>377000</v>
      </c>
      <c r="M67" s="97">
        <f t="shared" si="16"/>
        <v>754000</v>
      </c>
      <c r="N67" s="321">
        <f t="shared" si="17"/>
        <v>0</v>
      </c>
    </row>
    <row r="68" spans="2:14" x14ac:dyDescent="0.2">
      <c r="B68" s="171" t="s">
        <v>305</v>
      </c>
      <c r="C68" s="321">
        <v>620000</v>
      </c>
      <c r="D68" s="331">
        <v>545600</v>
      </c>
      <c r="E68" s="331">
        <v>74400</v>
      </c>
      <c r="F68" s="331"/>
      <c r="G68" s="331"/>
      <c r="H68" s="331"/>
      <c r="I68" s="331"/>
      <c r="J68" s="331"/>
      <c r="K68" s="97"/>
      <c r="L68" s="97">
        <f t="shared" si="15"/>
        <v>74400</v>
      </c>
      <c r="M68" s="97">
        <f t="shared" si="16"/>
        <v>620000</v>
      </c>
      <c r="N68" s="321">
        <f t="shared" si="17"/>
        <v>0</v>
      </c>
    </row>
    <row r="69" spans="2:14" x14ac:dyDescent="0.2">
      <c r="B69" s="171" t="s">
        <v>306</v>
      </c>
      <c r="C69" s="321">
        <v>319000</v>
      </c>
      <c r="D69" s="331">
        <v>280720</v>
      </c>
      <c r="E69" s="331">
        <v>38280</v>
      </c>
      <c r="F69" s="331"/>
      <c r="G69" s="331"/>
      <c r="H69" s="331"/>
      <c r="I69" s="331"/>
      <c r="J69" s="331"/>
      <c r="K69" s="97"/>
      <c r="L69" s="97">
        <f t="shared" si="15"/>
        <v>38280</v>
      </c>
      <c r="M69" s="97">
        <f t="shared" si="16"/>
        <v>319000</v>
      </c>
      <c r="N69" s="321">
        <f t="shared" si="17"/>
        <v>0</v>
      </c>
    </row>
    <row r="70" spans="2:14" x14ac:dyDescent="0.2">
      <c r="B70" s="171" t="s">
        <v>314</v>
      </c>
      <c r="C70" s="321">
        <v>304000</v>
      </c>
      <c r="D70" s="331">
        <v>97280</v>
      </c>
      <c r="E70" s="331">
        <v>206720</v>
      </c>
      <c r="F70" s="331"/>
      <c r="G70" s="331"/>
      <c r="H70" s="331"/>
      <c r="I70" s="331"/>
      <c r="J70" s="331"/>
      <c r="K70" s="97"/>
      <c r="L70" s="97">
        <f t="shared" si="15"/>
        <v>206720</v>
      </c>
      <c r="M70" s="97">
        <f t="shared" si="16"/>
        <v>304000</v>
      </c>
      <c r="N70" s="321">
        <f t="shared" si="17"/>
        <v>0</v>
      </c>
    </row>
    <row r="71" spans="2:14" x14ac:dyDescent="0.2">
      <c r="B71" s="171" t="s">
        <v>307</v>
      </c>
      <c r="C71" s="321">
        <v>319000</v>
      </c>
      <c r="D71" s="331">
        <v>287100</v>
      </c>
      <c r="E71" s="331">
        <v>31900</v>
      </c>
      <c r="F71" s="331"/>
      <c r="G71" s="331"/>
      <c r="H71" s="331"/>
      <c r="I71" s="331"/>
      <c r="J71" s="331"/>
      <c r="K71" s="97"/>
      <c r="L71" s="97">
        <f t="shared" si="15"/>
        <v>31900</v>
      </c>
      <c r="M71" s="97">
        <f t="shared" si="16"/>
        <v>319000</v>
      </c>
      <c r="N71" s="321">
        <f t="shared" si="17"/>
        <v>0</v>
      </c>
    </row>
    <row r="72" spans="2:14" x14ac:dyDescent="0.2">
      <c r="B72" s="171" t="s">
        <v>308</v>
      </c>
      <c r="C72" s="321">
        <v>309000</v>
      </c>
      <c r="D72" s="331">
        <v>278100</v>
      </c>
      <c r="E72" s="331">
        <v>30900</v>
      </c>
      <c r="F72" s="331"/>
      <c r="G72" s="331"/>
      <c r="H72" s="331"/>
      <c r="I72" s="331"/>
      <c r="J72" s="331"/>
      <c r="K72" s="97"/>
      <c r="L72" s="97">
        <f t="shared" si="15"/>
        <v>30900</v>
      </c>
      <c r="M72" s="97">
        <f t="shared" si="16"/>
        <v>309000</v>
      </c>
      <c r="N72" s="321">
        <f t="shared" si="17"/>
        <v>0</v>
      </c>
    </row>
    <row r="73" spans="2:14" x14ac:dyDescent="0.2">
      <c r="B73" s="171" t="s">
        <v>309</v>
      </c>
      <c r="C73" s="321">
        <v>441000</v>
      </c>
      <c r="D73" s="331">
        <v>396900</v>
      </c>
      <c r="E73" s="331">
        <v>44100</v>
      </c>
      <c r="F73" s="331"/>
      <c r="G73" s="331"/>
      <c r="H73" s="331"/>
      <c r="I73" s="331"/>
      <c r="J73" s="331"/>
      <c r="K73" s="97"/>
      <c r="L73" s="97">
        <f t="shared" si="15"/>
        <v>44100</v>
      </c>
      <c r="M73" s="97">
        <f t="shared" si="16"/>
        <v>441000</v>
      </c>
      <c r="N73" s="321">
        <f t="shared" si="17"/>
        <v>0</v>
      </c>
    </row>
    <row r="74" spans="2:14" x14ac:dyDescent="0.2">
      <c r="B74" s="171" t="s">
        <v>310</v>
      </c>
      <c r="C74" s="321">
        <v>341000</v>
      </c>
      <c r="D74" s="331">
        <v>306900</v>
      </c>
      <c r="E74" s="331">
        <v>34100</v>
      </c>
      <c r="F74" s="331"/>
      <c r="G74" s="331"/>
      <c r="H74" s="331"/>
      <c r="I74" s="331"/>
      <c r="J74" s="331"/>
      <c r="K74" s="97"/>
      <c r="L74" s="97">
        <f t="shared" si="15"/>
        <v>34100</v>
      </c>
      <c r="M74" s="97">
        <f t="shared" si="16"/>
        <v>341000</v>
      </c>
      <c r="N74" s="321">
        <f t="shared" si="17"/>
        <v>0</v>
      </c>
    </row>
    <row r="75" spans="2:14" x14ac:dyDescent="0.2">
      <c r="B75" s="171" t="s">
        <v>311</v>
      </c>
      <c r="C75" s="321">
        <v>371000</v>
      </c>
      <c r="D75" s="331">
        <v>333900</v>
      </c>
      <c r="E75" s="331">
        <v>37100</v>
      </c>
      <c r="F75" s="331"/>
      <c r="G75" s="331"/>
      <c r="H75" s="331"/>
      <c r="I75" s="331"/>
      <c r="J75" s="331"/>
      <c r="K75" s="97"/>
      <c r="L75" s="97">
        <f t="shared" si="15"/>
        <v>37100</v>
      </c>
      <c r="M75" s="97">
        <f t="shared" si="16"/>
        <v>371000</v>
      </c>
      <c r="N75" s="321">
        <f t="shared" si="17"/>
        <v>0</v>
      </c>
    </row>
    <row r="76" spans="2:14" x14ac:dyDescent="0.2">
      <c r="B76" s="171" t="s">
        <v>312</v>
      </c>
      <c r="C76" s="321">
        <v>369000</v>
      </c>
      <c r="D76" s="331">
        <v>332100</v>
      </c>
      <c r="E76" s="331">
        <v>36900</v>
      </c>
      <c r="F76" s="331"/>
      <c r="G76" s="331"/>
      <c r="H76" s="331"/>
      <c r="I76" s="331"/>
      <c r="J76" s="331"/>
      <c r="K76" s="97"/>
      <c r="L76" s="97">
        <f t="shared" si="15"/>
        <v>36900</v>
      </c>
      <c r="M76" s="97">
        <f t="shared" si="16"/>
        <v>369000</v>
      </c>
      <c r="N76" s="321">
        <f t="shared" si="17"/>
        <v>0</v>
      </c>
    </row>
    <row r="77" spans="2:14" x14ac:dyDescent="0.2">
      <c r="B77" s="171" t="s">
        <v>351</v>
      </c>
      <c r="C77" s="321">
        <v>1057000</v>
      </c>
      <c r="D77" s="331"/>
      <c r="E77" s="331"/>
      <c r="F77" s="331"/>
      <c r="G77" s="331"/>
      <c r="H77" s="331">
        <v>1057000</v>
      </c>
      <c r="I77" s="331"/>
      <c r="J77" s="331"/>
      <c r="K77" s="97"/>
      <c r="L77" s="97">
        <f t="shared" si="15"/>
        <v>1057000</v>
      </c>
      <c r="M77" s="97">
        <f t="shared" si="16"/>
        <v>1057000</v>
      </c>
      <c r="N77" s="321">
        <f t="shared" si="17"/>
        <v>0</v>
      </c>
    </row>
    <row r="78" spans="2:14" x14ac:dyDescent="0.2">
      <c r="B78" s="171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</row>
    <row r="79" spans="2:14" x14ac:dyDescent="0.2">
      <c r="B79" s="171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</row>
    <row r="80" spans="2:14" x14ac:dyDescent="0.2">
      <c r="B80" s="171" t="s">
        <v>381</v>
      </c>
      <c r="C80" s="97">
        <f t="shared" ref="C80:N80" si="18">SUM(C28:C79)</f>
        <v>42114000</v>
      </c>
      <c r="D80" s="97">
        <f t="shared" si="18"/>
        <v>5949320</v>
      </c>
      <c r="E80" s="97">
        <f t="shared" si="18"/>
        <v>2085337</v>
      </c>
      <c r="F80" s="97">
        <f t="shared" si="18"/>
        <v>14007343</v>
      </c>
      <c r="G80" s="97">
        <f t="shared" si="18"/>
        <v>0</v>
      </c>
      <c r="H80" s="97">
        <f t="shared" si="18"/>
        <v>18078950</v>
      </c>
      <c r="I80" s="97">
        <f t="shared" si="18"/>
        <v>1458490</v>
      </c>
      <c r="J80" s="97">
        <f t="shared" si="18"/>
        <v>534560</v>
      </c>
      <c r="K80" s="97">
        <f t="shared" si="18"/>
        <v>0</v>
      </c>
      <c r="L80" s="97">
        <f t="shared" si="18"/>
        <v>36164680</v>
      </c>
      <c r="M80" s="97">
        <f t="shared" si="18"/>
        <v>42114000</v>
      </c>
      <c r="N80" s="97">
        <f t="shared" si="18"/>
        <v>0</v>
      </c>
    </row>
    <row r="81" spans="1:14" x14ac:dyDescent="0.2">
      <c r="B81" s="171" t="s">
        <v>463</v>
      </c>
      <c r="C81" s="97">
        <f>C80*0.08</f>
        <v>3369120</v>
      </c>
      <c r="D81" s="97">
        <f t="shared" ref="D81" si="19">D80*0.08</f>
        <v>475945.60000000003</v>
      </c>
      <c r="E81" s="97">
        <f t="shared" ref="E81" si="20">E80*0.08</f>
        <v>166826.96</v>
      </c>
      <c r="F81" s="97">
        <f t="shared" ref="F81" si="21">F80*0.08</f>
        <v>1120587.44</v>
      </c>
      <c r="G81" s="97">
        <f t="shared" ref="G81" si="22">G80*0.08</f>
        <v>0</v>
      </c>
      <c r="H81" s="97">
        <f t="shared" ref="H81" si="23">H80*0.08</f>
        <v>1446316</v>
      </c>
      <c r="I81" s="97">
        <f t="shared" ref="I81" si="24">I80*0.08</f>
        <v>116679.2</v>
      </c>
      <c r="J81" s="97">
        <f t="shared" ref="J81" si="25">J80*0.08</f>
        <v>42764.800000000003</v>
      </c>
      <c r="K81" s="97">
        <f t="shared" ref="K81" si="26">K80*0.08</f>
        <v>0</v>
      </c>
      <c r="L81" s="97">
        <f t="shared" ref="L81" si="27">L80*0.08</f>
        <v>2893174.4</v>
      </c>
      <c r="M81" s="97">
        <f t="shared" ref="M81" si="28">M80*0.08</f>
        <v>3369120</v>
      </c>
      <c r="N81" s="97">
        <f t="shared" ref="N81" si="29">N80*0.08</f>
        <v>0</v>
      </c>
    </row>
    <row r="82" spans="1:14" x14ac:dyDescent="0.2">
      <c r="B82" s="171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</row>
    <row r="83" spans="1:14" x14ac:dyDescent="0.2">
      <c r="B83" s="171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</row>
    <row r="84" spans="1:14" x14ac:dyDescent="0.2">
      <c r="B84" s="171" t="s">
        <v>465</v>
      </c>
      <c r="C84" s="97">
        <f>C80+C81</f>
        <v>45483120</v>
      </c>
      <c r="D84" s="97">
        <f t="shared" ref="D84:N84" si="30">D80+D81</f>
        <v>6425265.5999999996</v>
      </c>
      <c r="E84" s="97">
        <f t="shared" si="30"/>
        <v>2252163.96</v>
      </c>
      <c r="F84" s="97">
        <f t="shared" si="30"/>
        <v>15127930.439999999</v>
      </c>
      <c r="G84" s="97">
        <f t="shared" si="30"/>
        <v>0</v>
      </c>
      <c r="H84" s="97">
        <f t="shared" si="30"/>
        <v>19525266</v>
      </c>
      <c r="I84" s="97">
        <f t="shared" si="30"/>
        <v>1575169.2</v>
      </c>
      <c r="J84" s="97">
        <f t="shared" si="30"/>
        <v>577324.80000000005</v>
      </c>
      <c r="K84" s="97">
        <f t="shared" si="30"/>
        <v>0</v>
      </c>
      <c r="L84" s="97">
        <f t="shared" si="30"/>
        <v>39057854.399999999</v>
      </c>
      <c r="M84" s="97">
        <f t="shared" si="30"/>
        <v>45483120</v>
      </c>
      <c r="N84" s="97">
        <f t="shared" si="30"/>
        <v>0</v>
      </c>
    </row>
    <row r="85" spans="1:14" x14ac:dyDescent="0.2">
      <c r="B85" s="171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</row>
    <row r="86" spans="1:14" x14ac:dyDescent="0.2">
      <c r="B86" s="171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1:14" x14ac:dyDescent="0.2">
      <c r="B87" s="171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</row>
    <row r="88" spans="1:14" x14ac:dyDescent="0.2">
      <c r="A88" s="7" t="s">
        <v>382</v>
      </c>
      <c r="B88" s="171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 x14ac:dyDescent="0.2">
      <c r="B89" s="171" t="s">
        <v>488</v>
      </c>
      <c r="C89" s="321">
        <v>1145000</v>
      </c>
      <c r="D89" s="97"/>
      <c r="E89" s="97"/>
      <c r="F89" s="331"/>
      <c r="G89" s="331"/>
      <c r="H89" s="331">
        <v>1145000</v>
      </c>
      <c r="I89" s="331"/>
      <c r="J89" s="331"/>
      <c r="K89" s="97"/>
      <c r="L89" s="97">
        <f t="shared" ref="L89:L98" si="31">SUM(E89:K89)</f>
        <v>1145000</v>
      </c>
      <c r="M89" s="97">
        <f t="shared" ref="M89:M98" si="32">L89+D89</f>
        <v>1145000</v>
      </c>
      <c r="N89" s="321">
        <f t="shared" ref="N89:N98" si="33">M89-C89</f>
        <v>0</v>
      </c>
    </row>
    <row r="90" spans="1:14" x14ac:dyDescent="0.2">
      <c r="B90" s="171" t="s">
        <v>350</v>
      </c>
      <c r="C90" s="321">
        <v>780000</v>
      </c>
      <c r="D90" s="97"/>
      <c r="E90" s="97"/>
      <c r="F90" s="331"/>
      <c r="G90" s="331"/>
      <c r="H90" s="331">
        <v>780000</v>
      </c>
      <c r="I90" s="331"/>
      <c r="J90" s="331"/>
      <c r="K90" s="97"/>
      <c r="L90" s="97">
        <f t="shared" si="31"/>
        <v>780000</v>
      </c>
      <c r="M90" s="97">
        <f t="shared" si="32"/>
        <v>780000</v>
      </c>
      <c r="N90" s="321">
        <f t="shared" si="33"/>
        <v>0</v>
      </c>
    </row>
    <row r="91" spans="1:14" x14ac:dyDescent="0.2">
      <c r="B91" s="171" t="s">
        <v>327</v>
      </c>
      <c r="C91" s="321">
        <v>1145000</v>
      </c>
      <c r="D91" s="97"/>
      <c r="E91" s="97"/>
      <c r="F91" s="331">
        <v>1145000</v>
      </c>
      <c r="G91" s="331"/>
      <c r="H91" s="331"/>
      <c r="I91" s="331"/>
      <c r="J91" s="331"/>
      <c r="K91" s="97"/>
      <c r="L91" s="97">
        <f t="shared" si="31"/>
        <v>1145000</v>
      </c>
      <c r="M91" s="97">
        <f t="shared" si="32"/>
        <v>1145000</v>
      </c>
      <c r="N91" s="321">
        <f t="shared" si="33"/>
        <v>0</v>
      </c>
    </row>
    <row r="92" spans="1:14" x14ac:dyDescent="0.2">
      <c r="B92" s="171" t="s">
        <v>362</v>
      </c>
      <c r="C92" s="321">
        <v>1145000</v>
      </c>
      <c r="D92" s="97"/>
      <c r="E92" s="97"/>
      <c r="F92" s="331"/>
      <c r="G92" s="331"/>
      <c r="H92" s="331"/>
      <c r="I92" s="331">
        <v>1145000</v>
      </c>
      <c r="J92" s="331"/>
      <c r="K92" s="97"/>
      <c r="L92" s="97">
        <f t="shared" si="31"/>
        <v>1145000</v>
      </c>
      <c r="M92" s="97">
        <f t="shared" si="32"/>
        <v>1145000</v>
      </c>
      <c r="N92" s="321">
        <f t="shared" si="33"/>
        <v>0</v>
      </c>
    </row>
    <row r="93" spans="1:14" x14ac:dyDescent="0.2">
      <c r="B93" s="171" t="s">
        <v>347</v>
      </c>
      <c r="C93" s="321">
        <v>1145000</v>
      </c>
      <c r="D93" s="97"/>
      <c r="E93" s="97"/>
      <c r="F93" s="331"/>
      <c r="G93" s="331"/>
      <c r="H93" s="331">
        <v>1145000</v>
      </c>
      <c r="I93" s="331"/>
      <c r="J93" s="331"/>
      <c r="K93" s="97"/>
      <c r="L93" s="97">
        <f t="shared" si="31"/>
        <v>1145000</v>
      </c>
      <c r="M93" s="97">
        <f t="shared" si="32"/>
        <v>1145000</v>
      </c>
      <c r="N93" s="321">
        <f t="shared" si="33"/>
        <v>0</v>
      </c>
    </row>
    <row r="94" spans="1:14" x14ac:dyDescent="0.2">
      <c r="B94" s="171" t="s">
        <v>344</v>
      </c>
      <c r="C94" s="321">
        <v>1145000</v>
      </c>
      <c r="D94" s="97"/>
      <c r="E94" s="97"/>
      <c r="F94" s="331"/>
      <c r="G94" s="331"/>
      <c r="H94" s="331">
        <v>1145000</v>
      </c>
      <c r="I94" s="331"/>
      <c r="J94" s="331"/>
      <c r="K94" s="97"/>
      <c r="L94" s="97">
        <f t="shared" si="31"/>
        <v>1145000</v>
      </c>
      <c r="M94" s="97">
        <f t="shared" si="32"/>
        <v>1145000</v>
      </c>
      <c r="N94" s="321">
        <f t="shared" si="33"/>
        <v>0</v>
      </c>
    </row>
    <row r="95" spans="1:14" x14ac:dyDescent="0.2">
      <c r="B95" s="171" t="s">
        <v>340</v>
      </c>
      <c r="C95" s="321">
        <v>780000</v>
      </c>
      <c r="D95" s="97"/>
      <c r="E95" s="97"/>
      <c r="F95" s="331">
        <v>780000</v>
      </c>
      <c r="G95" s="331"/>
      <c r="H95" s="331"/>
      <c r="I95" s="331"/>
      <c r="J95" s="331"/>
      <c r="K95" s="97"/>
      <c r="L95" s="97">
        <f t="shared" si="31"/>
        <v>780000</v>
      </c>
      <c r="M95" s="97">
        <f t="shared" si="32"/>
        <v>780000</v>
      </c>
      <c r="N95" s="321">
        <f t="shared" si="33"/>
        <v>0</v>
      </c>
    </row>
    <row r="96" spans="1:14" x14ac:dyDescent="0.2">
      <c r="B96" s="171" t="s">
        <v>359</v>
      </c>
      <c r="C96" s="321">
        <v>100000</v>
      </c>
      <c r="D96" s="97"/>
      <c r="E96" s="97"/>
      <c r="F96" s="331"/>
      <c r="G96" s="331"/>
      <c r="H96" s="331">
        <v>72000</v>
      </c>
      <c r="I96" s="331">
        <v>20000</v>
      </c>
      <c r="J96" s="331">
        <v>8000</v>
      </c>
      <c r="K96" s="97"/>
      <c r="L96" s="97">
        <f t="shared" si="31"/>
        <v>100000</v>
      </c>
      <c r="M96" s="97">
        <f t="shared" si="32"/>
        <v>100000</v>
      </c>
      <c r="N96" s="321">
        <f t="shared" si="33"/>
        <v>0</v>
      </c>
    </row>
    <row r="97" spans="2:14" x14ac:dyDescent="0.2">
      <c r="B97" s="171" t="s">
        <v>360</v>
      </c>
      <c r="C97" s="321">
        <v>100000</v>
      </c>
      <c r="D97" s="97"/>
      <c r="E97" s="97"/>
      <c r="F97" s="331"/>
      <c r="G97" s="331"/>
      <c r="H97" s="331">
        <v>72000</v>
      </c>
      <c r="I97" s="331">
        <v>20000</v>
      </c>
      <c r="J97" s="331">
        <v>8000</v>
      </c>
      <c r="K97" s="97"/>
      <c r="L97" s="97">
        <f t="shared" si="31"/>
        <v>100000</v>
      </c>
      <c r="M97" s="97">
        <f t="shared" si="32"/>
        <v>100000</v>
      </c>
      <c r="N97" s="321">
        <f t="shared" si="33"/>
        <v>0</v>
      </c>
    </row>
    <row r="98" spans="2:14" x14ac:dyDescent="0.2">
      <c r="B98" s="171" t="s">
        <v>358</v>
      </c>
      <c r="C98" s="321">
        <v>100000</v>
      </c>
      <c r="D98" s="97"/>
      <c r="E98" s="97"/>
      <c r="F98" s="331"/>
      <c r="G98" s="331"/>
      <c r="H98" s="331">
        <v>100000</v>
      </c>
      <c r="I98" s="331"/>
      <c r="J98" s="331"/>
      <c r="K98" s="97"/>
      <c r="L98" s="97">
        <f t="shared" si="31"/>
        <v>100000</v>
      </c>
      <c r="M98" s="97">
        <f t="shared" si="32"/>
        <v>100000</v>
      </c>
      <c r="N98" s="321">
        <f t="shared" si="33"/>
        <v>0</v>
      </c>
    </row>
    <row r="99" spans="2:14" x14ac:dyDescent="0.2">
      <c r="B99" s="171" t="s">
        <v>490</v>
      </c>
      <c r="C99" s="321">
        <v>780000</v>
      </c>
      <c r="D99" s="97"/>
      <c r="E99" s="97"/>
      <c r="F99" s="331">
        <v>780000</v>
      </c>
      <c r="G99" s="331"/>
      <c r="H99" s="331"/>
      <c r="I99" s="331"/>
      <c r="J99" s="331"/>
      <c r="K99" s="97"/>
      <c r="L99" s="97">
        <f t="shared" ref="L99" si="34">SUM(E99:K99)</f>
        <v>780000</v>
      </c>
      <c r="M99" s="97">
        <f t="shared" ref="M99" si="35">L99+D99</f>
        <v>780000</v>
      </c>
      <c r="N99" s="321">
        <f t="shared" ref="N99" si="36">M99-C99</f>
        <v>0</v>
      </c>
    </row>
    <row r="100" spans="2:14" x14ac:dyDescent="0.2">
      <c r="B100" s="171"/>
      <c r="C100" s="331"/>
      <c r="D100" s="97"/>
      <c r="E100" s="97"/>
      <c r="F100" s="331"/>
      <c r="G100" s="331"/>
      <c r="H100" s="331"/>
      <c r="I100" s="331"/>
      <c r="J100" s="331"/>
      <c r="K100" s="97"/>
      <c r="L100" s="97"/>
      <c r="M100" s="97"/>
      <c r="N100" s="97"/>
    </row>
    <row r="101" spans="2:14" x14ac:dyDescent="0.2">
      <c r="B101" s="171" t="s">
        <v>487</v>
      </c>
      <c r="C101" s="321">
        <v>780000</v>
      </c>
      <c r="D101" s="97"/>
      <c r="E101" s="97"/>
      <c r="F101" s="331"/>
      <c r="G101" s="331"/>
      <c r="H101" s="331"/>
      <c r="I101" s="331"/>
      <c r="J101" s="331">
        <v>780000</v>
      </c>
      <c r="K101" s="97"/>
      <c r="L101" s="97">
        <f t="shared" ref="L101" si="37">SUM(E101:K101)</f>
        <v>780000</v>
      </c>
      <c r="M101" s="97">
        <f t="shared" ref="M101" si="38">L101+D101</f>
        <v>780000</v>
      </c>
      <c r="N101" s="321">
        <f t="shared" ref="N101" si="39">M101-C101</f>
        <v>0</v>
      </c>
    </row>
    <row r="102" spans="2:14" x14ac:dyDescent="0.2">
      <c r="B102" s="171" t="s">
        <v>353</v>
      </c>
      <c r="C102" s="321">
        <v>780000</v>
      </c>
      <c r="D102" s="97"/>
      <c r="E102" s="97"/>
      <c r="F102" s="331"/>
      <c r="G102" s="331"/>
      <c r="H102" s="331">
        <v>780000</v>
      </c>
      <c r="I102" s="331"/>
      <c r="J102" s="331"/>
      <c r="K102" s="97"/>
      <c r="L102" s="97">
        <f t="shared" ref="L102" si="40">SUM(E102:K102)</f>
        <v>780000</v>
      </c>
      <c r="M102" s="97">
        <f t="shared" ref="M102" si="41">L102+D102</f>
        <v>780000</v>
      </c>
      <c r="N102" s="321">
        <f t="shared" ref="N102" si="42">M102-C102</f>
        <v>0</v>
      </c>
    </row>
    <row r="103" spans="2:14" x14ac:dyDescent="0.2">
      <c r="B103" s="171"/>
      <c r="C103" s="331"/>
      <c r="D103" s="97"/>
      <c r="E103" s="97"/>
      <c r="F103" s="331"/>
      <c r="G103" s="331"/>
      <c r="H103" s="331"/>
      <c r="I103" s="331"/>
      <c r="J103" s="331"/>
      <c r="K103" s="97"/>
      <c r="L103" s="97"/>
      <c r="M103" s="97"/>
      <c r="N103" s="97"/>
    </row>
    <row r="104" spans="2:14" x14ac:dyDescent="0.2">
      <c r="B104" s="171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spans="2:14" x14ac:dyDescent="0.2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2:14" x14ac:dyDescent="0.2">
      <c r="B106" s="171" t="s">
        <v>384</v>
      </c>
      <c r="C106" s="97">
        <f t="shared" ref="C106:N106" si="43">SUM(C88:C105)</f>
        <v>9925000</v>
      </c>
      <c r="D106" s="97">
        <f t="shared" si="43"/>
        <v>0</v>
      </c>
      <c r="E106" s="97">
        <f t="shared" si="43"/>
        <v>0</v>
      </c>
      <c r="F106" s="97">
        <f t="shared" si="43"/>
        <v>2705000</v>
      </c>
      <c r="G106" s="97">
        <f t="shared" si="43"/>
        <v>0</v>
      </c>
      <c r="H106" s="97">
        <f t="shared" si="43"/>
        <v>5239000</v>
      </c>
      <c r="I106" s="97">
        <f t="shared" si="43"/>
        <v>1185000</v>
      </c>
      <c r="J106" s="97">
        <f t="shared" si="43"/>
        <v>796000</v>
      </c>
      <c r="K106" s="97">
        <f t="shared" si="43"/>
        <v>0</v>
      </c>
      <c r="L106" s="97">
        <f t="shared" si="43"/>
        <v>9925000</v>
      </c>
      <c r="M106" s="97">
        <f t="shared" si="43"/>
        <v>9925000</v>
      </c>
      <c r="N106" s="97">
        <f t="shared" si="43"/>
        <v>0</v>
      </c>
    </row>
    <row r="107" spans="2:14" x14ac:dyDescent="0.2">
      <c r="B107" s="171" t="s">
        <v>466</v>
      </c>
      <c r="C107" s="97">
        <f>C106*0.12</f>
        <v>1191000</v>
      </c>
      <c r="D107" s="97">
        <f t="shared" ref="D107:N107" si="44">D106*0.12</f>
        <v>0</v>
      </c>
      <c r="E107" s="97">
        <f t="shared" si="44"/>
        <v>0</v>
      </c>
      <c r="F107" s="97">
        <f t="shared" si="44"/>
        <v>324600</v>
      </c>
      <c r="G107" s="97">
        <f t="shared" si="44"/>
        <v>0</v>
      </c>
      <c r="H107" s="97">
        <f t="shared" si="44"/>
        <v>628680</v>
      </c>
      <c r="I107" s="97">
        <f t="shared" si="44"/>
        <v>142200</v>
      </c>
      <c r="J107" s="97">
        <f t="shared" si="44"/>
        <v>95520</v>
      </c>
      <c r="K107" s="97">
        <f t="shared" si="44"/>
        <v>0</v>
      </c>
      <c r="L107" s="97">
        <f t="shared" si="44"/>
        <v>1191000</v>
      </c>
      <c r="M107" s="97">
        <f t="shared" si="44"/>
        <v>1191000</v>
      </c>
      <c r="N107" s="97">
        <f t="shared" si="44"/>
        <v>0</v>
      </c>
    </row>
    <row r="108" spans="2:14" x14ac:dyDescent="0.2">
      <c r="B108" s="171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spans="2:14" x14ac:dyDescent="0.2">
      <c r="B109" s="171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2:14" x14ac:dyDescent="0.2">
      <c r="B110" s="171" t="s">
        <v>467</v>
      </c>
      <c r="C110" s="97">
        <f>C106+C107</f>
        <v>11116000</v>
      </c>
      <c r="D110" s="97">
        <f t="shared" ref="D110:N110" si="45">D106+D107</f>
        <v>0</v>
      </c>
      <c r="E110" s="97">
        <f t="shared" si="45"/>
        <v>0</v>
      </c>
      <c r="F110" s="97">
        <f t="shared" si="45"/>
        <v>3029600</v>
      </c>
      <c r="G110" s="97">
        <f t="shared" si="45"/>
        <v>0</v>
      </c>
      <c r="H110" s="97">
        <f t="shared" si="45"/>
        <v>5867680</v>
      </c>
      <c r="I110" s="97">
        <f t="shared" si="45"/>
        <v>1327200</v>
      </c>
      <c r="J110" s="97">
        <f t="shared" si="45"/>
        <v>891520</v>
      </c>
      <c r="K110" s="97">
        <f t="shared" si="45"/>
        <v>0</v>
      </c>
      <c r="L110" s="97">
        <f t="shared" si="45"/>
        <v>11116000</v>
      </c>
      <c r="M110" s="97">
        <f t="shared" si="45"/>
        <v>11116000</v>
      </c>
      <c r="N110" s="97">
        <f t="shared" si="45"/>
        <v>0</v>
      </c>
    </row>
    <row r="111" spans="2:14" x14ac:dyDescent="0.2">
      <c r="B111" s="171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 x14ac:dyDescent="0.2">
      <c r="B112" s="171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 x14ac:dyDescent="0.2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 x14ac:dyDescent="0.2">
      <c r="A114" s="7" t="s">
        <v>383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 x14ac:dyDescent="0.2">
      <c r="B115" s="171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 x14ac:dyDescent="0.2">
      <c r="B116" s="171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spans="1:14" x14ac:dyDescent="0.2">
      <c r="B117" s="171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 x14ac:dyDescent="0.2">
      <c r="B118" s="171" t="s">
        <v>385</v>
      </c>
      <c r="C118" s="97">
        <f t="shared" ref="C118:N118" si="46">SUM(C114:C117)</f>
        <v>0</v>
      </c>
      <c r="D118" s="97">
        <f t="shared" si="46"/>
        <v>0</v>
      </c>
      <c r="E118" s="97">
        <f t="shared" si="46"/>
        <v>0</v>
      </c>
      <c r="F118" s="97">
        <f t="shared" si="46"/>
        <v>0</v>
      </c>
      <c r="G118" s="97">
        <f t="shared" si="46"/>
        <v>0</v>
      </c>
      <c r="H118" s="97">
        <f t="shared" si="46"/>
        <v>0</v>
      </c>
      <c r="I118" s="97">
        <f t="shared" si="46"/>
        <v>0</v>
      </c>
      <c r="J118" s="97">
        <f t="shared" si="46"/>
        <v>0</v>
      </c>
      <c r="K118" s="97">
        <f t="shared" si="46"/>
        <v>0</v>
      </c>
      <c r="L118" s="97">
        <f t="shared" si="46"/>
        <v>0</v>
      </c>
      <c r="M118" s="97">
        <f t="shared" si="46"/>
        <v>0</v>
      </c>
      <c r="N118" s="97">
        <f t="shared" si="46"/>
        <v>0</v>
      </c>
    </row>
    <row r="119" spans="1:14" x14ac:dyDescent="0.2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x14ac:dyDescent="0.2"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</row>
    <row r="121" spans="1:14" x14ac:dyDescent="0.2">
      <c r="C121" s="352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4"/>
    </row>
    <row r="122" spans="1:14" x14ac:dyDescent="0.2">
      <c r="A122" s="7" t="s">
        <v>460</v>
      </c>
      <c r="C122" s="334">
        <f t="shared" ref="C122:N122" si="47">C118+C106+C80+C21</f>
        <v>54936000</v>
      </c>
      <c r="D122" s="332">
        <f t="shared" si="47"/>
        <v>5949320</v>
      </c>
      <c r="E122" s="332">
        <f t="shared" si="47"/>
        <v>2085337</v>
      </c>
      <c r="F122" s="332">
        <f t="shared" si="47"/>
        <v>17048343</v>
      </c>
      <c r="G122" s="332">
        <f t="shared" si="47"/>
        <v>0</v>
      </c>
      <c r="H122" s="332">
        <f t="shared" si="47"/>
        <v>25602950</v>
      </c>
      <c r="I122" s="332">
        <f t="shared" si="47"/>
        <v>2643490</v>
      </c>
      <c r="J122" s="332">
        <f t="shared" si="47"/>
        <v>1606560</v>
      </c>
      <c r="K122" s="332">
        <f t="shared" si="47"/>
        <v>0</v>
      </c>
      <c r="L122" s="332">
        <f t="shared" si="47"/>
        <v>48986680</v>
      </c>
      <c r="M122" s="332">
        <f t="shared" si="47"/>
        <v>54936000</v>
      </c>
      <c r="N122" s="335">
        <f t="shared" si="47"/>
        <v>0</v>
      </c>
    </row>
    <row r="123" spans="1:14" x14ac:dyDescent="0.2">
      <c r="A123" s="7" t="s">
        <v>67</v>
      </c>
      <c r="C123" s="334">
        <f t="shared" ref="C123:N123" si="48">C119+C107+C81+C22</f>
        <v>4791880</v>
      </c>
      <c r="D123" s="332">
        <f t="shared" si="48"/>
        <v>475945.60000000003</v>
      </c>
      <c r="E123" s="332">
        <f t="shared" si="48"/>
        <v>166826.96</v>
      </c>
      <c r="F123" s="332">
        <f t="shared" si="48"/>
        <v>1472067.44</v>
      </c>
      <c r="G123" s="332">
        <f t="shared" si="48"/>
        <v>0</v>
      </c>
      <c r="H123" s="332">
        <f t="shared" si="48"/>
        <v>2257796</v>
      </c>
      <c r="I123" s="332">
        <f t="shared" si="48"/>
        <v>258879.2</v>
      </c>
      <c r="J123" s="332">
        <f t="shared" si="48"/>
        <v>160364.79999999999</v>
      </c>
      <c r="K123" s="332">
        <f t="shared" si="48"/>
        <v>0</v>
      </c>
      <c r="L123" s="332">
        <f t="shared" si="48"/>
        <v>4315934.4000000004</v>
      </c>
      <c r="M123" s="332">
        <f t="shared" si="48"/>
        <v>4791880</v>
      </c>
      <c r="N123" s="335">
        <f t="shared" si="48"/>
        <v>0</v>
      </c>
    </row>
    <row r="124" spans="1:14" x14ac:dyDescent="0.2">
      <c r="C124" s="355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356"/>
    </row>
    <row r="125" spans="1:14" x14ac:dyDescent="0.2">
      <c r="C125" s="357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8"/>
    </row>
    <row r="126" spans="1:14" x14ac:dyDescent="0.2">
      <c r="A126" s="7" t="s">
        <v>493</v>
      </c>
      <c r="C126" s="334">
        <f>C122+C123</f>
        <v>59727880</v>
      </c>
      <c r="D126" s="332">
        <f t="shared" ref="D126:N126" si="49">D122+D123</f>
        <v>6425265.5999999996</v>
      </c>
      <c r="E126" s="332">
        <f t="shared" si="49"/>
        <v>2252163.96</v>
      </c>
      <c r="F126" s="332">
        <f t="shared" si="49"/>
        <v>18520410.440000001</v>
      </c>
      <c r="G126" s="332">
        <f t="shared" si="49"/>
        <v>0</v>
      </c>
      <c r="H126" s="332">
        <f t="shared" si="49"/>
        <v>27860746</v>
      </c>
      <c r="I126" s="332">
        <f t="shared" si="49"/>
        <v>2902369.2</v>
      </c>
      <c r="J126" s="332">
        <f t="shared" si="49"/>
        <v>1766924.8</v>
      </c>
      <c r="K126" s="332">
        <f t="shared" si="49"/>
        <v>0</v>
      </c>
      <c r="L126" s="332">
        <f t="shared" si="49"/>
        <v>53302614.399999999</v>
      </c>
      <c r="M126" s="332">
        <f t="shared" si="49"/>
        <v>59727880</v>
      </c>
      <c r="N126" s="335">
        <f t="shared" si="49"/>
        <v>0</v>
      </c>
    </row>
    <row r="127" spans="1:14" x14ac:dyDescent="0.2">
      <c r="C127" s="355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356"/>
    </row>
    <row r="128" spans="1:14" x14ac:dyDescent="0.2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</row>
    <row r="133" spans="2:2" x14ac:dyDescent="0.2">
      <c r="B133" s="171" t="s">
        <v>368</v>
      </c>
    </row>
  </sheetData>
  <sortState ref="A11:XFD79">
    <sortCondition ref="B11:B79"/>
  </sortState>
  <pageMargins left="0.45" right="0.45" top="0.5" bottom="0.5" header="0.3" footer="0.3"/>
  <pageSetup scale="56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 x14ac:dyDescent="0.2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 x14ac:dyDescent="0.2">
      <c r="A1" s="7" t="s">
        <v>77</v>
      </c>
      <c r="F1" s="1" t="str">
        <f>Assumptions!$B$12</f>
        <v>Internal</v>
      </c>
    </row>
    <row r="2" spans="1:6" x14ac:dyDescent="0.2">
      <c r="A2" s="7" t="str">
        <f>Assumptions!$B$10</f>
        <v>City of Manteca</v>
      </c>
      <c r="F2" s="2" t="str">
        <f>Assumptions!$B$13</f>
        <v>Working Draft - v9</v>
      </c>
    </row>
    <row r="3" spans="1:6" x14ac:dyDescent="0.2">
      <c r="A3" s="7" t="str">
        <f>Assumptions!$B$18</f>
        <v>PFF Sewer Collection Fee</v>
      </c>
      <c r="F3" s="3">
        <f>Assumptions!$B$14</f>
        <v>41291</v>
      </c>
    </row>
    <row r="4" spans="1:6" x14ac:dyDescent="0.2">
      <c r="A4" s="7" t="s">
        <v>83</v>
      </c>
    </row>
    <row r="8" spans="1:6" x14ac:dyDescent="0.2">
      <c r="A8" s="8"/>
      <c r="B8" s="8"/>
      <c r="C8" s="8"/>
      <c r="D8" s="8"/>
      <c r="E8" s="363" t="s">
        <v>14</v>
      </c>
      <c r="F8" s="363"/>
    </row>
    <row r="9" spans="1:6" x14ac:dyDescent="0.2">
      <c r="A9" s="9"/>
      <c r="B9" s="9"/>
      <c r="C9" s="9"/>
      <c r="D9" s="9"/>
      <c r="E9" s="9" t="s">
        <v>15</v>
      </c>
      <c r="F9" s="10" t="s">
        <v>16</v>
      </c>
    </row>
    <row r="10" spans="1:6" x14ac:dyDescent="0.2">
      <c r="A10" s="48"/>
      <c r="B10" s="48"/>
      <c r="C10" s="48"/>
      <c r="D10" s="48"/>
      <c r="E10" s="48"/>
      <c r="F10" s="49"/>
    </row>
    <row r="11" spans="1:6" x14ac:dyDescent="0.2">
      <c r="A11" s="7" t="s">
        <v>81</v>
      </c>
      <c r="B11" s="11"/>
      <c r="C11" s="11"/>
      <c r="D11" s="11"/>
      <c r="E11" s="11"/>
      <c r="F11" s="12"/>
    </row>
    <row r="12" spans="1:6" x14ac:dyDescent="0.2">
      <c r="A12" s="7"/>
      <c r="B12" s="11" t="s">
        <v>17</v>
      </c>
      <c r="C12" s="11"/>
      <c r="D12" s="11"/>
      <c r="E12" s="11"/>
      <c r="F12" s="13"/>
    </row>
    <row r="13" spans="1:6" x14ac:dyDescent="0.2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 x14ac:dyDescent="0.2">
      <c r="A14" s="7"/>
      <c r="B14" s="11"/>
      <c r="C14" s="11" t="s">
        <v>19</v>
      </c>
      <c r="D14" s="11"/>
      <c r="E14" s="11"/>
      <c r="F14" s="14">
        <v>1128000</v>
      </c>
    </row>
    <row r="15" spans="1:6" x14ac:dyDescent="0.2">
      <c r="A15" s="7"/>
      <c r="B15" s="11"/>
      <c r="C15" s="11" t="s">
        <v>20</v>
      </c>
      <c r="D15" s="11"/>
      <c r="E15" s="11"/>
      <c r="F15" s="14">
        <v>1192800</v>
      </c>
    </row>
    <row r="16" spans="1:6" x14ac:dyDescent="0.2">
      <c r="A16" s="7"/>
      <c r="B16" s="11"/>
      <c r="C16" s="11" t="s">
        <v>21</v>
      </c>
      <c r="D16" s="11"/>
      <c r="E16" s="11"/>
      <c r="F16" s="14">
        <v>1128000</v>
      </c>
    </row>
    <row r="17" spans="1:6" x14ac:dyDescent="0.2">
      <c r="A17" s="7"/>
      <c r="B17" s="11"/>
      <c r="C17" s="11" t="s">
        <v>22</v>
      </c>
      <c r="D17" s="11"/>
      <c r="E17" s="11"/>
      <c r="F17" s="14">
        <v>2975106</v>
      </c>
    </row>
    <row r="18" spans="1:6" x14ac:dyDescent="0.2">
      <c r="A18" s="7"/>
      <c r="B18" s="11"/>
      <c r="C18" s="11"/>
      <c r="D18" s="11"/>
      <c r="E18" s="11"/>
      <c r="F18" s="14"/>
    </row>
    <row r="19" spans="1:6" x14ac:dyDescent="0.2">
      <c r="A19" s="7"/>
      <c r="B19" s="11" t="s">
        <v>23</v>
      </c>
      <c r="C19" s="11"/>
      <c r="D19" s="11"/>
      <c r="E19" s="11"/>
      <c r="F19" s="14"/>
    </row>
    <row r="20" spans="1:6" x14ac:dyDescent="0.2">
      <c r="A20" s="7"/>
      <c r="B20" s="11"/>
      <c r="C20" s="11" t="s">
        <v>24</v>
      </c>
      <c r="D20" s="11"/>
      <c r="E20" s="11"/>
      <c r="F20" s="14">
        <v>369600</v>
      </c>
    </row>
    <row r="21" spans="1:6" x14ac:dyDescent="0.2">
      <c r="A21" s="7"/>
      <c r="B21" s="11"/>
      <c r="C21" s="11" t="s">
        <v>25</v>
      </c>
      <c r="D21" s="11"/>
      <c r="E21" s="11"/>
      <c r="F21" s="14">
        <v>385000</v>
      </c>
    </row>
    <row r="22" spans="1:6" x14ac:dyDescent="0.2">
      <c r="A22" s="7"/>
      <c r="B22" s="11"/>
      <c r="C22" s="11" t="s">
        <v>26</v>
      </c>
      <c r="D22" s="11"/>
      <c r="E22" s="11"/>
      <c r="F22" s="14">
        <v>185500</v>
      </c>
    </row>
    <row r="23" spans="1:6" x14ac:dyDescent="0.2">
      <c r="A23" s="7"/>
      <c r="B23" s="11"/>
      <c r="C23" s="11" t="s">
        <v>27</v>
      </c>
      <c r="D23" s="11"/>
      <c r="E23" s="11"/>
      <c r="F23" s="14">
        <v>185500</v>
      </c>
    </row>
    <row r="24" spans="1:6" x14ac:dyDescent="0.2">
      <c r="A24" s="7"/>
      <c r="B24" s="11"/>
      <c r="C24" s="11" t="s">
        <v>28</v>
      </c>
      <c r="D24" s="11"/>
      <c r="E24" s="11"/>
      <c r="F24" s="14">
        <v>369600</v>
      </c>
    </row>
    <row r="25" spans="1:6" x14ac:dyDescent="0.2">
      <c r="A25" s="7"/>
      <c r="B25" s="11"/>
      <c r="C25" s="11" t="s">
        <v>29</v>
      </c>
      <c r="D25" s="11"/>
      <c r="E25" s="11"/>
      <c r="F25" s="14">
        <v>420000</v>
      </c>
    </row>
    <row r="26" spans="1:6" x14ac:dyDescent="0.2">
      <c r="A26" s="7"/>
      <c r="B26" s="11"/>
      <c r="C26" s="11" t="s">
        <v>30</v>
      </c>
      <c r="D26" s="11"/>
      <c r="E26" s="11"/>
      <c r="F26" s="14">
        <v>273000</v>
      </c>
    </row>
    <row r="27" spans="1:6" x14ac:dyDescent="0.2">
      <c r="A27" s="7"/>
      <c r="B27" s="11"/>
      <c r="C27" s="11" t="s">
        <v>31</v>
      </c>
      <c r="D27" s="11"/>
      <c r="E27" s="28"/>
      <c r="F27" s="29">
        <v>500000</v>
      </c>
    </row>
    <row r="28" spans="1:6" x14ac:dyDescent="0.2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">
      <c r="A29" s="7"/>
      <c r="B29" s="11"/>
      <c r="C29" s="11"/>
      <c r="D29" s="11"/>
      <c r="E29" s="14"/>
      <c r="F29" s="14"/>
    </row>
    <row r="30" spans="1:6" x14ac:dyDescent="0.2">
      <c r="A30" s="7" t="s">
        <v>82</v>
      </c>
      <c r="B30" s="11"/>
      <c r="C30" s="11"/>
      <c r="D30" s="11"/>
      <c r="E30" s="11"/>
      <c r="F30" s="14"/>
    </row>
    <row r="31" spans="1:6" x14ac:dyDescent="0.2">
      <c r="A31" s="7"/>
      <c r="B31" s="11" t="s">
        <v>32</v>
      </c>
      <c r="C31" s="11"/>
      <c r="D31" s="11"/>
      <c r="E31" s="11"/>
      <c r="F31" s="14"/>
    </row>
    <row r="32" spans="1:6" x14ac:dyDescent="0.2">
      <c r="A32" s="7"/>
      <c r="C32" s="11" t="s">
        <v>33</v>
      </c>
      <c r="D32" s="11"/>
      <c r="E32" s="11"/>
      <c r="F32" s="14">
        <v>750000</v>
      </c>
    </row>
    <row r="33" spans="1:6" x14ac:dyDescent="0.2">
      <c r="A33" s="7"/>
      <c r="B33" s="11"/>
      <c r="C33" s="11" t="s">
        <v>34</v>
      </c>
      <c r="D33" s="11"/>
      <c r="E33" s="11"/>
      <c r="F33" s="14">
        <v>453000</v>
      </c>
    </row>
    <row r="34" spans="1:6" x14ac:dyDescent="0.2">
      <c r="A34" s="7"/>
      <c r="B34" s="11"/>
      <c r="C34" s="11" t="s">
        <v>35</v>
      </c>
      <c r="D34" s="11"/>
      <c r="E34" s="11"/>
      <c r="F34" s="14">
        <v>453000</v>
      </c>
    </row>
    <row r="35" spans="1:6" x14ac:dyDescent="0.2">
      <c r="A35" s="7"/>
      <c r="B35" s="11"/>
      <c r="C35" s="11" t="s">
        <v>36</v>
      </c>
      <c r="D35" s="11"/>
      <c r="E35" s="11"/>
      <c r="F35" s="14">
        <v>453000</v>
      </c>
    </row>
    <row r="36" spans="1:6" x14ac:dyDescent="0.2">
      <c r="A36" s="7"/>
      <c r="B36" s="11"/>
      <c r="C36" s="11"/>
      <c r="D36" s="11"/>
      <c r="E36" s="11"/>
      <c r="F36" s="14"/>
    </row>
    <row r="37" spans="1:6" x14ac:dyDescent="0.2">
      <c r="A37" s="7"/>
      <c r="B37" s="11" t="s">
        <v>37</v>
      </c>
      <c r="C37" s="11"/>
      <c r="D37" s="11"/>
      <c r="E37" s="11"/>
      <c r="F37" s="14"/>
    </row>
    <row r="38" spans="1:6" x14ac:dyDescent="0.2">
      <c r="A38" s="7"/>
      <c r="B38" s="11"/>
      <c r="C38" s="11" t="s">
        <v>38</v>
      </c>
      <c r="D38" s="11"/>
      <c r="E38" s="11"/>
      <c r="F38" s="14">
        <v>1118000</v>
      </c>
    </row>
    <row r="39" spans="1:6" x14ac:dyDescent="0.2">
      <c r="A39" s="7"/>
      <c r="B39" s="11"/>
      <c r="C39" s="11" t="s">
        <v>39</v>
      </c>
      <c r="D39" s="11"/>
      <c r="E39" s="11"/>
      <c r="F39" s="14">
        <v>453000</v>
      </c>
    </row>
    <row r="40" spans="1:6" x14ac:dyDescent="0.2">
      <c r="A40" s="7"/>
      <c r="B40" s="11"/>
      <c r="C40" s="11" t="s">
        <v>40</v>
      </c>
      <c r="D40" s="11"/>
      <c r="E40" s="30"/>
      <c r="F40" s="31">
        <v>666000</v>
      </c>
    </row>
    <row r="41" spans="1:6" x14ac:dyDescent="0.2">
      <c r="A41" s="7"/>
      <c r="B41" s="11"/>
      <c r="C41" s="11" t="s">
        <v>41</v>
      </c>
      <c r="D41" s="11"/>
      <c r="E41" s="28"/>
      <c r="F41" s="29">
        <v>453000</v>
      </c>
    </row>
    <row r="42" spans="1:6" x14ac:dyDescent="0.2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 x14ac:dyDescent="0.2">
      <c r="A43" s="11"/>
      <c r="B43" s="11"/>
      <c r="C43" s="11"/>
      <c r="D43" s="11"/>
      <c r="E43" s="28"/>
      <c r="F43" s="28"/>
    </row>
    <row r="44" spans="1:6" x14ac:dyDescent="0.2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">
      <c r="A45" s="11"/>
      <c r="B45" s="7"/>
      <c r="C45" s="7"/>
      <c r="D45" s="7"/>
      <c r="E45" s="15"/>
      <c r="F45" s="15"/>
    </row>
    <row r="46" spans="1:6" x14ac:dyDescent="0.2">
      <c r="A46" s="11"/>
      <c r="B46" s="7"/>
      <c r="C46" s="7"/>
      <c r="D46" s="7"/>
      <c r="E46" s="15"/>
      <c r="F46" s="15"/>
    </row>
    <row r="47" spans="1:6" x14ac:dyDescent="0.2">
      <c r="A47" s="7" t="s">
        <v>71</v>
      </c>
      <c r="B47" s="11"/>
      <c r="C47" s="11"/>
      <c r="D47" s="11"/>
      <c r="E47" s="11"/>
      <c r="F47" s="11"/>
    </row>
    <row r="48" spans="1:6" x14ac:dyDescent="0.2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 x14ac:dyDescent="0.2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 x14ac:dyDescent="0.2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">
      <c r="A51" s="11"/>
      <c r="B51" s="7"/>
      <c r="C51" s="11"/>
      <c r="D51" s="16"/>
      <c r="E51" s="17"/>
      <c r="F51" s="17"/>
    </row>
    <row r="52" spans="1:6" x14ac:dyDescent="0.2">
      <c r="A52" s="11"/>
      <c r="B52" s="11"/>
      <c r="C52" s="11"/>
      <c r="D52" s="11"/>
      <c r="E52" s="11"/>
      <c r="F52" s="11"/>
    </row>
    <row r="53" spans="1:6" ht="23.25" customHeight="1" x14ac:dyDescent="0.2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"/>
    <row r="55" spans="1:6" x14ac:dyDescent="0.2">
      <c r="A55" s="20" t="s">
        <v>45</v>
      </c>
    </row>
    <row r="58" spans="1:6" x14ac:dyDescent="0.2">
      <c r="B58" t="s">
        <v>11</v>
      </c>
    </row>
    <row r="59" spans="1:6" x14ac:dyDescent="0.2">
      <c r="B59" t="s">
        <v>78</v>
      </c>
    </row>
    <row r="61" spans="1:6" x14ac:dyDescent="0.2">
      <c r="B61" s="171" t="s">
        <v>220</v>
      </c>
    </row>
    <row r="69" ht="18.75" customHeight="1" x14ac:dyDescent="0.2"/>
    <row r="72" ht="4.5" customHeight="1" x14ac:dyDescent="0.2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ColWidth="8.85546875" defaultRowHeight="12.75" x14ac:dyDescent="0.2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 x14ac:dyDescent="0.2">
      <c r="A1" s="209" t="s">
        <v>88</v>
      </c>
      <c r="N1" s="51" t="str">
        <f>Assumptions!$B$12</f>
        <v>Internal</v>
      </c>
    </row>
    <row r="2" spans="1:16" x14ac:dyDescent="0.2">
      <c r="A2" s="50" t="str">
        <f>Assumptions!B10</f>
        <v>City of Manteca</v>
      </c>
      <c r="N2" s="52" t="str">
        <f>Assumptions!$B$13</f>
        <v>Working Draft - v9</v>
      </c>
    </row>
    <row r="3" spans="1:16" x14ac:dyDescent="0.2">
      <c r="A3" s="50" t="str">
        <f>Assumptions!B18</f>
        <v>PFF Sewer Collection Fee</v>
      </c>
      <c r="N3" s="53">
        <f>Assumptions!$B$14</f>
        <v>41291</v>
      </c>
    </row>
    <row r="4" spans="1:16" x14ac:dyDescent="0.2">
      <c r="A4" s="50" t="s">
        <v>132</v>
      </c>
      <c r="N4" s="95"/>
    </row>
    <row r="5" spans="1:16" x14ac:dyDescent="0.2">
      <c r="N5" s="95"/>
    </row>
    <row r="6" spans="1:16" x14ac:dyDescent="0.2">
      <c r="N6" s="95"/>
    </row>
    <row r="9" spans="1:16" x14ac:dyDescent="0.2">
      <c r="C9" s="364" t="s">
        <v>89</v>
      </c>
      <c r="D9" s="365"/>
      <c r="E9" s="365"/>
      <c r="F9" s="365"/>
      <c r="G9" s="365"/>
      <c r="H9" s="365"/>
      <c r="I9" s="365"/>
      <c r="J9" s="365"/>
      <c r="K9" s="365"/>
      <c r="L9" s="366"/>
      <c r="M9" s="54"/>
    </row>
    <row r="10" spans="1:16" x14ac:dyDescent="0.2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 x14ac:dyDescent="0.2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 x14ac:dyDescent="0.2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 x14ac:dyDescent="0.2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 x14ac:dyDescent="0.2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 x14ac:dyDescent="0.2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">
      <c r="N53" s="61"/>
    </row>
    <row r="54" spans="1:16" x14ac:dyDescent="0.2">
      <c r="A54" s="92" t="s">
        <v>124</v>
      </c>
      <c r="N54" s="61"/>
    </row>
    <row r="55" spans="1:16" x14ac:dyDescent="0.2">
      <c r="A55" s="50" t="s">
        <v>125</v>
      </c>
      <c r="N55" s="61">
        <f t="shared" ref="N55:N65" si="8">SUM(C55:M55)</f>
        <v>0</v>
      </c>
    </row>
    <row r="56" spans="1:16" x14ac:dyDescent="0.2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">
      <c r="A60" s="50" t="s">
        <v>126</v>
      </c>
      <c r="G60" s="62">
        <f>H51</f>
        <v>-1581488</v>
      </c>
      <c r="N60" s="61">
        <f t="shared" si="8"/>
        <v>-1581488</v>
      </c>
    </row>
    <row r="61" spans="1:16" x14ac:dyDescent="0.2">
      <c r="A61" s="50" t="s">
        <v>127</v>
      </c>
      <c r="N61" s="61">
        <f t="shared" si="8"/>
        <v>0</v>
      </c>
    </row>
    <row r="62" spans="1:16" x14ac:dyDescent="0.2">
      <c r="A62" s="50" t="s">
        <v>128</v>
      </c>
      <c r="G62" s="62">
        <f>J51</f>
        <v>40590</v>
      </c>
      <c r="N62" s="61">
        <f t="shared" si="8"/>
        <v>40590</v>
      </c>
    </row>
    <row r="63" spans="1:16" x14ac:dyDescent="0.2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">
      <c r="A67" s="92" t="s">
        <v>131</v>
      </c>
      <c r="N67" s="61"/>
    </row>
    <row r="68" spans="1:14" x14ac:dyDescent="0.2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 x14ac:dyDescent="0.2">
      <c r="A69" s="50" t="s">
        <v>0</v>
      </c>
      <c r="D69" s="62"/>
      <c r="N69" s="61">
        <f t="shared" si="10"/>
        <v>0</v>
      </c>
    </row>
    <row r="70" spans="1:14" x14ac:dyDescent="0.2">
      <c r="A70" s="50" t="s">
        <v>1</v>
      </c>
      <c r="E70" s="62"/>
      <c r="N70" s="61">
        <f t="shared" si="10"/>
        <v>0</v>
      </c>
    </row>
    <row r="71" spans="1:14" x14ac:dyDescent="0.2">
      <c r="A71" s="50" t="s">
        <v>2</v>
      </c>
      <c r="F71" s="62"/>
      <c r="N71" s="61">
        <f t="shared" si="10"/>
        <v>0</v>
      </c>
    </row>
    <row r="72" spans="1:14" x14ac:dyDescent="0.2">
      <c r="A72" s="50" t="s">
        <v>3</v>
      </c>
      <c r="G72" s="62"/>
      <c r="N72" s="61">
        <f t="shared" si="10"/>
        <v>0</v>
      </c>
    </row>
    <row r="73" spans="1:14" x14ac:dyDescent="0.2">
      <c r="A73" s="50" t="s">
        <v>126</v>
      </c>
      <c r="G73" s="62"/>
      <c r="N73" s="61">
        <f t="shared" si="10"/>
        <v>0</v>
      </c>
    </row>
    <row r="74" spans="1:14" x14ac:dyDescent="0.2">
      <c r="A74" s="50" t="s">
        <v>127</v>
      </c>
      <c r="I74" s="62">
        <f>I51</f>
        <v>427959</v>
      </c>
      <c r="N74" s="61">
        <f t="shared" si="10"/>
        <v>427959</v>
      </c>
    </row>
    <row r="75" spans="1:14" x14ac:dyDescent="0.2">
      <c r="A75" s="50" t="s">
        <v>128</v>
      </c>
      <c r="G75" s="62"/>
      <c r="N75" s="61">
        <f t="shared" si="10"/>
        <v>0</v>
      </c>
    </row>
    <row r="76" spans="1:14" x14ac:dyDescent="0.2">
      <c r="A76" s="50" t="s">
        <v>4</v>
      </c>
      <c r="K76" s="62">
        <f>K64</f>
        <v>0</v>
      </c>
      <c r="N76" s="61">
        <f t="shared" si="10"/>
        <v>0</v>
      </c>
    </row>
    <row r="77" spans="1:14" x14ac:dyDescent="0.2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QD2UCF5UJE4V-699202894-407</_dlc_DocId>
    <_dlc_DocIdUrl xmlns="7184055b-e5ea-4162-8b19-ace5c644b73a">
      <Url>http://intranet2/pw/_layouts/15/DocIdRedir.aspx?ID=QD2UCF5UJE4V-699202894-407</Url>
      <Description>QD2UCF5UJE4V-699202894-407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B0528C-2F81-4584-9A4F-1D7C6332B7F0}"/>
</file>

<file path=customXml/itemProps2.xml><?xml version="1.0" encoding="utf-8"?>
<ds:datastoreItem xmlns:ds="http://schemas.openxmlformats.org/officeDocument/2006/customXml" ds:itemID="{D2751437-891C-47F9-9E5A-0BCB867ADD22}"/>
</file>

<file path=customXml/itemProps3.xml><?xml version="1.0" encoding="utf-8"?>
<ds:datastoreItem xmlns:ds="http://schemas.openxmlformats.org/officeDocument/2006/customXml" ds:itemID="{93B43E2E-EA32-43C3-8085-D05DAC3EC7F8}"/>
</file>

<file path=customXml/itemProps4.xml><?xml version="1.0" encoding="utf-8"?>
<ds:datastoreItem xmlns:ds="http://schemas.openxmlformats.org/officeDocument/2006/customXml" ds:itemID="{176AD264-0AB4-4AD6-81A9-63F44B8846E0}"/>
</file>

<file path=customXml/itemProps5.xml><?xml version="1.0" encoding="utf-8"?>
<ds:datastoreItem xmlns:ds="http://schemas.openxmlformats.org/officeDocument/2006/customXml" ds:itemID="{5069A725-5D58-4F1E-B51F-9E52ECC207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Assumptions</vt:lpstr>
      <vt:lpstr>1. Wastewater Fee Calc Sum</vt:lpstr>
      <vt:lpstr>1.1 Fee Summary By Land use</vt:lpstr>
      <vt:lpstr>1.2 EDU Factors</vt:lpstr>
      <vt:lpstr>1.3 Total EDUs Developed</vt:lpstr>
      <vt:lpstr>1.3 Total EDUs Developed w23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grich6769</cp:lastModifiedBy>
  <cp:lastPrinted>2013-01-17T17:35:54Z</cp:lastPrinted>
  <dcterms:created xsi:type="dcterms:W3CDTF">2012-01-03T01:48:06Z</dcterms:created>
  <dcterms:modified xsi:type="dcterms:W3CDTF">2013-01-17T17:59:45Z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0afa62c1-fed6-4039-b330-5d6c116916e8</vt:lpwstr>
  </property>
  <property fmtid="{D5CDD505-2E9C-101B-9397-08002B2CF9AE}" pid="4" name="Order">
    <vt:r8>17100</vt:r8>
  </property>
  <property fmtid="{D5CDD505-2E9C-101B-9397-08002B2CF9AE}" pid="5" name="TemplateUrl">
    <vt:lpwstr/>
  </property>
  <property fmtid="{D5CDD505-2E9C-101B-9397-08002B2CF9AE}" pid="6" name="_dlc_DocId">
    <vt:lpwstr>DS6S4WKU732Q-3-171</vt:lpwstr>
  </property>
  <property fmtid="{D5CDD505-2E9C-101B-9397-08002B2CF9AE}" pid="7" name="_dlc_DocIdUrl">
    <vt:lpwstr>http://intranet:12013/_layouts/DocIdRedir.aspx?ID=DS6S4WKU732Q-3-171, DS6S4WKU732Q-3-171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