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 firstSheet="1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C38" i="16"/>
  <c r="CA38" i="16"/>
  <c r="BZ38" i="16"/>
  <c r="CE37" i="16"/>
  <c r="CD37" i="16"/>
  <c r="CC37" i="16"/>
  <c r="CA37" i="16"/>
  <c r="BZ37" i="16"/>
  <c r="CE36" i="16"/>
  <c r="CD36" i="16"/>
  <c r="CC36" i="16"/>
  <c r="CA36" i="16"/>
  <c r="BZ36" i="16"/>
  <c r="CE35" i="16"/>
  <c r="CD35" i="16"/>
  <c r="CC35" i="16"/>
  <c r="CA35" i="16"/>
  <c r="BZ35" i="16"/>
  <c r="CE34" i="16"/>
  <c r="CD34" i="16"/>
  <c r="CC34" i="16"/>
  <c r="CA34" i="16"/>
  <c r="BZ34" i="16"/>
  <c r="CE33" i="16"/>
  <c r="CD33" i="16"/>
  <c r="CC33" i="16"/>
  <c r="CA33" i="16"/>
  <c r="BZ33" i="16"/>
  <c r="CE32" i="16"/>
  <c r="CD32" i="16"/>
  <c r="CC32" i="16"/>
  <c r="CA32" i="16"/>
  <c r="BZ32" i="16"/>
  <c r="CE31" i="16"/>
  <c r="CD31" i="16"/>
  <c r="CC31" i="16"/>
  <c r="CA31" i="16"/>
  <c r="BZ31" i="16"/>
  <c r="CE30" i="16"/>
  <c r="CD30" i="16"/>
  <c r="CC30" i="16"/>
  <c r="CA30" i="16"/>
  <c r="BZ30" i="16"/>
  <c r="CE29" i="16"/>
  <c r="CD29" i="16"/>
  <c r="CC29" i="16"/>
  <c r="CA29" i="16"/>
  <c r="BZ29" i="16"/>
  <c r="CE28" i="16"/>
  <c r="CD28" i="16"/>
  <c r="CC28" i="16"/>
  <c r="CA28" i="16"/>
  <c r="BZ28" i="16"/>
  <c r="CE27" i="16"/>
  <c r="CD27" i="16"/>
  <c r="CC27" i="16"/>
  <c r="CA27" i="16"/>
  <c r="BZ27" i="16"/>
  <c r="CE26" i="16"/>
  <c r="CD26" i="16"/>
  <c r="CC26" i="16"/>
  <c r="CA26" i="16"/>
  <c r="BZ26" i="16"/>
  <c r="CE25" i="16"/>
  <c r="CD25" i="16"/>
  <c r="CC25" i="16"/>
  <c r="CA25" i="16"/>
  <c r="BZ25" i="16"/>
  <c r="CE24" i="16"/>
  <c r="CD24" i="16"/>
  <c r="CC24" i="16"/>
  <c r="CA24" i="16"/>
  <c r="BZ24" i="16"/>
  <c r="CE23" i="16"/>
  <c r="CD23" i="16"/>
  <c r="CC23" i="16"/>
  <c r="CA23" i="16"/>
  <c r="BZ23" i="16"/>
  <c r="CE22" i="16"/>
  <c r="CD22" i="16"/>
  <c r="CC22" i="16"/>
  <c r="CA22" i="16"/>
  <c r="BZ22" i="16"/>
  <c r="CE21" i="16"/>
  <c r="CD21" i="16"/>
  <c r="CC21" i="16"/>
  <c r="CA21" i="16"/>
  <c r="BZ21" i="16"/>
  <c r="CE20" i="16"/>
  <c r="CD20" i="16"/>
  <c r="CC20" i="16"/>
  <c r="CA20" i="16"/>
  <c r="BZ20" i="16"/>
  <c r="CE19" i="16"/>
  <c r="CD19" i="16"/>
  <c r="CC19" i="16"/>
  <c r="CA19" i="16"/>
  <c r="BZ19" i="16"/>
  <c r="CE18" i="16"/>
  <c r="CD18" i="16"/>
  <c r="CC18" i="16"/>
  <c r="CA18" i="16"/>
  <c r="BZ18" i="16"/>
  <c r="CE17" i="16"/>
  <c r="CD17" i="16"/>
  <c r="CC17" i="16"/>
  <c r="CA17" i="16"/>
  <c r="BZ17" i="16"/>
  <c r="CE16" i="16"/>
  <c r="CD16" i="16"/>
  <c r="CC16" i="16"/>
  <c r="CA16" i="16"/>
  <c r="BZ16" i="16"/>
  <c r="CE15" i="16"/>
  <c r="CD15" i="16"/>
  <c r="CC15" i="16"/>
  <c r="CA15" i="16"/>
  <c r="BZ15" i="16"/>
  <c r="CE14" i="16"/>
  <c r="CD14" i="16"/>
  <c r="CC14" i="16"/>
  <c r="CA14" i="16"/>
  <c r="BZ14" i="16"/>
  <c r="CJ41" i="16"/>
  <c r="CE41" i="16"/>
  <c r="CD41" i="16"/>
  <c r="CC41" i="16"/>
  <c r="CB41" i="16"/>
  <c r="CA41" i="16"/>
  <c r="BZ41" i="16"/>
  <c r="CF38" i="16"/>
  <c r="CF37" i="16"/>
  <c r="CF36" i="16"/>
  <c r="CF35" i="16"/>
  <c r="CF34" i="16"/>
  <c r="CF33" i="16"/>
  <c r="CF32" i="16"/>
  <c r="CF31" i="16"/>
  <c r="CF30" i="16"/>
  <c r="CF29" i="16"/>
  <c r="CF28" i="16"/>
  <c r="CF27" i="16"/>
  <c r="CF26" i="16"/>
  <c r="CF25" i="16"/>
  <c r="CF24" i="16"/>
  <c r="CF23" i="16"/>
  <c r="CF22" i="16"/>
  <c r="CF21" i="16"/>
  <c r="CF20" i="16"/>
  <c r="CF19" i="16"/>
  <c r="CF18" i="16"/>
  <c r="CF17" i="16"/>
  <c r="CF16" i="16"/>
  <c r="CF15" i="16"/>
  <c r="CF14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N27" i="16" s="1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9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7" i="16"/>
  <c r="AI28" i="16"/>
  <c r="AL14" i="16"/>
  <c r="AL28" i="16"/>
  <c r="AM27" i="16"/>
  <c r="AN14" i="16"/>
  <c r="AJ14" i="16"/>
  <c r="AJ27" i="16"/>
  <c r="AJ28" i="16"/>
  <c r="AL27" i="16"/>
  <c r="AN28" i="16"/>
  <c r="CF41" i="16"/>
  <c r="C22" i="14"/>
  <c r="E11" i="14"/>
  <c r="S12" i="14"/>
  <c r="S13" i="14"/>
  <c r="S14" i="14"/>
  <c r="S15" i="14"/>
  <c r="S16" i="14"/>
  <c r="S17" i="14"/>
  <c r="S18" i="14"/>
  <c r="S19" i="14"/>
  <c r="S40" i="14"/>
  <c r="S41" i="14"/>
  <c r="S65" i="14" s="1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7" i="14"/>
  <c r="S98" i="14"/>
  <c r="S99" i="14"/>
  <c r="S100" i="14"/>
  <c r="S101" i="14"/>
  <c r="S102" i="14"/>
  <c r="S103" i="14"/>
  <c r="S104" i="14"/>
  <c r="S105" i="14"/>
  <c r="S106" i="14"/>
  <c r="S107" i="14"/>
  <c r="S115" i="14"/>
  <c r="S116" i="14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S119" i="14" l="1"/>
  <c r="S110" i="14"/>
  <c r="S11" i="14"/>
  <c r="S22" i="14" s="1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125" i="14" l="1"/>
  <c r="C123" i="17"/>
  <c r="L36" i="12"/>
  <c r="M36" i="12" s="1"/>
  <c r="N36" i="12" s="1"/>
  <c r="D64" i="11" l="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58" i="1"/>
  <c r="K12" i="16" s="1"/>
  <c r="H54" i="1"/>
  <c r="U12" i="16" s="1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57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M22" i="17" s="1"/>
  <c r="M24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G52" i="17" s="1"/>
  <c r="G54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I121" i="14" s="1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57" i="14"/>
  <c r="BJ33" i="16" s="1"/>
  <c r="O80" i="14"/>
  <c r="BL25" i="16" s="1"/>
  <c r="O14" i="14"/>
  <c r="BI20" i="16" s="1"/>
  <c r="I104" i="14"/>
  <c r="I87" i="14"/>
  <c r="I81" i="14"/>
  <c r="I79" i="14"/>
  <c r="I77" i="14"/>
  <c r="I75" i="14"/>
  <c r="I73" i="14"/>
  <c r="I60" i="14"/>
  <c r="I52" i="14"/>
  <c r="I40" i="14"/>
  <c r="I103" i="14"/>
  <c r="I97" i="14"/>
  <c r="I80" i="14"/>
  <c r="I57" i="14"/>
  <c r="I55" i="14"/>
  <c r="I51" i="14"/>
  <c r="I45" i="14"/>
  <c r="I43" i="14"/>
  <c r="I41" i="14"/>
  <c r="I15" i="14"/>
  <c r="AE30" i="16" l="1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57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3" i="1" s="1"/>
  <c r="I94" i="14"/>
  <c r="E57" i="1"/>
  <c r="I24" i="14"/>
  <c r="I34" i="14"/>
  <c r="I112" i="14"/>
  <c r="F57" i="1"/>
  <c r="I67" i="14"/>
  <c r="C57" i="1"/>
  <c r="O112" i="14"/>
  <c r="F49" i="1" s="1"/>
  <c r="F53" i="1"/>
  <c r="O92" i="14"/>
  <c r="O94" i="14" s="1"/>
  <c r="E49" i="1" s="1"/>
  <c r="O65" i="14"/>
  <c r="O34" i="14"/>
  <c r="M123" i="17" l="1"/>
  <c r="M126" i="17" s="1"/>
  <c r="BN41" i="16"/>
  <c r="O24" i="14"/>
  <c r="B49" i="1" s="1"/>
  <c r="O125" i="14"/>
  <c r="O128" i="14" s="1"/>
  <c r="G53" i="1"/>
  <c r="O121" i="14"/>
  <c r="G49" i="1" s="1"/>
  <c r="BO20" i="16"/>
  <c r="BO41" i="16" s="1"/>
  <c r="BM41" i="16"/>
  <c r="I57" i="1"/>
  <c r="E53" i="1"/>
  <c r="O67" i="14"/>
  <c r="C49" i="1" s="1"/>
  <c r="C53" i="1"/>
  <c r="I53" i="1" l="1"/>
  <c r="I36" i="1" l="1"/>
  <c r="E29" i="13"/>
  <c r="E37" i="13"/>
  <c r="E21" i="13"/>
  <c r="E13" i="13"/>
  <c r="D72" i="11"/>
  <c r="D71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98" i="12"/>
  <c r="M98" i="12" s="1"/>
  <c r="N98" i="12" s="1"/>
  <c r="L97" i="12"/>
  <c r="M97" i="12" s="1"/>
  <c r="N97" i="12" s="1"/>
  <c r="L96" i="12"/>
  <c r="M96" i="12" s="1"/>
  <c r="N96" i="12" s="1"/>
  <c r="F49" i="11" l="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E45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F80" i="11" l="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F58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BE30" i="16" s="1"/>
  <c r="I34" i="16"/>
  <c r="BE34" i="16" s="1"/>
  <c r="I38" i="16"/>
  <c r="BE38" i="16" s="1"/>
  <c r="I22" i="16"/>
  <c r="BE22" i="16" s="1"/>
  <c r="I16" i="16"/>
  <c r="BE16" i="16" s="1"/>
  <c r="I24" i="16"/>
  <c r="BE24" i="16" s="1"/>
  <c r="I29" i="16"/>
  <c r="BE29" i="16" s="1"/>
  <c r="I33" i="16"/>
  <c r="BE33" i="16" s="1"/>
  <c r="I37" i="16"/>
  <c r="BE37" i="16" s="1"/>
  <c r="I21" i="16"/>
  <c r="BE21" i="16" s="1"/>
  <c r="I14" i="16"/>
  <c r="BE14" i="16" s="1"/>
  <c r="I23" i="16"/>
  <c r="BE23" i="16" s="1"/>
  <c r="I28" i="16"/>
  <c r="BE28" i="16" s="1"/>
  <c r="I32" i="16"/>
  <c r="BE32" i="16" s="1"/>
  <c r="I36" i="16"/>
  <c r="BE36" i="16" s="1"/>
  <c r="I18" i="16"/>
  <c r="BE18" i="16" s="1"/>
  <c r="I26" i="16"/>
  <c r="BE26" i="16" s="1"/>
  <c r="I20" i="16"/>
  <c r="BE20" i="16" s="1"/>
  <c r="I27" i="16"/>
  <c r="BE27" i="16" s="1"/>
  <c r="I31" i="16"/>
  <c r="BE31" i="16" s="1"/>
  <c r="I35" i="16"/>
  <c r="BE35" i="16" s="1"/>
  <c r="I17" i="16"/>
  <c r="BE17" i="16" s="1"/>
  <c r="I25" i="16"/>
  <c r="BE25" i="16" s="1"/>
  <c r="I15" i="16"/>
  <c r="BE15" i="16" s="1"/>
  <c r="I19" i="16"/>
  <c r="BE19" i="16" s="1"/>
  <c r="F50" i="1"/>
  <c r="AC12" i="16" s="1"/>
  <c r="F54" i="1"/>
  <c r="S12" i="16" s="1"/>
  <c r="G38" i="1"/>
  <c r="G47" i="1" s="1"/>
  <c r="B38" i="1"/>
  <c r="B47" i="1" s="1"/>
  <c r="B58" i="1" s="1"/>
  <c r="E12" i="16" s="1"/>
  <c r="C38" i="1"/>
  <c r="C47" i="1" s="1"/>
  <c r="C58" i="1" s="1"/>
  <c r="F12" i="16" s="1"/>
  <c r="E24" i="7"/>
  <c r="F24" i="7" s="1"/>
  <c r="G24" i="7" s="1"/>
  <c r="C25" i="7" s="1"/>
  <c r="E25" i="7" s="1"/>
  <c r="D38" i="1"/>
  <c r="D47" i="1" s="1"/>
  <c r="D58" i="1" s="1"/>
  <c r="G12" i="16" s="1"/>
  <c r="H38" i="1"/>
  <c r="H47" i="1" s="1"/>
  <c r="E38" i="1"/>
  <c r="AC15" i="16" l="1"/>
  <c r="AM15" i="16" s="1"/>
  <c r="AC19" i="16"/>
  <c r="AM19" i="16" s="1"/>
  <c r="AC23" i="16"/>
  <c r="AM23" i="16" s="1"/>
  <c r="AC27" i="16"/>
  <c r="AC31" i="16"/>
  <c r="AM31" i="16" s="1"/>
  <c r="AC35" i="16"/>
  <c r="AM35" i="16" s="1"/>
  <c r="AC14" i="16"/>
  <c r="AC18" i="16"/>
  <c r="AM18" i="16" s="1"/>
  <c r="AC22" i="16"/>
  <c r="AM22" i="16" s="1"/>
  <c r="AC26" i="16"/>
  <c r="AM26" i="16" s="1"/>
  <c r="AC30" i="16"/>
  <c r="AM30" i="16" s="1"/>
  <c r="AC34" i="16"/>
  <c r="AM34" i="16" s="1"/>
  <c r="AC38" i="16"/>
  <c r="AM38" i="16" s="1"/>
  <c r="AC17" i="16"/>
  <c r="AM17" i="16" s="1"/>
  <c r="AC21" i="16"/>
  <c r="AM21" i="16" s="1"/>
  <c r="AC25" i="16"/>
  <c r="AM25" i="16" s="1"/>
  <c r="AC29" i="16"/>
  <c r="AM29" i="16" s="1"/>
  <c r="AC33" i="16"/>
  <c r="AM33" i="16" s="1"/>
  <c r="AC37" i="16"/>
  <c r="AM37" i="16" s="1"/>
  <c r="AC16" i="16"/>
  <c r="AM16" i="16" s="1"/>
  <c r="AC20" i="16"/>
  <c r="AM20" i="16" s="1"/>
  <c r="AC24" i="16"/>
  <c r="AM24" i="16" s="1"/>
  <c r="AC28" i="16"/>
  <c r="AC32" i="16"/>
  <c r="AM32" i="16" s="1"/>
  <c r="AC36" i="16"/>
  <c r="AM36" i="16" s="1"/>
  <c r="CL14" i="16"/>
  <c r="CL18" i="16"/>
  <c r="CL22" i="16"/>
  <c r="CL26" i="16"/>
  <c r="CL30" i="16"/>
  <c r="CL34" i="16"/>
  <c r="CL38" i="16"/>
  <c r="CL17" i="16"/>
  <c r="CL16" i="16"/>
  <c r="CL20" i="16"/>
  <c r="CL24" i="16"/>
  <c r="CL28" i="16"/>
  <c r="CL32" i="16"/>
  <c r="CL36" i="16"/>
  <c r="CL15" i="16"/>
  <c r="CL19" i="16"/>
  <c r="CL23" i="16"/>
  <c r="CL27" i="16"/>
  <c r="CL31" i="16"/>
  <c r="CL35" i="16"/>
  <c r="CL25" i="16"/>
  <c r="CL33" i="16"/>
  <c r="CL21" i="16"/>
  <c r="CL29" i="16"/>
  <c r="CL37" i="16"/>
  <c r="BU16" i="16"/>
  <c r="BU26" i="16"/>
  <c r="BU35" i="16"/>
  <c r="BU36" i="16"/>
  <c r="BU38" i="16"/>
  <c r="BU21" i="16"/>
  <c r="BU23" i="16"/>
  <c r="BU25" i="16"/>
  <c r="BU33" i="16"/>
  <c r="BU34" i="16"/>
  <c r="BU28" i="16"/>
  <c r="BU19" i="16"/>
  <c r="BU27" i="16"/>
  <c r="BU31" i="16"/>
  <c r="BU37" i="16"/>
  <c r="BU14" i="16"/>
  <c r="BU22" i="16"/>
  <c r="BU17" i="16"/>
  <c r="BU30" i="16"/>
  <c r="BU24" i="16"/>
  <c r="BU29" i="16"/>
  <c r="BU15" i="16"/>
  <c r="BU18" i="16"/>
  <c r="BU32" i="16"/>
  <c r="BU20" i="16"/>
  <c r="BE41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58" i="1"/>
  <c r="J12" i="16" s="1"/>
  <c r="G54" i="1"/>
  <c r="T12" i="16" s="1"/>
  <c r="G50" i="1"/>
  <c r="AD12" i="16" s="1"/>
  <c r="E30" i="16"/>
  <c r="BA30" i="16" s="1"/>
  <c r="E34" i="16"/>
  <c r="BA34" i="16" s="1"/>
  <c r="E38" i="16"/>
  <c r="BA38" i="16" s="1"/>
  <c r="E18" i="16"/>
  <c r="BA18" i="16" s="1"/>
  <c r="E26" i="16"/>
  <c r="BA26" i="16" s="1"/>
  <c r="E20" i="16"/>
  <c r="BA20" i="16" s="1"/>
  <c r="E29" i="16"/>
  <c r="BA29" i="16" s="1"/>
  <c r="E33" i="16"/>
  <c r="BA33" i="16" s="1"/>
  <c r="E37" i="16"/>
  <c r="BA37" i="16" s="1"/>
  <c r="E21" i="16"/>
  <c r="BA21" i="16" s="1"/>
  <c r="E19" i="16"/>
  <c r="BA19" i="16" s="1"/>
  <c r="E15" i="16"/>
  <c r="BA15" i="16" s="1"/>
  <c r="E28" i="16"/>
  <c r="BA28" i="16" s="1"/>
  <c r="E32" i="16"/>
  <c r="BA32" i="16" s="1"/>
  <c r="E36" i="16"/>
  <c r="BA36" i="16" s="1"/>
  <c r="E14" i="16"/>
  <c r="BA14" i="16" s="1"/>
  <c r="E22" i="16"/>
  <c r="BA22" i="16" s="1"/>
  <c r="E16" i="16"/>
  <c r="BA16" i="16" s="1"/>
  <c r="E24" i="16"/>
  <c r="BA24" i="16" s="1"/>
  <c r="E31" i="16"/>
  <c r="BA31" i="16" s="1"/>
  <c r="E35" i="16"/>
  <c r="BA35" i="16" s="1"/>
  <c r="E17" i="16"/>
  <c r="BA17" i="16" s="1"/>
  <c r="E25" i="16"/>
  <c r="BA25" i="16" s="1"/>
  <c r="E27" i="16"/>
  <c r="BA27" i="16" s="1"/>
  <c r="E23" i="16"/>
  <c r="BA23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Z12" i="16" s="1"/>
  <c r="C54" i="1"/>
  <c r="P12" i="16" s="1"/>
  <c r="D50" i="1"/>
  <c r="AA12" i="16" s="1"/>
  <c r="D54" i="1"/>
  <c r="Q12" i="16" s="1"/>
  <c r="B50" i="1"/>
  <c r="Y12" i="16" s="1"/>
  <c r="B54" i="1"/>
  <c r="O12" i="16" s="1"/>
  <c r="D25" i="7"/>
  <c r="F25" i="7" s="1"/>
  <c r="G25" i="7" s="1"/>
  <c r="C26" i="7" s="1"/>
  <c r="Y24" i="16" l="1"/>
  <c r="AI24" i="16" s="1"/>
  <c r="Y14" i="16"/>
  <c r="Y15" i="16"/>
  <c r="AI15" i="16" s="1"/>
  <c r="Y17" i="16"/>
  <c r="AI17" i="16" s="1"/>
  <c r="Y19" i="16"/>
  <c r="AI19" i="16" s="1"/>
  <c r="Y21" i="16"/>
  <c r="AI21" i="16" s="1"/>
  <c r="Y23" i="16"/>
  <c r="AI23" i="16" s="1"/>
  <c r="Y26" i="16"/>
  <c r="AI26" i="16" s="1"/>
  <c r="Y28" i="16"/>
  <c r="Y30" i="16"/>
  <c r="AI30" i="16" s="1"/>
  <c r="Y32" i="16"/>
  <c r="AI32" i="16" s="1"/>
  <c r="Y34" i="16"/>
  <c r="AI34" i="16" s="1"/>
  <c r="Y36" i="16"/>
  <c r="AI36" i="16" s="1"/>
  <c r="Y38" i="16"/>
  <c r="AI38" i="16" s="1"/>
  <c r="Y18" i="16"/>
  <c r="AI18" i="16" s="1"/>
  <c r="Y22" i="16"/>
  <c r="AI22" i="16" s="1"/>
  <c r="Y27" i="16"/>
  <c r="Y31" i="16"/>
  <c r="AI31" i="16" s="1"/>
  <c r="Y35" i="16"/>
  <c r="AI35" i="16" s="1"/>
  <c r="CH17" i="16"/>
  <c r="CH21" i="16"/>
  <c r="CH25" i="16"/>
  <c r="CH29" i="16"/>
  <c r="CH33" i="16"/>
  <c r="CH37" i="16"/>
  <c r="CH16" i="16"/>
  <c r="Y16" i="16"/>
  <c r="AI16" i="16" s="1"/>
  <c r="Y20" i="16"/>
  <c r="AI20" i="16" s="1"/>
  <c r="Y25" i="16"/>
  <c r="AI25" i="16" s="1"/>
  <c r="Y29" i="16"/>
  <c r="AI29" i="16" s="1"/>
  <c r="Y33" i="16"/>
  <c r="AI33" i="16" s="1"/>
  <c r="Y37" i="16"/>
  <c r="AI37" i="16" s="1"/>
  <c r="CH15" i="16"/>
  <c r="CH19" i="16"/>
  <c r="CH23" i="16"/>
  <c r="CH27" i="16"/>
  <c r="CH31" i="16"/>
  <c r="CH35" i="16"/>
  <c r="CH14" i="16"/>
  <c r="CH18" i="16"/>
  <c r="CH22" i="16"/>
  <c r="CH26" i="16"/>
  <c r="CH30" i="16"/>
  <c r="CH34" i="16"/>
  <c r="CH38" i="16"/>
  <c r="CH24" i="16"/>
  <c r="CH32" i="16"/>
  <c r="CH20" i="16"/>
  <c r="CH28" i="16"/>
  <c r="CH36" i="16"/>
  <c r="AK37" i="16"/>
  <c r="AA37" i="16"/>
  <c r="AA35" i="16"/>
  <c r="AA33" i="16"/>
  <c r="AA31" i="16"/>
  <c r="AA29" i="16"/>
  <c r="AA27" i="16"/>
  <c r="AA25" i="16"/>
  <c r="AA23" i="16"/>
  <c r="AA21" i="16"/>
  <c r="AA19" i="16"/>
  <c r="AA17" i="16"/>
  <c r="AA15" i="16"/>
  <c r="AA38" i="16"/>
  <c r="AA36" i="16"/>
  <c r="AA34" i="16"/>
  <c r="AA32" i="16"/>
  <c r="AA30" i="16"/>
  <c r="AA28" i="16"/>
  <c r="AA26" i="16"/>
  <c r="AA24" i="16"/>
  <c r="AA22" i="16"/>
  <c r="AA20" i="16"/>
  <c r="AA18" i="16"/>
  <c r="AA16" i="16"/>
  <c r="AA14" i="16"/>
  <c r="AK16" i="16"/>
  <c r="AK20" i="16"/>
  <c r="AK24" i="16"/>
  <c r="AK28" i="16"/>
  <c r="AK32" i="16"/>
  <c r="AK36" i="16"/>
  <c r="AK14" i="16"/>
  <c r="AK18" i="16"/>
  <c r="AK22" i="16"/>
  <c r="AK26" i="16"/>
  <c r="AK30" i="16"/>
  <c r="AK34" i="16"/>
  <c r="AK38" i="16"/>
  <c r="AK17" i="16"/>
  <c r="AK21" i="16"/>
  <c r="AK25" i="16"/>
  <c r="AK29" i="16"/>
  <c r="AK33" i="16"/>
  <c r="AK15" i="16"/>
  <c r="AK19" i="16"/>
  <c r="AK23" i="16"/>
  <c r="AK27" i="16"/>
  <c r="AK31" i="16"/>
  <c r="AK35" i="16"/>
  <c r="Z15" i="16"/>
  <c r="AJ15" i="16" s="1"/>
  <c r="Z17" i="16"/>
  <c r="AJ17" i="16" s="1"/>
  <c r="Z19" i="16"/>
  <c r="AJ19" i="16" s="1"/>
  <c r="Z21" i="16"/>
  <c r="AJ21" i="16" s="1"/>
  <c r="Z23" i="16"/>
  <c r="AJ23" i="16" s="1"/>
  <c r="Z25" i="16"/>
  <c r="AJ25" i="16" s="1"/>
  <c r="Z27" i="16"/>
  <c r="Z29" i="16"/>
  <c r="AJ29" i="16" s="1"/>
  <c r="Z31" i="16"/>
  <c r="AJ31" i="16" s="1"/>
  <c r="Z33" i="16"/>
  <c r="AJ33" i="16" s="1"/>
  <c r="Z35" i="16"/>
  <c r="AJ35" i="16" s="1"/>
  <c r="Z37" i="16"/>
  <c r="AJ37" i="16" s="1"/>
  <c r="Z14" i="16"/>
  <c r="Z16" i="16"/>
  <c r="AJ16" i="16" s="1"/>
  <c r="Z18" i="16"/>
  <c r="AJ18" i="16" s="1"/>
  <c r="Z20" i="16"/>
  <c r="AJ20" i="16" s="1"/>
  <c r="Z22" i="16"/>
  <c r="AJ22" i="16" s="1"/>
  <c r="Z24" i="16"/>
  <c r="AJ24" i="16" s="1"/>
  <c r="Z26" i="16"/>
  <c r="AJ26" i="16" s="1"/>
  <c r="Z28" i="16"/>
  <c r="Z30" i="16"/>
  <c r="AJ30" i="16" s="1"/>
  <c r="Z32" i="16"/>
  <c r="AJ32" i="16" s="1"/>
  <c r="Z34" i="16"/>
  <c r="AJ34" i="16" s="1"/>
  <c r="Z36" i="16"/>
  <c r="AJ36" i="16" s="1"/>
  <c r="Z38" i="16"/>
  <c r="AJ38" i="16" s="1"/>
  <c r="CI16" i="16"/>
  <c r="CI20" i="16"/>
  <c r="CI24" i="16"/>
  <c r="CI28" i="16"/>
  <c r="CI32" i="16"/>
  <c r="CI36" i="16"/>
  <c r="CI15" i="16"/>
  <c r="CI14" i="16"/>
  <c r="CI18" i="16"/>
  <c r="CI22" i="16"/>
  <c r="CI26" i="16"/>
  <c r="CI30" i="16"/>
  <c r="CI34" i="16"/>
  <c r="CI38" i="16"/>
  <c r="CI17" i="16"/>
  <c r="CI21" i="16"/>
  <c r="CI25" i="16"/>
  <c r="CI29" i="16"/>
  <c r="CI33" i="16"/>
  <c r="CI37" i="16"/>
  <c r="CI19" i="16"/>
  <c r="CI27" i="16"/>
  <c r="CI35" i="16"/>
  <c r="CI23" i="16"/>
  <c r="CI31" i="16"/>
  <c r="CL41" i="16"/>
  <c r="AD14" i="16"/>
  <c r="AD18" i="16"/>
  <c r="AN18" i="16" s="1"/>
  <c r="AD22" i="16"/>
  <c r="AN22" i="16" s="1"/>
  <c r="AD26" i="16"/>
  <c r="AN26" i="16" s="1"/>
  <c r="AD30" i="16"/>
  <c r="AN30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CM41" i="16" l="1"/>
  <c r="CI41" i="16"/>
  <c r="CH41" i="16"/>
  <c r="BF41" i="16"/>
  <c r="BQ41" i="16"/>
  <c r="BR41" i="16"/>
  <c r="BV41" i="16"/>
  <c r="F26" i="7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E58" i="1" s="1"/>
  <c r="H12" i="16" s="1"/>
  <c r="G52" i="7"/>
  <c r="H21" i="16" l="1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AB12" i="16" s="1"/>
  <c r="E54" i="1"/>
  <c r="R12" i="16" s="1"/>
  <c r="AB17" i="16" l="1"/>
  <c r="AL17" i="16" s="1"/>
  <c r="AB21" i="16"/>
  <c r="AL21" i="16" s="1"/>
  <c r="AB25" i="16"/>
  <c r="AL25" i="16" s="1"/>
  <c r="AB29" i="16"/>
  <c r="AL29" i="16" s="1"/>
  <c r="AB33" i="16"/>
  <c r="AL33" i="16" s="1"/>
  <c r="AB37" i="16"/>
  <c r="AL37" i="16" s="1"/>
  <c r="AB15" i="16"/>
  <c r="AL15" i="16" s="1"/>
  <c r="AB19" i="16"/>
  <c r="AL19" i="16" s="1"/>
  <c r="AB23" i="16"/>
  <c r="AL23" i="16" s="1"/>
  <c r="AB27" i="16"/>
  <c r="AB31" i="16"/>
  <c r="AL31" i="16" s="1"/>
  <c r="AB35" i="16"/>
  <c r="AL35" i="16" s="1"/>
  <c r="AB16" i="16"/>
  <c r="AL16" i="16" s="1"/>
  <c r="AB14" i="16"/>
  <c r="AB20" i="16"/>
  <c r="AL20" i="16" s="1"/>
  <c r="AB24" i="16"/>
  <c r="AL24" i="16" s="1"/>
  <c r="AB28" i="16"/>
  <c r="AB32" i="16"/>
  <c r="AL32" i="16" s="1"/>
  <c r="AB36" i="16"/>
  <c r="AL36" i="16" s="1"/>
  <c r="CK15" i="16"/>
  <c r="CN15" i="16" s="1"/>
  <c r="CO15" i="16" s="1"/>
  <c r="CK19" i="16"/>
  <c r="CN19" i="16" s="1"/>
  <c r="CK23" i="16"/>
  <c r="CN23" i="16" s="1"/>
  <c r="CO23" i="16" s="1"/>
  <c r="CK27" i="16"/>
  <c r="CN27" i="16" s="1"/>
  <c r="CO27" i="16" s="1"/>
  <c r="CK31" i="16"/>
  <c r="CN31" i="16" s="1"/>
  <c r="CK35" i="16"/>
  <c r="CN35" i="16" s="1"/>
  <c r="CO35" i="16" s="1"/>
  <c r="CK14" i="16"/>
  <c r="CK18" i="16"/>
  <c r="CN18" i="16" s="1"/>
  <c r="CO18" i="16" s="1"/>
  <c r="AB18" i="16"/>
  <c r="AL18" i="16" s="1"/>
  <c r="AB22" i="16"/>
  <c r="AL22" i="16" s="1"/>
  <c r="AB26" i="16"/>
  <c r="AL26" i="16" s="1"/>
  <c r="AB30" i="16"/>
  <c r="AL30" i="16" s="1"/>
  <c r="AB34" i="16"/>
  <c r="AL34" i="16" s="1"/>
  <c r="AB38" i="16"/>
  <c r="AL38" i="16" s="1"/>
  <c r="CK17" i="16"/>
  <c r="CN17" i="16" s="1"/>
  <c r="CO17" i="16" s="1"/>
  <c r="CK21" i="16"/>
  <c r="CN21" i="16" s="1"/>
  <c r="CO21" i="16" s="1"/>
  <c r="CK25" i="16"/>
  <c r="CN25" i="16" s="1"/>
  <c r="CO25" i="16" s="1"/>
  <c r="CK29" i="16"/>
  <c r="CN29" i="16" s="1"/>
  <c r="CO29" i="16" s="1"/>
  <c r="CK33" i="16"/>
  <c r="CN33" i="16" s="1"/>
  <c r="CO33" i="16" s="1"/>
  <c r="CK37" i="16"/>
  <c r="CN37" i="16" s="1"/>
  <c r="CO37" i="16" s="1"/>
  <c r="CK16" i="16"/>
  <c r="CN16" i="16" s="1"/>
  <c r="CO16" i="16" s="1"/>
  <c r="CK20" i="16"/>
  <c r="CN20" i="16" s="1"/>
  <c r="CO20" i="16" s="1"/>
  <c r="CK24" i="16"/>
  <c r="CN24" i="16" s="1"/>
  <c r="CK28" i="16"/>
  <c r="CN28" i="16" s="1"/>
  <c r="CO28" i="16" s="1"/>
  <c r="CK32" i="16"/>
  <c r="CN32" i="16" s="1"/>
  <c r="CO32" i="16" s="1"/>
  <c r="CK36" i="16"/>
  <c r="CN36" i="16" s="1"/>
  <c r="CO36" i="16" s="1"/>
  <c r="CK22" i="16"/>
  <c r="CN22" i="16" s="1"/>
  <c r="CO22" i="16" s="1"/>
  <c r="CK30" i="16"/>
  <c r="CN30" i="16" s="1"/>
  <c r="CK38" i="16"/>
  <c r="CN38" i="16" s="1"/>
  <c r="CO38" i="16" s="1"/>
  <c r="CK26" i="16"/>
  <c r="CN26" i="16" s="1"/>
  <c r="CO26" i="16" s="1"/>
  <c r="CK34" i="16"/>
  <c r="CN34" i="16" s="1"/>
  <c r="CO34" i="16" s="1"/>
  <c r="CO30" i="16"/>
  <c r="CO31" i="16"/>
  <c r="CO19" i="16"/>
  <c r="CO24" i="16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CK41" i="16" l="1"/>
  <c r="CN14" i="16"/>
  <c r="CN41" i="16" s="1"/>
  <c r="BG41" i="16"/>
  <c r="BT41" i="16"/>
  <c r="BW14" i="16"/>
  <c r="BW41" i="16" s="1"/>
  <c r="CO14" i="16" l="1"/>
  <c r="BX14" i="16"/>
</calcChain>
</file>

<file path=xl/sharedStrings.xml><?xml version="1.0" encoding="utf-8"?>
<sst xmlns="http://schemas.openxmlformats.org/spreadsheetml/2006/main" count="1186" uniqueCount="498">
  <si>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</si>
  <si>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</si>
  <si>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</si>
  <si>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</si>
  <si>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</si>
  <si>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</si>
  <si>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</si>
  <si>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</si>
  <si>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</si>
  <si>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</si>
  <si>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</si>
  <si>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</si>
  <si>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</si>
  <si>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</si>
  <si>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</si>
  <si>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</si>
  <si>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</si>
  <si>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</si>
  <si>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</si>
  <si>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</si>
  <si>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</si>
  <si>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</si>
  <si>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</si>
  <si>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</si>
  <si>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</si>
  <si>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</si>
  <si>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</si>
  <si>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</si>
  <si>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</si>
  <si>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</si>
  <si>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</si>
  <si>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</si>
  <si>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</si>
  <si>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</si>
  <si>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</si>
  <si>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</si>
  <si>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</si>
  <si>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</si>
  <si>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</si>
  <si>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</si>
  <si>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</si>
  <si>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</si>
  <si>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</si>
  <si>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</si>
  <si>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</si>
  <si>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</si>
  <si>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</si>
  <si>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</si>
  <si>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</si>
  <si>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</si>
  <si>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</si>
  <si>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</si>
  <si>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</si>
  <si>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</si>
  <si>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</si>
  <si>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</si>
  <si>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</si>
  <si>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</si>
  <si>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</si>
  <si>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</si>
  <si>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</si>
  <si>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</si>
  <si>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</si>
  <si>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</si>
  <si>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</si>
  <si>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</si>
  <si>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</si>
  <si>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</si>
  <si>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</si>
  <si>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</si>
  <si>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</si>
  <si>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</si>
  <si>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</si>
  <si>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</si>
  <si>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</si>
  <si>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</si>
  <si>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</si>
  <si>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</si>
  <si>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</si>
  <si>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</si>
  <si>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</si>
  <si>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</si>
  <si>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</si>
  <si>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</si>
  <si>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</si>
  <si>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</si>
  <si>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</si>
  <si>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</si>
  <si>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</si>
  <si>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</si>
  <si>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</si>
  <si>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</si>
  <si>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</si>
  <si>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</si>
  <si>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</si>
  <si>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</si>
  <si>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</si>
  <si>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</si>
  <si>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</si>
  <si>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</si>
  <si>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</si>
  <si>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</si>
  <si>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</si>
  <si>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</si>
  <si>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</si>
  <si>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</si>
  <si>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</si>
  <si>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</si>
  <si>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</si>
  <si>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</si>
  <si>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</si>
  <si>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</si>
  <si>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</si>
  <si>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</si>
  <si>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</si>
  <si>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</si>
  <si>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</si>
  <si>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</si>
  <si>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</si>
  <si>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</si>
  <si>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</si>
  <si>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</si>
  <si>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</si>
  <si>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</si>
  <si>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</si>
  <si>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</si>
  <si>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</si>
  <si>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</si>
  <si>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</si>
  <si>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</si>
  <si>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</si>
  <si>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</si>
  <si>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</si>
  <si>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</si>
  <si>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</si>
  <si>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</si>
  <si>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</si>
  <si>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</si>
  <si>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</si>
  <si>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</si>
  <si>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</si>
  <si>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</si>
  <si>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</si>
  <si>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</si>
  <si>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</si>
  <si>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</si>
  <si>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</si>
  <si>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</si>
  <si>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</si>
  <si>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</si>
  <si>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</si>
  <si>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</si>
  <si>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</si>
  <si>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</si>
  <si>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</si>
  <si>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</si>
  <si>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</si>
  <si>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</si>
  <si>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</si>
  <si>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</si>
  <si>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</si>
  <si>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</si>
  <si>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</si>
  <si>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</si>
  <si>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</si>
  <si>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</si>
  <si>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</si>
  <si>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</si>
  <si>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</si>
  <si>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</si>
  <si>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</si>
  <si>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</si>
  <si>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</si>
  <si>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</si>
  <si>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</si>
  <si>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</si>
  <si>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</si>
  <si>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</si>
  <si>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</si>
  <si>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</si>
  <si>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</si>
  <si>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</si>
  <si>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</si>
  <si>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</si>
  <si>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</si>
  <si>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</si>
  <si>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</si>
  <si>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</si>
  <si>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</si>
  <si>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</si>
  <si>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</si>
  <si>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</si>
  <si>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</si>
  <si>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</si>
  <si>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</si>
  <si>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</si>
  <si>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</si>
  <si>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</si>
  <si>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</si>
  <si>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</si>
  <si>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</si>
  <si>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</si>
  <si>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</si>
  <si>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</si>
  <si>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</si>
  <si>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</si>
  <si>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</si>
  <si>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</si>
  <si>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</si>
  <si>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</si>
  <si>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</si>
  <si>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</si>
  <si>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</si>
  <si>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</si>
  <si>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</si>
  <si>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</si>
  <si>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</si>
  <si>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</si>
  <si>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</si>
  <si>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</si>
  <si>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</si>
  <si>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</si>
  <si>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</si>
  <si>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</si>
  <si>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</si>
  <si>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</si>
  <si>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</si>
  <si>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</si>
  <si>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</si>
  <si>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</si>
  <si>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</si>
  <si>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</si>
  <si>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</si>
  <si>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</si>
  <si>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</si>
  <si>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</si>
  <si>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</si>
  <si>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</si>
  <si>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</si>
  <si>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</si>
  <si>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</si>
  <si>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</si>
  <si>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</si>
  <si>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</si>
  <si>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</si>
  <si>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</si>
  <si>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</si>
  <si>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</si>
  <si>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</si>
  <si>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</si>
  <si>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</si>
  <si>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</si>
  <si>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</si>
  <si>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</si>
  <si>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</si>
  <si>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</si>
  <si>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</si>
  <si>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</si>
  <si>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</si>
  <si>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</si>
  <si>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</si>
  <si>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</si>
  <si>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</si>
  <si>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</si>
  <si>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</si>
  <si>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</si>
  <si>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</si>
  <si>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</si>
  <si>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</si>
  <si>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</si>
  <si>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</si>
  <si>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</si>
  <si>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</si>
  <si>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</si>
  <si>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</si>
  <si>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</si>
  <si>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</si>
  <si>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</si>
  <si>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</si>
  <si>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</si>
  <si>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</si>
  <si>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</si>
  <si>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</si>
  <si>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</si>
  <si>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</si>
  <si>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</si>
  <si>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</si>
  <si>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</si>
  <si>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</si>
  <si>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</si>
  <si>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</si>
  <si>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</si>
  <si>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</si>
  <si>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</si>
  <si>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</si>
  <si>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</si>
  <si>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</si>
  <si>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</si>
  <si>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</si>
  <si>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</si>
  <si>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</si>
  <si>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</si>
  <si>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</si>
  <si>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</si>
  <si>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</si>
  <si>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</si>
  <si>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</si>
  <si>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</si>
  <si>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</si>
  <si>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</si>
  <si>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</si>
  <si>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</si>
  <si>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</si>
  <si>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</si>
  <si>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</si>
  <si>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</si>
  <si>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</si>
  <si>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</si>
  <si>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</si>
  <si>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</si>
  <si>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</si>
  <si>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</si>
  <si>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</si>
  <si>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</si>
  <si>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</si>
  <si>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</si>
  <si>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</si>
  <si>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</si>
  <si>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</si>
  <si>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</si>
  <si>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</si>
  <si>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</si>
  <si>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</si>
  <si>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</si>
  <si>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</si>
  <si>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</si>
  <si>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</si>
  <si>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</si>
  <si>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</si>
  <si>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</si>
  <si>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</si>
  <si>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</si>
  <si>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</si>
  <si>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</si>
  <si>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</si>
  <si>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</si>
  <si>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</si>
  <si>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</si>
  <si>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</si>
  <si>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</si>
  <si>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</si>
  <si>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</si>
  <si>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</si>
  <si>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</si>
  <si>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</si>
  <si>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</si>
  <si>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</si>
  <si>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</si>
  <si>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</si>
  <si>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</si>
  <si>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</si>
  <si>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</si>
  <si>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</si>
  <si>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</si>
  <si>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</si>
  <si>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</si>
  <si>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</si>
  <si>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</si>
  <si>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</si>
  <si>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</si>
  <si>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</si>
  <si>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</si>
  <si>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</si>
  <si>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</si>
  <si>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</si>
  <si>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</si>
  <si>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</si>
  <si>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</si>
  <si>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</si>
  <si>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</si>
  <si>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</si>
  <si>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</si>
  <si>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</si>
  <si>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</si>
  <si>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</si>
  <si>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</si>
  <si>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</si>
  <si>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</si>
  <si>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</si>
  <si>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</si>
  <si>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</si>
  <si>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</si>
  <si>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</si>
  <si>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</si>
  <si>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</si>
  <si>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</si>
  <si>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</si>
  <si>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</si>
  <si>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</si>
  <si>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</si>
  <si>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</si>
  <si>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</si>
  <si>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</si>
  <si>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</si>
  <si>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</si>
  <si>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</si>
  <si>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</si>
  <si>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</si>
  <si>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</si>
  <si>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</si>
  <si>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</si>
  <si>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</si>
  <si>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</si>
  <si>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</si>
  <si>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</si>
  <si>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</si>
  <si>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</si>
  <si>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</si>
  <si>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</si>
  <si>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</si>
  <si>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</si>
  <si>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</si>
  <si>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</si>
  <si>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</si>
  <si>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</si>
  <si>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</si>
  <si>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</si>
  <si>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</si>
  <si>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</si>
  <si>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</si>
  <si>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</si>
  <si>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</si>
  <si>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</si>
  <si>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</si>
  <si>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</si>
  <si>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</si>
  <si>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</si>
  <si>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</si>
  <si>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</si>
  <si>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</si>
  <si>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</si>
  <si>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</si>
  <si>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</si>
  <si>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</si>
  <si>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</si>
  <si>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</si>
  <si>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</si>
  <si>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</si>
  <si>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</si>
  <si>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</si>
  <si>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</si>
  <si>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</si>
  <si>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</si>
  <si>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</si>
  <si>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</si>
  <si>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</si>
  <si>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</si>
  <si>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</si>
  <si>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</si>
  <si>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</si>
  <si>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</si>
  <si>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</si>
  <si>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</si>
  <si>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</si>
  <si>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</si>
  <si>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</si>
  <si>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</si>
  <si>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</si>
  <si>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</si>
  <si>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</si>
  <si>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</si>
  <si>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</si>
  <si>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</si>
  <si>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</si>
  <si>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</si>
  <si>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</si>
  <si>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</si>
  <si>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</si>
  <si>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</si>
  <si>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</si>
  <si>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</si>
  <si>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</si>
  <si>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</si>
  <si>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</si>
  <si>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</si>
  <si>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</si>
  <si>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</si>
  <si>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</si>
  <si>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Working Draft - v8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</si>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</sst>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6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4" sqref="B14"/>
    </sheetView>
  </sheetViews>
  <sheetFormatPr defaultRowHeight="13.2" x14ac:dyDescent="0.25"/>
  <cols>
    <col min="1" max="1" width="18.5546875" bestFit="1" customWidth="1"/>
    <col min="2" max="2" width="22.5546875" bestFit="1" customWidth="1"/>
  </cols>
  <sheetData>
    <row r="10" spans="1:2" x14ac:dyDescent="0.25">
      <c r="A10" t="s">
        <v>65</v>
      </c>
      <c r="B10" t="s">
        <v>58</v>
      </c>
    </row>
    <row r="12" spans="1:2" x14ac:dyDescent="0.25">
      <c r="A12" t="s">
        <v>72</v>
      </c>
      <c r="B12" t="s">
        <v>75</v>
      </c>
    </row>
    <row r="13" spans="1:2" x14ac:dyDescent="0.25">
      <c r="A13" t="s">
        <v>73</v>
      </c>
      <c r="B13" s="171" t="s">
        <v>488</v>
      </c>
    </row>
    <row r="14" spans="1:2" x14ac:dyDescent="0.25">
      <c r="A14" t="s">
        <v>74</v>
      </c>
      <c r="B14" s="172">
        <v>41248</v>
      </c>
    </row>
    <row r="17" spans="1:2" x14ac:dyDescent="0.25">
      <c r="A17" s="5" t="s">
        <v>63</v>
      </c>
    </row>
    <row r="18" spans="1:2" x14ac:dyDescent="0.25">
      <c r="A18" t="s">
        <v>64</v>
      </c>
      <c r="B18" t="s">
        <v>59</v>
      </c>
    </row>
    <row r="21" spans="1:2" x14ac:dyDescent="0.25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RowHeight="13.2" x14ac:dyDescent="0.25"/>
  <cols>
    <col min="1" max="1" width="13.6640625" style="181" customWidth="1"/>
    <col min="2" max="2" width="8.88671875" style="182"/>
    <col min="3" max="3" width="13.6640625" style="183" customWidth="1"/>
    <col min="4" max="4" width="9.5546875" style="175" bestFit="1" customWidth="1"/>
    <col min="5" max="5" width="13.109375" style="175" bestFit="1" customWidth="1"/>
    <col min="6" max="6" width="10.44140625" style="175" bestFit="1" customWidth="1"/>
    <col min="7" max="7" width="10.5546875" style="180" bestFit="1" customWidth="1"/>
    <col min="8" max="16384" width="8.88671875" style="175"/>
  </cols>
  <sheetData>
    <row r="1" spans="1:4" x14ac:dyDescent="0.25">
      <c r="A1" s="209" t="s">
        <v>88</v>
      </c>
    </row>
    <row r="2" spans="1:4" x14ac:dyDescent="0.25">
      <c r="A2" s="50" t="str">
        <f>Assumptions!B10</f>
        <v>City of Manteca</v>
      </c>
    </row>
    <row r="3" spans="1:4" x14ac:dyDescent="0.25">
      <c r="A3" s="50" t="str">
        <f>Assumptions!B18</f>
        <v>PFF Sewer Collection Fee</v>
      </c>
    </row>
    <row r="4" spans="1:4" x14ac:dyDescent="0.25">
      <c r="A4" s="209" t="s">
        <v>370</v>
      </c>
    </row>
    <row r="5" spans="1:4" x14ac:dyDescent="0.25">
      <c r="A5" s="50"/>
    </row>
    <row r="6" spans="1:4" ht="43.2" customHeight="1" x14ac:dyDescent="0.25">
      <c r="A6" s="173" t="s">
        <v>221</v>
      </c>
      <c r="B6" s="173" t="s">
        <v>222</v>
      </c>
      <c r="C6" s="174" t="s">
        <v>223</v>
      </c>
      <c r="D6" s="184"/>
    </row>
    <row r="7" spans="1:4" x14ac:dyDescent="0.25">
      <c r="A7" s="176" t="s">
        <v>224</v>
      </c>
      <c r="B7" s="177" t="s">
        <v>225</v>
      </c>
      <c r="C7" s="178">
        <v>0.999977</v>
      </c>
    </row>
    <row r="8" spans="1:4" x14ac:dyDescent="0.25">
      <c r="A8" s="179"/>
      <c r="B8" s="177" t="s">
        <v>226</v>
      </c>
      <c r="C8" s="178">
        <v>76.184443999999999</v>
      </c>
    </row>
    <row r="9" spans="1:4" x14ac:dyDescent="0.25">
      <c r="A9" s="179"/>
      <c r="B9" s="177" t="s">
        <v>227</v>
      </c>
      <c r="C9" s="178">
        <v>36.631224000000003</v>
      </c>
    </row>
    <row r="10" spans="1:4" x14ac:dyDescent="0.25">
      <c r="A10" s="179"/>
      <c r="B10" s="177" t="s">
        <v>228</v>
      </c>
      <c r="C10" s="178">
        <v>34.912390000000002</v>
      </c>
    </row>
    <row r="11" spans="1:4" x14ac:dyDescent="0.25">
      <c r="A11" s="179"/>
      <c r="B11" s="177" t="s">
        <v>229</v>
      </c>
      <c r="C11" s="178">
        <v>155.287542</v>
      </c>
    </row>
    <row r="12" spans="1:4" x14ac:dyDescent="0.25">
      <c r="A12" s="179"/>
      <c r="B12" s="177" t="s">
        <v>230</v>
      </c>
      <c r="C12" s="178">
        <v>7.910844</v>
      </c>
    </row>
    <row r="13" spans="1:4" x14ac:dyDescent="0.25">
      <c r="A13" s="179"/>
      <c r="B13" s="177" t="s">
        <v>231</v>
      </c>
      <c r="C13" s="178">
        <v>55.914966</v>
      </c>
    </row>
    <row r="14" spans="1:4" x14ac:dyDescent="0.25">
      <c r="A14" s="179"/>
      <c r="B14" s="177" t="s">
        <v>232</v>
      </c>
      <c r="C14" s="178">
        <v>13.091668</v>
      </c>
    </row>
    <row r="15" spans="1:4" x14ac:dyDescent="0.25">
      <c r="A15" s="179"/>
      <c r="B15" s="177" t="s">
        <v>233</v>
      </c>
      <c r="C15" s="178">
        <v>8.6079319999999999</v>
      </c>
    </row>
    <row r="16" spans="1:4" x14ac:dyDescent="0.25">
      <c r="A16" s="179"/>
      <c r="B16" s="177" t="s">
        <v>234</v>
      </c>
      <c r="C16" s="178">
        <v>6.7649600000000003</v>
      </c>
    </row>
    <row r="17" spans="1:3" x14ac:dyDescent="0.25">
      <c r="A17" s="179"/>
      <c r="B17" s="177"/>
      <c r="C17" s="178"/>
    </row>
    <row r="18" spans="1:3" x14ac:dyDescent="0.25">
      <c r="A18" s="176" t="s">
        <v>235</v>
      </c>
      <c r="B18" s="177" t="s">
        <v>236</v>
      </c>
      <c r="C18" s="178">
        <v>3385.3006839999998</v>
      </c>
    </row>
    <row r="19" spans="1:3" x14ac:dyDescent="0.25">
      <c r="A19" s="179"/>
      <c r="B19" s="177" t="s">
        <v>226</v>
      </c>
      <c r="C19" s="178">
        <v>29.292310000000001</v>
      </c>
    </row>
    <row r="20" spans="1:3" x14ac:dyDescent="0.25">
      <c r="A20" s="179"/>
      <c r="B20" s="177" t="s">
        <v>227</v>
      </c>
      <c r="C20" s="178">
        <v>18.761132</v>
      </c>
    </row>
    <row r="21" spans="1:3" x14ac:dyDescent="0.25">
      <c r="A21" s="179"/>
      <c r="B21" s="177" t="s">
        <v>228</v>
      </c>
      <c r="C21" s="178">
        <v>25.666180000000001</v>
      </c>
    </row>
    <row r="22" spans="1:3" x14ac:dyDescent="0.25">
      <c r="A22" s="179"/>
      <c r="B22" s="177" t="s">
        <v>237</v>
      </c>
      <c r="C22" s="178">
        <v>175.12787800000001</v>
      </c>
    </row>
    <row r="23" spans="1:3" x14ac:dyDescent="0.25">
      <c r="A23" s="179"/>
      <c r="B23" s="177" t="s">
        <v>229</v>
      </c>
      <c r="C23" s="178">
        <v>1033.033453</v>
      </c>
    </row>
    <row r="24" spans="1:3" x14ac:dyDescent="0.25">
      <c r="A24" s="179"/>
      <c r="B24" s="177" t="s">
        <v>230</v>
      </c>
      <c r="C24" s="178">
        <v>527.84235899999999</v>
      </c>
    </row>
    <row r="25" spans="1:3" x14ac:dyDescent="0.25">
      <c r="A25" s="179"/>
      <c r="B25" s="177" t="s">
        <v>231</v>
      </c>
      <c r="C25" s="178">
        <v>19.097294000000002</v>
      </c>
    </row>
    <row r="26" spans="1:3" x14ac:dyDescent="0.25">
      <c r="A26" s="179"/>
      <c r="B26" s="177" t="s">
        <v>232</v>
      </c>
      <c r="C26" s="178">
        <v>22.485962000000001</v>
      </c>
    </row>
    <row r="27" spans="1:3" x14ac:dyDescent="0.25">
      <c r="A27" s="179"/>
      <c r="B27" s="177" t="s">
        <v>238</v>
      </c>
      <c r="C27" s="178">
        <v>15.368535</v>
      </c>
    </row>
    <row r="28" spans="1:3" x14ac:dyDescent="0.25">
      <c r="A28" s="179"/>
      <c r="B28" s="177" t="s">
        <v>233</v>
      </c>
      <c r="C28" s="178">
        <v>44.270046000000001</v>
      </c>
    </row>
    <row r="29" spans="1:3" x14ac:dyDescent="0.25">
      <c r="A29" s="179"/>
      <c r="B29" s="177" t="s">
        <v>239</v>
      </c>
      <c r="C29" s="178">
        <v>157.17575600000001</v>
      </c>
    </row>
    <row r="30" spans="1:3" x14ac:dyDescent="0.25">
      <c r="A30" s="179"/>
      <c r="B30" s="177" t="s">
        <v>240</v>
      </c>
      <c r="C30" s="178">
        <v>578.53751799999998</v>
      </c>
    </row>
    <row r="31" spans="1:3" x14ac:dyDescent="0.25">
      <c r="A31" s="179"/>
      <c r="B31" s="177" t="s">
        <v>241</v>
      </c>
      <c r="C31" s="178">
        <v>1152.6550749999999</v>
      </c>
    </row>
    <row r="32" spans="1:3" x14ac:dyDescent="0.25">
      <c r="A32" s="179"/>
      <c r="B32" s="177" t="s">
        <v>242</v>
      </c>
      <c r="C32" s="178">
        <v>43.057797000000001</v>
      </c>
    </row>
    <row r="33" spans="1:5" x14ac:dyDescent="0.25">
      <c r="A33" s="179"/>
      <c r="B33" s="177" t="s">
        <v>243</v>
      </c>
      <c r="C33" s="178">
        <v>40.434798000000001</v>
      </c>
    </row>
    <row r="34" spans="1:5" x14ac:dyDescent="0.25">
      <c r="A34" s="179"/>
      <c r="B34" s="177" t="s">
        <v>244</v>
      </c>
      <c r="C34" s="178">
        <v>754.374683</v>
      </c>
    </row>
    <row r="35" spans="1:5" x14ac:dyDescent="0.25">
      <c r="A35" s="179"/>
      <c r="B35" s="177" t="s">
        <v>245</v>
      </c>
      <c r="C35" s="178">
        <v>114.44947000000001</v>
      </c>
    </row>
    <row r="36" spans="1:5" x14ac:dyDescent="0.25">
      <c r="A36" s="179"/>
      <c r="B36" s="177" t="s">
        <v>246</v>
      </c>
      <c r="C36" s="178">
        <v>19.736191999999999</v>
      </c>
    </row>
    <row r="37" spans="1:5" x14ac:dyDescent="0.25">
      <c r="A37" s="179"/>
      <c r="B37" s="177" t="s">
        <v>247</v>
      </c>
      <c r="C37" s="178">
        <v>37.560957999999999</v>
      </c>
    </row>
    <row r="38" spans="1:5" x14ac:dyDescent="0.25">
      <c r="A38" s="179"/>
      <c r="B38" s="177" t="s">
        <v>248</v>
      </c>
      <c r="C38" s="178">
        <v>11.652851999999999</v>
      </c>
    </row>
    <row r="39" spans="1:5" x14ac:dyDescent="0.25">
      <c r="A39" s="179"/>
      <c r="B39" s="177" t="s">
        <v>249</v>
      </c>
      <c r="C39" s="178">
        <v>352.59333099999998</v>
      </c>
    </row>
    <row r="40" spans="1:5" x14ac:dyDescent="0.25">
      <c r="A40" s="179"/>
      <c r="B40" s="177" t="s">
        <v>234</v>
      </c>
      <c r="C40" s="178">
        <v>127.986069</v>
      </c>
      <c r="E40" s="180"/>
    </row>
    <row r="41" spans="1:5" x14ac:dyDescent="0.25">
      <c r="A41" s="179"/>
      <c r="B41" s="177"/>
      <c r="C41" s="178"/>
    </row>
    <row r="42" spans="1:5" x14ac:dyDescent="0.25">
      <c r="A42" s="176" t="s">
        <v>250</v>
      </c>
      <c r="B42" s="177" t="s">
        <v>226</v>
      </c>
      <c r="C42" s="178">
        <v>50.457075000000003</v>
      </c>
    </row>
    <row r="43" spans="1:5" x14ac:dyDescent="0.25">
      <c r="A43" s="179"/>
      <c r="B43" s="177" t="s">
        <v>227</v>
      </c>
      <c r="C43" s="178">
        <v>10.055574999999999</v>
      </c>
    </row>
    <row r="44" spans="1:5" x14ac:dyDescent="0.25">
      <c r="A44" s="179"/>
      <c r="B44" s="177" t="s">
        <v>229</v>
      </c>
      <c r="C44" s="178">
        <v>6.8119079999999999</v>
      </c>
    </row>
    <row r="45" spans="1:5" x14ac:dyDescent="0.25">
      <c r="A45" s="179"/>
      <c r="B45" s="177" t="s">
        <v>230</v>
      </c>
      <c r="C45" s="178">
        <v>34.600757000000002</v>
      </c>
    </row>
    <row r="46" spans="1:5" x14ac:dyDescent="0.25">
      <c r="A46" s="179"/>
      <c r="B46" s="177"/>
      <c r="C46" s="178"/>
    </row>
    <row r="47" spans="1:5" x14ac:dyDescent="0.25">
      <c r="A47" s="176" t="s">
        <v>251</v>
      </c>
      <c r="B47" s="177" t="s">
        <v>236</v>
      </c>
      <c r="C47" s="178">
        <v>111.47872099999999</v>
      </c>
    </row>
    <row r="48" spans="1:5" x14ac:dyDescent="0.25">
      <c r="A48" s="179"/>
      <c r="B48" s="177" t="s">
        <v>252</v>
      </c>
      <c r="C48" s="178">
        <v>44.659910000000004</v>
      </c>
    </row>
    <row r="49" spans="1:3" x14ac:dyDescent="0.25">
      <c r="A49" s="179"/>
      <c r="B49" s="177" t="s">
        <v>226</v>
      </c>
      <c r="C49" s="178">
        <v>162.75238300000001</v>
      </c>
    </row>
    <row r="50" spans="1:3" x14ac:dyDescent="0.25">
      <c r="A50" s="179"/>
      <c r="B50" s="177" t="s">
        <v>227</v>
      </c>
      <c r="C50" s="178">
        <v>320.10928699999999</v>
      </c>
    </row>
    <row r="51" spans="1:3" x14ac:dyDescent="0.25">
      <c r="A51" s="179"/>
      <c r="B51" s="177" t="s">
        <v>228</v>
      </c>
      <c r="C51" s="178">
        <v>68.273225999999994</v>
      </c>
    </row>
    <row r="52" spans="1:3" x14ac:dyDescent="0.25">
      <c r="A52" s="179"/>
      <c r="B52" s="177" t="s">
        <v>237</v>
      </c>
      <c r="C52" s="178">
        <v>563.79220399999997</v>
      </c>
    </row>
    <row r="53" spans="1:3" x14ac:dyDescent="0.25">
      <c r="A53" s="179"/>
      <c r="B53" s="177" t="s">
        <v>229</v>
      </c>
      <c r="C53" s="178">
        <v>1934.059522</v>
      </c>
    </row>
    <row r="54" spans="1:3" x14ac:dyDescent="0.25">
      <c r="A54" s="179"/>
      <c r="B54" s="177" t="s">
        <v>230</v>
      </c>
      <c r="C54" s="178">
        <v>180.02126100000001</v>
      </c>
    </row>
    <row r="55" spans="1:3" x14ac:dyDescent="0.25">
      <c r="A55" s="179"/>
      <c r="B55" s="177" t="s">
        <v>231</v>
      </c>
      <c r="C55" s="178">
        <v>113.576701</v>
      </c>
    </row>
    <row r="56" spans="1:3" x14ac:dyDescent="0.25">
      <c r="A56" s="179"/>
      <c r="B56" s="177" t="s">
        <v>232</v>
      </c>
      <c r="C56" s="178">
        <v>20.52543</v>
      </c>
    </row>
    <row r="57" spans="1:3" x14ac:dyDescent="0.25">
      <c r="A57" s="179"/>
      <c r="B57" s="177" t="s">
        <v>233</v>
      </c>
      <c r="C57" s="178">
        <v>108.351705</v>
      </c>
    </row>
    <row r="58" spans="1:3" x14ac:dyDescent="0.25">
      <c r="A58" s="179"/>
      <c r="B58" s="177" t="s">
        <v>239</v>
      </c>
      <c r="C58" s="178">
        <v>85.042383999999998</v>
      </c>
    </row>
    <row r="59" spans="1:3" x14ac:dyDescent="0.25">
      <c r="A59" s="179"/>
      <c r="B59" s="177" t="s">
        <v>240</v>
      </c>
      <c r="C59" s="178">
        <v>1130.5527509999999</v>
      </c>
    </row>
    <row r="60" spans="1:3" x14ac:dyDescent="0.25">
      <c r="A60" s="179"/>
      <c r="B60" s="177" t="s">
        <v>241</v>
      </c>
      <c r="C60" s="178">
        <v>459.19615099999999</v>
      </c>
    </row>
    <row r="61" spans="1:3" x14ac:dyDescent="0.25">
      <c r="A61" s="179"/>
      <c r="B61" s="177" t="s">
        <v>253</v>
      </c>
      <c r="C61" s="178">
        <v>338.69793499999997</v>
      </c>
    </row>
    <row r="62" spans="1:3" x14ac:dyDescent="0.25">
      <c r="A62" s="179"/>
      <c r="B62" s="177" t="s">
        <v>242</v>
      </c>
      <c r="C62" s="178">
        <v>293.76250499999998</v>
      </c>
    </row>
    <row r="63" spans="1:3" x14ac:dyDescent="0.25">
      <c r="A63" s="179"/>
      <c r="B63" s="177" t="s">
        <v>244</v>
      </c>
      <c r="C63" s="178">
        <v>481.46015399999999</v>
      </c>
    </row>
    <row r="64" spans="1:3" x14ac:dyDescent="0.25">
      <c r="A64" s="179"/>
      <c r="B64" s="177" t="s">
        <v>247</v>
      </c>
      <c r="C64" s="178">
        <v>29.960425000000001</v>
      </c>
    </row>
    <row r="65" spans="1:3" x14ac:dyDescent="0.25">
      <c r="A65" s="179"/>
      <c r="B65" s="177" t="s">
        <v>249</v>
      </c>
      <c r="C65" s="178">
        <v>78.736902000000001</v>
      </c>
    </row>
    <row r="66" spans="1:3" x14ac:dyDescent="0.25">
      <c r="A66" s="179"/>
      <c r="B66" s="177" t="s">
        <v>234</v>
      </c>
      <c r="C66" s="178">
        <v>524.78247399999998</v>
      </c>
    </row>
    <row r="67" spans="1:3" x14ac:dyDescent="0.25">
      <c r="A67" s="179"/>
      <c r="B67" s="177"/>
      <c r="C67" s="178"/>
    </row>
    <row r="68" spans="1:3" x14ac:dyDescent="0.25">
      <c r="A68" s="176" t="s">
        <v>254</v>
      </c>
      <c r="B68" s="177" t="s">
        <v>236</v>
      </c>
      <c r="C68" s="178">
        <v>191.42892800000001</v>
      </c>
    </row>
    <row r="69" spans="1:3" x14ac:dyDescent="0.25">
      <c r="A69" s="179"/>
      <c r="B69" s="177" t="s">
        <v>252</v>
      </c>
      <c r="C69" s="178">
        <v>135.32440500000001</v>
      </c>
    </row>
    <row r="70" spans="1:3" x14ac:dyDescent="0.25">
      <c r="A70" s="179"/>
      <c r="B70" s="177" t="s">
        <v>227</v>
      </c>
      <c r="C70" s="178">
        <v>78.564483999999993</v>
      </c>
    </row>
    <row r="71" spans="1:3" x14ac:dyDescent="0.25">
      <c r="A71" s="179"/>
      <c r="B71" s="177" t="s">
        <v>228</v>
      </c>
      <c r="C71" s="178">
        <v>18.722038000000001</v>
      </c>
    </row>
    <row r="72" spans="1:3" x14ac:dyDescent="0.25">
      <c r="A72" s="179"/>
      <c r="B72" s="177" t="s">
        <v>229</v>
      </c>
      <c r="C72" s="178">
        <v>545.78978700000005</v>
      </c>
    </row>
    <row r="73" spans="1:3" x14ac:dyDescent="0.25">
      <c r="A73" s="179"/>
      <c r="B73" s="177" t="s">
        <v>231</v>
      </c>
      <c r="C73" s="178">
        <v>48.975785000000002</v>
      </c>
    </row>
    <row r="74" spans="1:3" x14ac:dyDescent="0.25">
      <c r="A74" s="179"/>
      <c r="B74" s="177" t="s">
        <v>238</v>
      </c>
      <c r="C74" s="178">
        <v>428.98151100000001</v>
      </c>
    </row>
    <row r="75" spans="1:3" x14ac:dyDescent="0.25">
      <c r="A75" s="179"/>
      <c r="B75" s="177" t="s">
        <v>253</v>
      </c>
      <c r="C75" s="178">
        <v>70.002771999999993</v>
      </c>
    </row>
    <row r="76" spans="1:3" x14ac:dyDescent="0.25">
      <c r="A76" s="179"/>
      <c r="B76" s="177" t="s">
        <v>242</v>
      </c>
      <c r="C76" s="178">
        <v>98.809805999999995</v>
      </c>
    </row>
    <row r="77" spans="1:3" x14ac:dyDescent="0.25">
      <c r="A77" s="179"/>
      <c r="B77" s="177" t="s">
        <v>244</v>
      </c>
      <c r="C77" s="178">
        <v>145.51939100000001</v>
      </c>
    </row>
    <row r="78" spans="1:3" x14ac:dyDescent="0.25">
      <c r="A78" s="179"/>
      <c r="B78" s="177" t="s">
        <v>249</v>
      </c>
      <c r="C78" s="178">
        <v>195.96840499999999</v>
      </c>
    </row>
    <row r="80" spans="1:3" x14ac:dyDescent="0.25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4140625" defaultRowHeight="15.6" x14ac:dyDescent="0.35"/>
  <cols>
    <col min="1" max="1" width="51.5546875" style="130" bestFit="1" customWidth="1"/>
    <col min="2" max="2" width="17.21875" style="130" bestFit="1" customWidth="1"/>
    <col min="3" max="3" width="14.33203125" style="130" customWidth="1"/>
    <col min="4" max="4" width="17.5546875" style="130" bestFit="1" customWidth="1"/>
    <col min="5" max="5" width="11.44140625" style="130" customWidth="1"/>
    <col min="6" max="6" width="13.33203125" style="130" customWidth="1"/>
    <col min="7" max="8" width="11.44140625" style="130" customWidth="1"/>
    <col min="9" max="9" width="48.6640625" style="130" customWidth="1"/>
    <col min="10" max="11" width="11.44140625" style="130" customWidth="1"/>
    <col min="12" max="12" width="16.5546875" style="130" bestFit="1" customWidth="1"/>
    <col min="13" max="13" width="11.44140625" style="130" customWidth="1"/>
    <col min="14" max="14" width="30.44140625" style="130" bestFit="1" customWidth="1"/>
    <col min="15" max="16384" width="11.44140625" style="130"/>
  </cols>
  <sheetData>
    <row r="1" spans="1:7" x14ac:dyDescent="0.35">
      <c r="A1" s="209" t="s">
        <v>371</v>
      </c>
      <c r="B1" s="51" t="str">
        <f>Assumptions!$B$12</f>
        <v>Internal</v>
      </c>
      <c r="C1"/>
      <c r="D1"/>
      <c r="G1" s="131" t="s">
        <v>164</v>
      </c>
    </row>
    <row r="2" spans="1:7" x14ac:dyDescent="0.35">
      <c r="A2" s="50" t="str">
        <f>Assumptions!B10</f>
        <v>City of Manteca</v>
      </c>
      <c r="B2" s="52" t="str">
        <f>Assumptions!$B$13</f>
        <v>Working Draft - v8</v>
      </c>
      <c r="C2"/>
      <c r="D2"/>
      <c r="G2" s="131"/>
    </row>
    <row r="3" spans="1:7" x14ac:dyDescent="0.35">
      <c r="A3" s="50" t="str">
        <f>Assumptions!B18</f>
        <v>PFF Sewer Collection Fee</v>
      </c>
      <c r="B3" s="53">
        <f>Assumptions!$B$14</f>
        <v>41248</v>
      </c>
      <c r="C3"/>
      <c r="D3"/>
      <c r="G3" s="131"/>
    </row>
    <row r="4" spans="1:7" x14ac:dyDescent="0.35">
      <c r="A4" s="209" t="s">
        <v>372</v>
      </c>
      <c r="B4"/>
      <c r="C4"/>
      <c r="D4"/>
      <c r="E4"/>
      <c r="G4" s="131"/>
    </row>
    <row r="5" spans="1:7" x14ac:dyDescent="0.35">
      <c r="D5" s="132"/>
      <c r="G5" s="131"/>
    </row>
    <row r="6" spans="1:7" x14ac:dyDescent="0.35">
      <c r="G6" s="131"/>
    </row>
    <row r="7" spans="1:7" x14ac:dyDescent="0.35">
      <c r="A7" s="133"/>
      <c r="G7" s="131"/>
    </row>
    <row r="8" spans="1:7" x14ac:dyDescent="0.35">
      <c r="A8" s="134"/>
      <c r="G8" s="131"/>
    </row>
    <row r="9" spans="1:7" x14ac:dyDescent="0.35">
      <c r="G9" s="131"/>
    </row>
    <row r="10" spans="1:7" x14ac:dyDescent="0.35">
      <c r="B10" s="135"/>
      <c r="G10" s="131"/>
    </row>
    <row r="11" spans="1:7" x14ac:dyDescent="0.35">
      <c r="D11" s="136"/>
      <c r="E11" s="136"/>
      <c r="F11" s="136"/>
      <c r="G11" s="131"/>
    </row>
    <row r="12" spans="1:7" ht="16.2" x14ac:dyDescent="0.35">
      <c r="A12" s="213" t="s">
        <v>7</v>
      </c>
      <c r="B12" s="214" t="s">
        <v>165</v>
      </c>
      <c r="D12" s="136"/>
      <c r="E12" s="136"/>
      <c r="F12" s="136"/>
      <c r="G12" s="131"/>
    </row>
    <row r="13" spans="1:7" ht="16.2" x14ac:dyDescent="0.35">
      <c r="A13" s="215"/>
      <c r="B13" s="215"/>
      <c r="C13" s="139"/>
      <c r="D13" s="140"/>
      <c r="E13" s="140"/>
      <c r="F13" s="136"/>
      <c r="G13" s="131"/>
    </row>
    <row r="14" spans="1:7" ht="16.2" x14ac:dyDescent="0.35">
      <c r="A14" s="216" t="s">
        <v>292</v>
      </c>
      <c r="B14" s="217">
        <v>0.02</v>
      </c>
      <c r="D14" s="136"/>
      <c r="E14" s="136"/>
      <c r="F14" s="136"/>
      <c r="G14" s="131"/>
    </row>
    <row r="15" spans="1:7" ht="16.2" x14ac:dyDescent="0.35">
      <c r="A15" s="216" t="s">
        <v>290</v>
      </c>
      <c r="B15" s="218">
        <v>30</v>
      </c>
      <c r="G15" s="131"/>
    </row>
    <row r="16" spans="1:7" ht="16.2" x14ac:dyDescent="0.35">
      <c r="A16" s="216" t="s">
        <v>291</v>
      </c>
      <c r="B16" s="218">
        <v>1</v>
      </c>
      <c r="G16" s="131"/>
    </row>
    <row r="17" spans="1:7" ht="16.2" x14ac:dyDescent="0.35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t="16.2" hidden="1" x14ac:dyDescent="0.3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ht="16.2" x14ac:dyDescent="0.35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35">
      <c r="B20" s="142"/>
      <c r="C20" s="142"/>
      <c r="D20" s="142"/>
      <c r="E20" s="142"/>
      <c r="F20" s="142"/>
      <c r="G20" s="131"/>
    </row>
    <row r="21" spans="1:7" hidden="1" x14ac:dyDescent="0.3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35">
      <c r="B22" s="144"/>
      <c r="D22" s="212"/>
      <c r="G22" s="131"/>
    </row>
    <row r="23" spans="1:7" hidden="1" x14ac:dyDescent="0.3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35">
      <c r="G24" s="131"/>
    </row>
    <row r="25" spans="1:7" hidden="1" x14ac:dyDescent="0.3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3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3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35">
      <c r="A28" s="143" t="s">
        <v>172</v>
      </c>
      <c r="B28" s="142">
        <f>B65+$B$35*C65</f>
        <v>0</v>
      </c>
      <c r="G28" s="131"/>
    </row>
    <row r="29" spans="1:7" hidden="1" x14ac:dyDescent="0.3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35">
      <c r="A30" s="130" t="s">
        <v>174</v>
      </c>
      <c r="B30" s="142">
        <f>B67+$B$35*C67</f>
        <v>0</v>
      </c>
      <c r="C30" s="145"/>
      <c r="G30" s="131"/>
    </row>
    <row r="31" spans="1:7" hidden="1" x14ac:dyDescent="0.3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35">
      <c r="B32" s="144"/>
      <c r="C32" s="147"/>
      <c r="D32" s="142"/>
      <c r="E32" s="142"/>
      <c r="F32" s="142"/>
      <c r="G32" s="131"/>
    </row>
    <row r="33" spans="1:7" hidden="1" x14ac:dyDescent="0.3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35">
      <c r="B34" s="144"/>
      <c r="C34" s="141"/>
      <c r="G34" s="131"/>
    </row>
    <row r="35" spans="1:7" hidden="1" x14ac:dyDescent="0.3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35">
      <c r="G36" s="131"/>
    </row>
    <row r="37" spans="1:7" hidden="1" x14ac:dyDescent="0.3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35">
      <c r="G38" s="131"/>
    </row>
    <row r="39" spans="1:7" hidden="1" x14ac:dyDescent="0.3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35">
      <c r="A40" s="139" t="s">
        <v>180</v>
      </c>
      <c r="B40" s="142"/>
      <c r="C40" s="142"/>
      <c r="G40" s="131"/>
    </row>
    <row r="41" spans="1:7" hidden="1" x14ac:dyDescent="0.35">
      <c r="G41" s="131"/>
    </row>
    <row r="42" spans="1:7" hidden="1" x14ac:dyDescent="0.35">
      <c r="A42" s="130" t="s">
        <v>286</v>
      </c>
      <c r="G42" s="131"/>
    </row>
    <row r="43" spans="1:7" hidden="1" x14ac:dyDescent="0.35">
      <c r="G43" s="131"/>
    </row>
    <row r="44" spans="1:7" hidden="1" x14ac:dyDescent="0.35">
      <c r="G44" s="131"/>
    </row>
    <row r="45" spans="1:7" hidden="1" x14ac:dyDescent="0.35">
      <c r="A45" s="130" t="s">
        <v>284</v>
      </c>
      <c r="G45" s="131"/>
    </row>
    <row r="46" spans="1:7" hidden="1" x14ac:dyDescent="0.35">
      <c r="G46" s="131"/>
    </row>
    <row r="47" spans="1:7" hidden="1" x14ac:dyDescent="0.35">
      <c r="A47" s="148"/>
      <c r="G47" s="131"/>
    </row>
    <row r="48" spans="1:7" hidden="1" x14ac:dyDescent="0.35"/>
    <row r="49" spans="1:7" hidden="1" x14ac:dyDescent="0.35">
      <c r="A49" s="137"/>
      <c r="B49" s="137"/>
      <c r="C49" s="137"/>
      <c r="D49" s="137"/>
      <c r="E49" s="137"/>
      <c r="F49" s="137"/>
      <c r="G49" s="137"/>
    </row>
    <row r="50" spans="1:7" hidden="1" x14ac:dyDescent="0.35"/>
    <row r="51" spans="1:7" hidden="1" x14ac:dyDescent="0.35">
      <c r="A51" s="130" t="s">
        <v>181</v>
      </c>
    </row>
    <row r="52" spans="1:7" hidden="1" x14ac:dyDescent="0.35"/>
    <row r="53" spans="1:7" hidden="1" x14ac:dyDescent="0.35">
      <c r="A53" s="130" t="s">
        <v>182</v>
      </c>
    </row>
    <row r="54" spans="1:7" hidden="1" x14ac:dyDescent="0.35"/>
    <row r="55" spans="1:7" hidden="1" x14ac:dyDescent="0.35"/>
    <row r="56" spans="1:7" hidden="1" x14ac:dyDescent="0.35">
      <c r="A56" s="149"/>
    </row>
    <row r="57" spans="1:7" hidden="1" x14ac:dyDescent="0.35">
      <c r="A57" s="150"/>
    </row>
    <row r="58" spans="1:7" hidden="1" x14ac:dyDescent="0.35"/>
    <row r="59" spans="1:7" hidden="1" x14ac:dyDescent="0.35"/>
    <row r="60" spans="1:7" hidden="1" x14ac:dyDescent="0.35">
      <c r="A60" s="151"/>
      <c r="B60" s="151" t="s">
        <v>183</v>
      </c>
      <c r="C60" s="151" t="s">
        <v>184</v>
      </c>
      <c r="D60" s="152"/>
    </row>
    <row r="61" spans="1:7" hidden="1" x14ac:dyDescent="0.3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35"/>
    <row r="63" spans="1:7" hidden="1" x14ac:dyDescent="0.3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3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35">
      <c r="A65" s="130" t="s">
        <v>192</v>
      </c>
      <c r="B65" s="153">
        <v>0</v>
      </c>
      <c r="C65" s="155">
        <v>0</v>
      </c>
    </row>
    <row r="66" spans="1:6" hidden="1" x14ac:dyDescent="0.3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35">
      <c r="A67" s="130" t="s">
        <v>195</v>
      </c>
      <c r="B67" s="157">
        <v>0</v>
      </c>
      <c r="C67" s="157">
        <v>0</v>
      </c>
    </row>
    <row r="68" spans="1:6" hidden="1" x14ac:dyDescent="0.35">
      <c r="A68" s="130" t="s">
        <v>196</v>
      </c>
      <c r="B68" s="142"/>
      <c r="C68" s="158"/>
    </row>
    <row r="69" spans="1:6" hidden="1" x14ac:dyDescent="0.35">
      <c r="A69" s="130" t="s">
        <v>197</v>
      </c>
      <c r="B69" s="156">
        <v>0</v>
      </c>
      <c r="C69" s="157">
        <v>0</v>
      </c>
    </row>
    <row r="70" spans="1:6" hidden="1" x14ac:dyDescent="0.35">
      <c r="A70" s="130" t="s">
        <v>198</v>
      </c>
      <c r="B70" s="156">
        <v>0</v>
      </c>
      <c r="C70" s="157">
        <v>0</v>
      </c>
    </row>
    <row r="71" spans="1:6" hidden="1" x14ac:dyDescent="0.35">
      <c r="A71" s="130" t="s">
        <v>199</v>
      </c>
      <c r="B71" s="156">
        <v>0</v>
      </c>
      <c r="C71" s="157">
        <v>0</v>
      </c>
    </row>
    <row r="72" spans="1:6" hidden="1" x14ac:dyDescent="0.35">
      <c r="A72" s="130" t="s">
        <v>200</v>
      </c>
      <c r="B72" s="159">
        <f>0.1*(B69+B70+B71)</f>
        <v>0</v>
      </c>
      <c r="C72" s="155">
        <v>0</v>
      </c>
    </row>
    <row r="73" spans="1:6" hidden="1" x14ac:dyDescent="0.35">
      <c r="B73" s="160" t="s">
        <v>201</v>
      </c>
      <c r="C73" s="160" t="s">
        <v>201</v>
      </c>
    </row>
    <row r="74" spans="1:6" hidden="1" x14ac:dyDescent="0.35">
      <c r="B74" s="142">
        <f>SUM(B62:B73)</f>
        <v>0</v>
      </c>
      <c r="C74" s="141">
        <f>SUM(C62:C73)</f>
        <v>0</v>
      </c>
      <c r="F74" s="161"/>
    </row>
    <row r="75" spans="1:6" hidden="1" x14ac:dyDescent="0.35">
      <c r="B75" s="142"/>
      <c r="C75" s="141"/>
      <c r="F75" s="161"/>
    </row>
    <row r="76" spans="1:6" hidden="1" x14ac:dyDescent="0.35">
      <c r="B76" s="142"/>
      <c r="F76" s="162"/>
    </row>
    <row r="77" spans="1:6" hidden="1" x14ac:dyDescent="0.3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3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3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3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35">
      <c r="D81" s="164"/>
    </row>
    <row r="82" spans="1:6" hidden="1" x14ac:dyDescent="0.35">
      <c r="D82" s="164"/>
    </row>
    <row r="83" spans="1:6" hidden="1" x14ac:dyDescent="0.35">
      <c r="A83" s="132" t="s">
        <v>11</v>
      </c>
      <c r="D83" s="164"/>
    </row>
    <row r="84" spans="1:6" hidden="1" x14ac:dyDescent="0.35">
      <c r="A84" s="130" t="s">
        <v>206</v>
      </c>
    </row>
    <row r="85" spans="1:6" hidden="1" x14ac:dyDescent="0.35">
      <c r="A85" s="130" t="s">
        <v>207</v>
      </c>
    </row>
    <row r="86" spans="1:6" hidden="1" x14ac:dyDescent="0.35">
      <c r="F86" s="164"/>
    </row>
    <row r="87" spans="1:6" hidden="1" x14ac:dyDescent="0.35">
      <c r="A87" s="152"/>
      <c r="C87" s="168" t="s">
        <v>208</v>
      </c>
      <c r="D87" s="169"/>
    </row>
    <row r="88" spans="1:6" hidden="1" x14ac:dyDescent="0.3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3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35"/>
    <row r="91" spans="1:6" hidden="1" x14ac:dyDescent="0.3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3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3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3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35"/>
    <row r="96" spans="1:6" hidden="1" x14ac:dyDescent="0.35">
      <c r="A96" s="130" t="s">
        <v>217</v>
      </c>
    </row>
    <row r="97" spans="1:2" hidden="1" x14ac:dyDescent="0.35">
      <c r="A97" s="130" t="s">
        <v>218</v>
      </c>
    </row>
    <row r="98" spans="1:2" hidden="1" x14ac:dyDescent="0.35"/>
    <row r="101" spans="1:2" x14ac:dyDescent="0.3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7" workbookViewId="0">
      <selection activeCell="E29" sqref="E29"/>
    </sheetView>
  </sheetViews>
  <sheetFormatPr defaultRowHeight="13.2" x14ac:dyDescent="0.25"/>
  <cols>
    <col min="1" max="1" width="30.109375" bestFit="1" customWidth="1"/>
    <col min="5" max="5" width="16.33203125" customWidth="1"/>
  </cols>
  <sheetData>
    <row r="1" spans="1:5" x14ac:dyDescent="0.25">
      <c r="A1" s="209" t="s">
        <v>410</v>
      </c>
      <c r="E1" s="51" t="str">
        <f>Assumptions!$B$12</f>
        <v>Internal</v>
      </c>
    </row>
    <row r="2" spans="1:5" x14ac:dyDescent="0.25">
      <c r="A2" s="50" t="str">
        <f>Assumptions!B10</f>
        <v>City of Manteca</v>
      </c>
      <c r="E2" s="52" t="str">
        <f>Assumptions!$B$13</f>
        <v>Working Draft - v8</v>
      </c>
    </row>
    <row r="3" spans="1:5" x14ac:dyDescent="0.25">
      <c r="A3" s="50" t="str">
        <f>Assumptions!B18</f>
        <v>PFF Sewer Collection Fee</v>
      </c>
      <c r="E3" s="53">
        <f>Assumptions!$B$14</f>
        <v>41248</v>
      </c>
    </row>
    <row r="4" spans="1:5" x14ac:dyDescent="0.25">
      <c r="A4" s="209" t="s">
        <v>283</v>
      </c>
    </row>
    <row r="7" spans="1:5" x14ac:dyDescent="0.25">
      <c r="E7" s="249" t="s">
        <v>413</v>
      </c>
    </row>
    <row r="8" spans="1:5" x14ac:dyDescent="0.25">
      <c r="A8" s="224" t="s">
        <v>262</v>
      </c>
      <c r="B8" s="237"/>
      <c r="E8" s="6" t="s">
        <v>414</v>
      </c>
    </row>
    <row r="9" spans="1:5" x14ac:dyDescent="0.25">
      <c r="A9" s="96"/>
      <c r="B9" s="237"/>
    </row>
    <row r="10" spans="1:5" x14ac:dyDescent="0.25">
      <c r="A10" s="171" t="s">
        <v>403</v>
      </c>
      <c r="E10" s="228">
        <f>'Sum 3. PFF Update Costs'!F20</f>
        <v>225000</v>
      </c>
    </row>
    <row r="11" spans="1:5" x14ac:dyDescent="0.25">
      <c r="A11" s="171" t="s">
        <v>404</v>
      </c>
      <c r="E11" s="228">
        <f>'Sum 3. PFF Update Costs'!F37</f>
        <v>287500</v>
      </c>
    </row>
    <row r="12" spans="1:5" x14ac:dyDescent="0.25">
      <c r="A12" s="229" t="s">
        <v>418</v>
      </c>
      <c r="E12" s="228">
        <f>'Sum 3. PFF Update Costs'!F50</f>
        <v>1593750</v>
      </c>
    </row>
    <row r="13" spans="1:5" x14ac:dyDescent="0.25">
      <c r="A13" s="229" t="s">
        <v>417</v>
      </c>
      <c r="E13" s="242">
        <f>'Sum 2. City Admin Costs Ongoing'!E15</f>
        <v>5062500</v>
      </c>
    </row>
    <row r="14" spans="1:5" x14ac:dyDescent="0.25">
      <c r="A14" s="171" t="s">
        <v>419</v>
      </c>
      <c r="E14" s="228">
        <f>SUM(E10:E13)</f>
        <v>7168750</v>
      </c>
    </row>
    <row r="16" spans="1:5" x14ac:dyDescent="0.25">
      <c r="A16" s="224" t="s">
        <v>415</v>
      </c>
      <c r="B16" s="237"/>
    </row>
    <row r="17" spans="1:5" x14ac:dyDescent="0.25">
      <c r="A17" s="96"/>
      <c r="B17" s="237"/>
    </row>
    <row r="18" spans="1:5" x14ac:dyDescent="0.25">
      <c r="A18" s="171" t="s">
        <v>403</v>
      </c>
      <c r="E18" s="228">
        <f>'Sum 3. PFF Update Costs'!F21</f>
        <v>225000</v>
      </c>
    </row>
    <row r="19" spans="1:5" x14ac:dyDescent="0.25">
      <c r="A19" s="171" t="s">
        <v>404</v>
      </c>
      <c r="E19" s="228">
        <f>'Sum 3. PFF Update Costs'!F38</f>
        <v>287500</v>
      </c>
    </row>
    <row r="20" spans="1:5" x14ac:dyDescent="0.25">
      <c r="A20" s="229" t="s">
        <v>418</v>
      </c>
      <c r="E20" s="228">
        <f>'Sum 3. PFF Update Costs'!F58</f>
        <v>1031250</v>
      </c>
    </row>
    <row r="21" spans="1:5" x14ac:dyDescent="0.25">
      <c r="A21" s="229" t="s">
        <v>417</v>
      </c>
      <c r="E21" s="242">
        <f>'Sum 2. City Admin Costs Ongoing'!E16</f>
        <v>5062500</v>
      </c>
    </row>
    <row r="22" spans="1:5" x14ac:dyDescent="0.25">
      <c r="A22" s="171" t="s">
        <v>405</v>
      </c>
      <c r="E22" s="228">
        <f>SUM(E18:E21)</f>
        <v>6606250</v>
      </c>
    </row>
    <row r="24" spans="1:5" x14ac:dyDescent="0.25">
      <c r="A24" s="224" t="s">
        <v>265</v>
      </c>
      <c r="B24" s="237"/>
    </row>
    <row r="25" spans="1:5" x14ac:dyDescent="0.25">
      <c r="A25" s="96"/>
      <c r="B25" s="237"/>
    </row>
    <row r="26" spans="1:5" x14ac:dyDescent="0.25">
      <c r="A26" s="171" t="s">
        <v>403</v>
      </c>
      <c r="E26" s="228">
        <f>'Sum 3. PFF Update Costs'!F23</f>
        <v>225000</v>
      </c>
    </row>
    <row r="27" spans="1:5" x14ac:dyDescent="0.25">
      <c r="A27" s="171" t="s">
        <v>404</v>
      </c>
      <c r="E27" s="228">
        <f>'Sum 3. PFF Update Costs'!F40</f>
        <v>287500</v>
      </c>
    </row>
    <row r="28" spans="1:5" x14ac:dyDescent="0.25">
      <c r="A28" s="229" t="s">
        <v>418</v>
      </c>
      <c r="E28" s="228">
        <f>'Sum 3. PFF Update Costs'!F66</f>
        <v>1406250</v>
      </c>
    </row>
    <row r="29" spans="1:5" x14ac:dyDescent="0.25">
      <c r="A29" s="229" t="s">
        <v>417</v>
      </c>
      <c r="E29" s="242">
        <f>'Sum 2. City Admin Costs Ongoing'!E18</f>
        <v>5062500</v>
      </c>
    </row>
    <row r="30" spans="1:5" x14ac:dyDescent="0.25">
      <c r="A30" s="171" t="s">
        <v>405</v>
      </c>
      <c r="E30" s="228">
        <f>SUM(E26:E29)</f>
        <v>6981250</v>
      </c>
    </row>
    <row r="32" spans="1:5" x14ac:dyDescent="0.25">
      <c r="A32" s="224" t="s">
        <v>264</v>
      </c>
      <c r="B32" s="237"/>
    </row>
    <row r="33" spans="1:5" x14ac:dyDescent="0.25">
      <c r="A33" s="96"/>
      <c r="B33" s="237"/>
    </row>
    <row r="34" spans="1:5" x14ac:dyDescent="0.25">
      <c r="A34" s="171" t="s">
        <v>403</v>
      </c>
      <c r="E34" s="228">
        <f>'Sum 3. PFF Update Costs'!F22</f>
        <v>225000</v>
      </c>
    </row>
    <row r="35" spans="1:5" x14ac:dyDescent="0.25">
      <c r="A35" s="171" t="s">
        <v>404</v>
      </c>
      <c r="E35" s="228">
        <f>'Sum 3. PFF Update Costs'!F39</f>
        <v>287500</v>
      </c>
    </row>
    <row r="36" spans="1:5" x14ac:dyDescent="0.25">
      <c r="A36" s="229" t="s">
        <v>418</v>
      </c>
      <c r="E36" s="228">
        <f>'Sum 3. PFF Update Costs'!F74</f>
        <v>1687500</v>
      </c>
    </row>
    <row r="37" spans="1:5" x14ac:dyDescent="0.25">
      <c r="A37" s="229" t="s">
        <v>417</v>
      </c>
      <c r="E37" s="242">
        <f>'Sum 2. City Admin Costs Ongoing'!E17</f>
        <v>5062500</v>
      </c>
    </row>
    <row r="38" spans="1:5" x14ac:dyDescent="0.25">
      <c r="A38" s="171" t="s">
        <v>405</v>
      </c>
      <c r="E38" s="228">
        <f>SUM(E34:E37)</f>
        <v>7262500</v>
      </c>
    </row>
    <row r="41" spans="1:5" x14ac:dyDescent="0.25">
      <c r="A41" s="224" t="s">
        <v>9</v>
      </c>
      <c r="B41" s="237"/>
    </row>
    <row r="42" spans="1:5" x14ac:dyDescent="0.25">
      <c r="A42" s="96"/>
      <c r="B42" s="237"/>
    </row>
    <row r="43" spans="1:5" x14ac:dyDescent="0.25">
      <c r="A43" s="171" t="s">
        <v>403</v>
      </c>
      <c r="E43" s="269">
        <f>E10+E18+E26+E34</f>
        <v>900000</v>
      </c>
    </row>
    <row r="44" spans="1:5" x14ac:dyDescent="0.25">
      <c r="A44" s="171" t="s">
        <v>404</v>
      </c>
      <c r="E44" s="269">
        <f t="shared" ref="E44:E46" si="0">E11+E19+E27+E35</f>
        <v>1150000</v>
      </c>
    </row>
    <row r="45" spans="1:5" x14ac:dyDescent="0.25">
      <c r="A45" s="229" t="s">
        <v>418</v>
      </c>
      <c r="E45" s="269">
        <f t="shared" si="0"/>
        <v>5718750</v>
      </c>
    </row>
    <row r="46" spans="1:5" x14ac:dyDescent="0.25">
      <c r="A46" s="229" t="s">
        <v>417</v>
      </c>
      <c r="E46" s="242">
        <f t="shared" si="0"/>
        <v>20250000</v>
      </c>
    </row>
    <row r="47" spans="1:5" x14ac:dyDescent="0.25">
      <c r="A47" s="171" t="s">
        <v>405</v>
      </c>
      <c r="E47" s="228">
        <f>SUM(E43:E46)</f>
        <v>28018750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F28" sqref="F28"/>
    </sheetView>
  </sheetViews>
  <sheetFormatPr defaultRowHeight="13.2" x14ac:dyDescent="0.25"/>
  <cols>
    <col min="1" max="1" width="41.33203125" customWidth="1"/>
    <col min="3" max="3" width="12.33203125" bestFit="1" customWidth="1"/>
    <col min="4" max="4" width="9.6640625" bestFit="1" customWidth="1"/>
    <col min="5" max="5" width="16.109375" bestFit="1" customWidth="1"/>
    <col min="6" max="6" width="9.6640625" bestFit="1" customWidth="1"/>
    <col min="7" max="7" width="11.33203125" bestFit="1" customWidth="1"/>
    <col min="9" max="9" width="11.33203125" bestFit="1" customWidth="1"/>
    <col min="257" max="257" width="41.33203125" customWidth="1"/>
    <col min="259" max="259" width="12.33203125" bestFit="1" customWidth="1"/>
    <col min="260" max="260" width="9.6640625" bestFit="1" customWidth="1"/>
    <col min="261" max="261" width="11.44140625" bestFit="1" customWidth="1"/>
    <col min="262" max="262" width="9.6640625" bestFit="1" customWidth="1"/>
    <col min="263" max="263" width="11.33203125" bestFit="1" customWidth="1"/>
    <col min="265" max="265" width="11.33203125" bestFit="1" customWidth="1"/>
    <col min="513" max="513" width="41.33203125" customWidth="1"/>
    <col min="515" max="515" width="12.33203125" bestFit="1" customWidth="1"/>
    <col min="516" max="516" width="9.6640625" bestFit="1" customWidth="1"/>
    <col min="517" max="517" width="11.44140625" bestFit="1" customWidth="1"/>
    <col min="518" max="518" width="9.6640625" bestFit="1" customWidth="1"/>
    <col min="519" max="519" width="11.33203125" bestFit="1" customWidth="1"/>
    <col min="521" max="521" width="11.33203125" bestFit="1" customWidth="1"/>
    <col min="769" max="769" width="41.33203125" customWidth="1"/>
    <col min="771" max="771" width="12.33203125" bestFit="1" customWidth="1"/>
    <col min="772" max="772" width="9.6640625" bestFit="1" customWidth="1"/>
    <col min="773" max="773" width="11.44140625" bestFit="1" customWidth="1"/>
    <col min="774" max="774" width="9.6640625" bestFit="1" customWidth="1"/>
    <col min="775" max="775" width="11.33203125" bestFit="1" customWidth="1"/>
    <col min="777" max="777" width="11.33203125" bestFit="1" customWidth="1"/>
    <col min="1025" max="1025" width="41.33203125" customWidth="1"/>
    <col min="1027" max="1027" width="12.33203125" bestFit="1" customWidth="1"/>
    <col min="1028" max="1028" width="9.6640625" bestFit="1" customWidth="1"/>
    <col min="1029" max="1029" width="11.44140625" bestFit="1" customWidth="1"/>
    <col min="1030" max="1030" width="9.6640625" bestFit="1" customWidth="1"/>
    <col min="1031" max="1031" width="11.33203125" bestFit="1" customWidth="1"/>
    <col min="1033" max="1033" width="11.33203125" bestFit="1" customWidth="1"/>
    <col min="1281" max="1281" width="41.33203125" customWidth="1"/>
    <col min="1283" max="1283" width="12.33203125" bestFit="1" customWidth="1"/>
    <col min="1284" max="1284" width="9.6640625" bestFit="1" customWidth="1"/>
    <col min="1285" max="1285" width="11.44140625" bestFit="1" customWidth="1"/>
    <col min="1286" max="1286" width="9.6640625" bestFit="1" customWidth="1"/>
    <col min="1287" max="1287" width="11.33203125" bestFit="1" customWidth="1"/>
    <col min="1289" max="1289" width="11.33203125" bestFit="1" customWidth="1"/>
    <col min="1537" max="1537" width="41.33203125" customWidth="1"/>
    <col min="1539" max="1539" width="12.33203125" bestFit="1" customWidth="1"/>
    <col min="1540" max="1540" width="9.6640625" bestFit="1" customWidth="1"/>
    <col min="1541" max="1541" width="11.44140625" bestFit="1" customWidth="1"/>
    <col min="1542" max="1542" width="9.6640625" bestFit="1" customWidth="1"/>
    <col min="1543" max="1543" width="11.33203125" bestFit="1" customWidth="1"/>
    <col min="1545" max="1545" width="11.33203125" bestFit="1" customWidth="1"/>
    <col min="1793" max="1793" width="41.33203125" customWidth="1"/>
    <col min="1795" max="1795" width="12.33203125" bestFit="1" customWidth="1"/>
    <col min="1796" max="1796" width="9.6640625" bestFit="1" customWidth="1"/>
    <col min="1797" max="1797" width="11.44140625" bestFit="1" customWidth="1"/>
    <col min="1798" max="1798" width="9.6640625" bestFit="1" customWidth="1"/>
    <col min="1799" max="1799" width="11.33203125" bestFit="1" customWidth="1"/>
    <col min="1801" max="1801" width="11.33203125" bestFit="1" customWidth="1"/>
    <col min="2049" max="2049" width="41.33203125" customWidth="1"/>
    <col min="2051" max="2051" width="12.33203125" bestFit="1" customWidth="1"/>
    <col min="2052" max="2052" width="9.6640625" bestFit="1" customWidth="1"/>
    <col min="2053" max="2053" width="11.44140625" bestFit="1" customWidth="1"/>
    <col min="2054" max="2054" width="9.6640625" bestFit="1" customWidth="1"/>
    <col min="2055" max="2055" width="11.33203125" bestFit="1" customWidth="1"/>
    <col min="2057" max="2057" width="11.33203125" bestFit="1" customWidth="1"/>
    <col min="2305" max="2305" width="41.33203125" customWidth="1"/>
    <col min="2307" max="2307" width="12.33203125" bestFit="1" customWidth="1"/>
    <col min="2308" max="2308" width="9.6640625" bestFit="1" customWidth="1"/>
    <col min="2309" max="2309" width="11.44140625" bestFit="1" customWidth="1"/>
    <col min="2310" max="2310" width="9.6640625" bestFit="1" customWidth="1"/>
    <col min="2311" max="2311" width="11.33203125" bestFit="1" customWidth="1"/>
    <col min="2313" max="2313" width="11.33203125" bestFit="1" customWidth="1"/>
    <col min="2561" max="2561" width="41.33203125" customWidth="1"/>
    <col min="2563" max="2563" width="12.33203125" bestFit="1" customWidth="1"/>
    <col min="2564" max="2564" width="9.6640625" bestFit="1" customWidth="1"/>
    <col min="2565" max="2565" width="11.44140625" bestFit="1" customWidth="1"/>
    <col min="2566" max="2566" width="9.6640625" bestFit="1" customWidth="1"/>
    <col min="2567" max="2567" width="11.33203125" bestFit="1" customWidth="1"/>
    <col min="2569" max="2569" width="11.33203125" bestFit="1" customWidth="1"/>
    <col min="2817" max="2817" width="41.33203125" customWidth="1"/>
    <col min="2819" max="2819" width="12.33203125" bestFit="1" customWidth="1"/>
    <col min="2820" max="2820" width="9.6640625" bestFit="1" customWidth="1"/>
    <col min="2821" max="2821" width="11.44140625" bestFit="1" customWidth="1"/>
    <col min="2822" max="2822" width="9.6640625" bestFit="1" customWidth="1"/>
    <col min="2823" max="2823" width="11.33203125" bestFit="1" customWidth="1"/>
    <col min="2825" max="2825" width="11.33203125" bestFit="1" customWidth="1"/>
    <col min="3073" max="3073" width="41.33203125" customWidth="1"/>
    <col min="3075" max="3075" width="12.33203125" bestFit="1" customWidth="1"/>
    <col min="3076" max="3076" width="9.6640625" bestFit="1" customWidth="1"/>
    <col min="3077" max="3077" width="11.44140625" bestFit="1" customWidth="1"/>
    <col min="3078" max="3078" width="9.6640625" bestFit="1" customWidth="1"/>
    <col min="3079" max="3079" width="11.33203125" bestFit="1" customWidth="1"/>
    <col min="3081" max="3081" width="11.33203125" bestFit="1" customWidth="1"/>
    <col min="3329" max="3329" width="41.33203125" customWidth="1"/>
    <col min="3331" max="3331" width="12.33203125" bestFit="1" customWidth="1"/>
    <col min="3332" max="3332" width="9.6640625" bestFit="1" customWidth="1"/>
    <col min="3333" max="3333" width="11.44140625" bestFit="1" customWidth="1"/>
    <col min="3334" max="3334" width="9.6640625" bestFit="1" customWidth="1"/>
    <col min="3335" max="3335" width="11.33203125" bestFit="1" customWidth="1"/>
    <col min="3337" max="3337" width="11.33203125" bestFit="1" customWidth="1"/>
    <col min="3585" max="3585" width="41.33203125" customWidth="1"/>
    <col min="3587" max="3587" width="12.33203125" bestFit="1" customWidth="1"/>
    <col min="3588" max="3588" width="9.6640625" bestFit="1" customWidth="1"/>
    <col min="3589" max="3589" width="11.44140625" bestFit="1" customWidth="1"/>
    <col min="3590" max="3590" width="9.6640625" bestFit="1" customWidth="1"/>
    <col min="3591" max="3591" width="11.33203125" bestFit="1" customWidth="1"/>
    <col min="3593" max="3593" width="11.33203125" bestFit="1" customWidth="1"/>
    <col min="3841" max="3841" width="41.33203125" customWidth="1"/>
    <col min="3843" max="3843" width="12.33203125" bestFit="1" customWidth="1"/>
    <col min="3844" max="3844" width="9.6640625" bestFit="1" customWidth="1"/>
    <col min="3845" max="3845" width="11.44140625" bestFit="1" customWidth="1"/>
    <col min="3846" max="3846" width="9.6640625" bestFit="1" customWidth="1"/>
    <col min="3847" max="3847" width="11.33203125" bestFit="1" customWidth="1"/>
    <col min="3849" max="3849" width="11.33203125" bestFit="1" customWidth="1"/>
    <col min="4097" max="4097" width="41.33203125" customWidth="1"/>
    <col min="4099" max="4099" width="12.33203125" bestFit="1" customWidth="1"/>
    <col min="4100" max="4100" width="9.6640625" bestFit="1" customWidth="1"/>
    <col min="4101" max="4101" width="11.44140625" bestFit="1" customWidth="1"/>
    <col min="4102" max="4102" width="9.6640625" bestFit="1" customWidth="1"/>
    <col min="4103" max="4103" width="11.33203125" bestFit="1" customWidth="1"/>
    <col min="4105" max="4105" width="11.33203125" bestFit="1" customWidth="1"/>
    <col min="4353" max="4353" width="41.33203125" customWidth="1"/>
    <col min="4355" max="4355" width="12.33203125" bestFit="1" customWidth="1"/>
    <col min="4356" max="4356" width="9.6640625" bestFit="1" customWidth="1"/>
    <col min="4357" max="4357" width="11.44140625" bestFit="1" customWidth="1"/>
    <col min="4358" max="4358" width="9.6640625" bestFit="1" customWidth="1"/>
    <col min="4359" max="4359" width="11.33203125" bestFit="1" customWidth="1"/>
    <col min="4361" max="4361" width="11.33203125" bestFit="1" customWidth="1"/>
    <col min="4609" max="4609" width="41.33203125" customWidth="1"/>
    <col min="4611" max="4611" width="12.33203125" bestFit="1" customWidth="1"/>
    <col min="4612" max="4612" width="9.6640625" bestFit="1" customWidth="1"/>
    <col min="4613" max="4613" width="11.44140625" bestFit="1" customWidth="1"/>
    <col min="4614" max="4614" width="9.6640625" bestFit="1" customWidth="1"/>
    <col min="4615" max="4615" width="11.33203125" bestFit="1" customWidth="1"/>
    <col min="4617" max="4617" width="11.33203125" bestFit="1" customWidth="1"/>
    <col min="4865" max="4865" width="41.33203125" customWidth="1"/>
    <col min="4867" max="4867" width="12.33203125" bestFit="1" customWidth="1"/>
    <col min="4868" max="4868" width="9.6640625" bestFit="1" customWidth="1"/>
    <col min="4869" max="4869" width="11.44140625" bestFit="1" customWidth="1"/>
    <col min="4870" max="4870" width="9.6640625" bestFit="1" customWidth="1"/>
    <col min="4871" max="4871" width="11.33203125" bestFit="1" customWidth="1"/>
    <col min="4873" max="4873" width="11.33203125" bestFit="1" customWidth="1"/>
    <col min="5121" max="5121" width="41.33203125" customWidth="1"/>
    <col min="5123" max="5123" width="12.33203125" bestFit="1" customWidth="1"/>
    <col min="5124" max="5124" width="9.6640625" bestFit="1" customWidth="1"/>
    <col min="5125" max="5125" width="11.44140625" bestFit="1" customWidth="1"/>
    <col min="5126" max="5126" width="9.6640625" bestFit="1" customWidth="1"/>
    <col min="5127" max="5127" width="11.33203125" bestFit="1" customWidth="1"/>
    <col min="5129" max="5129" width="11.33203125" bestFit="1" customWidth="1"/>
    <col min="5377" max="5377" width="41.33203125" customWidth="1"/>
    <col min="5379" max="5379" width="12.33203125" bestFit="1" customWidth="1"/>
    <col min="5380" max="5380" width="9.6640625" bestFit="1" customWidth="1"/>
    <col min="5381" max="5381" width="11.44140625" bestFit="1" customWidth="1"/>
    <col min="5382" max="5382" width="9.6640625" bestFit="1" customWidth="1"/>
    <col min="5383" max="5383" width="11.33203125" bestFit="1" customWidth="1"/>
    <col min="5385" max="5385" width="11.33203125" bestFit="1" customWidth="1"/>
    <col min="5633" max="5633" width="41.33203125" customWidth="1"/>
    <col min="5635" max="5635" width="12.33203125" bestFit="1" customWidth="1"/>
    <col min="5636" max="5636" width="9.6640625" bestFit="1" customWidth="1"/>
    <col min="5637" max="5637" width="11.44140625" bestFit="1" customWidth="1"/>
    <col min="5638" max="5638" width="9.6640625" bestFit="1" customWidth="1"/>
    <col min="5639" max="5639" width="11.33203125" bestFit="1" customWidth="1"/>
    <col min="5641" max="5641" width="11.33203125" bestFit="1" customWidth="1"/>
    <col min="5889" max="5889" width="41.33203125" customWidth="1"/>
    <col min="5891" max="5891" width="12.33203125" bestFit="1" customWidth="1"/>
    <col min="5892" max="5892" width="9.6640625" bestFit="1" customWidth="1"/>
    <col min="5893" max="5893" width="11.44140625" bestFit="1" customWidth="1"/>
    <col min="5894" max="5894" width="9.6640625" bestFit="1" customWidth="1"/>
    <col min="5895" max="5895" width="11.33203125" bestFit="1" customWidth="1"/>
    <col min="5897" max="5897" width="11.33203125" bestFit="1" customWidth="1"/>
    <col min="6145" max="6145" width="41.33203125" customWidth="1"/>
    <col min="6147" max="6147" width="12.33203125" bestFit="1" customWidth="1"/>
    <col min="6148" max="6148" width="9.6640625" bestFit="1" customWidth="1"/>
    <col min="6149" max="6149" width="11.44140625" bestFit="1" customWidth="1"/>
    <col min="6150" max="6150" width="9.6640625" bestFit="1" customWidth="1"/>
    <col min="6151" max="6151" width="11.33203125" bestFit="1" customWidth="1"/>
    <col min="6153" max="6153" width="11.33203125" bestFit="1" customWidth="1"/>
    <col min="6401" max="6401" width="41.33203125" customWidth="1"/>
    <col min="6403" max="6403" width="12.33203125" bestFit="1" customWidth="1"/>
    <col min="6404" max="6404" width="9.6640625" bestFit="1" customWidth="1"/>
    <col min="6405" max="6405" width="11.44140625" bestFit="1" customWidth="1"/>
    <col min="6406" max="6406" width="9.6640625" bestFit="1" customWidth="1"/>
    <col min="6407" max="6407" width="11.33203125" bestFit="1" customWidth="1"/>
    <col min="6409" max="6409" width="11.33203125" bestFit="1" customWidth="1"/>
    <col min="6657" max="6657" width="41.33203125" customWidth="1"/>
    <col min="6659" max="6659" width="12.33203125" bestFit="1" customWidth="1"/>
    <col min="6660" max="6660" width="9.6640625" bestFit="1" customWidth="1"/>
    <col min="6661" max="6661" width="11.44140625" bestFit="1" customWidth="1"/>
    <col min="6662" max="6662" width="9.6640625" bestFit="1" customWidth="1"/>
    <col min="6663" max="6663" width="11.33203125" bestFit="1" customWidth="1"/>
    <col min="6665" max="6665" width="11.33203125" bestFit="1" customWidth="1"/>
    <col min="6913" max="6913" width="41.33203125" customWidth="1"/>
    <col min="6915" max="6915" width="12.33203125" bestFit="1" customWidth="1"/>
    <col min="6916" max="6916" width="9.6640625" bestFit="1" customWidth="1"/>
    <col min="6917" max="6917" width="11.44140625" bestFit="1" customWidth="1"/>
    <col min="6918" max="6918" width="9.6640625" bestFit="1" customWidth="1"/>
    <col min="6919" max="6919" width="11.33203125" bestFit="1" customWidth="1"/>
    <col min="6921" max="6921" width="11.33203125" bestFit="1" customWidth="1"/>
    <col min="7169" max="7169" width="41.33203125" customWidth="1"/>
    <col min="7171" max="7171" width="12.33203125" bestFit="1" customWidth="1"/>
    <col min="7172" max="7172" width="9.6640625" bestFit="1" customWidth="1"/>
    <col min="7173" max="7173" width="11.44140625" bestFit="1" customWidth="1"/>
    <col min="7174" max="7174" width="9.6640625" bestFit="1" customWidth="1"/>
    <col min="7175" max="7175" width="11.33203125" bestFit="1" customWidth="1"/>
    <col min="7177" max="7177" width="11.33203125" bestFit="1" customWidth="1"/>
    <col min="7425" max="7425" width="41.33203125" customWidth="1"/>
    <col min="7427" max="7427" width="12.33203125" bestFit="1" customWidth="1"/>
    <col min="7428" max="7428" width="9.6640625" bestFit="1" customWidth="1"/>
    <col min="7429" max="7429" width="11.44140625" bestFit="1" customWidth="1"/>
    <col min="7430" max="7430" width="9.6640625" bestFit="1" customWidth="1"/>
    <col min="7431" max="7431" width="11.33203125" bestFit="1" customWidth="1"/>
    <col min="7433" max="7433" width="11.33203125" bestFit="1" customWidth="1"/>
    <col min="7681" max="7681" width="41.33203125" customWidth="1"/>
    <col min="7683" max="7683" width="12.33203125" bestFit="1" customWidth="1"/>
    <col min="7684" max="7684" width="9.6640625" bestFit="1" customWidth="1"/>
    <col min="7685" max="7685" width="11.44140625" bestFit="1" customWidth="1"/>
    <col min="7686" max="7686" width="9.6640625" bestFit="1" customWidth="1"/>
    <col min="7687" max="7687" width="11.33203125" bestFit="1" customWidth="1"/>
    <col min="7689" max="7689" width="11.33203125" bestFit="1" customWidth="1"/>
    <col min="7937" max="7937" width="41.33203125" customWidth="1"/>
    <col min="7939" max="7939" width="12.33203125" bestFit="1" customWidth="1"/>
    <col min="7940" max="7940" width="9.6640625" bestFit="1" customWidth="1"/>
    <col min="7941" max="7941" width="11.44140625" bestFit="1" customWidth="1"/>
    <col min="7942" max="7942" width="9.6640625" bestFit="1" customWidth="1"/>
    <col min="7943" max="7943" width="11.33203125" bestFit="1" customWidth="1"/>
    <col min="7945" max="7945" width="11.33203125" bestFit="1" customWidth="1"/>
    <col min="8193" max="8193" width="41.33203125" customWidth="1"/>
    <col min="8195" max="8195" width="12.33203125" bestFit="1" customWidth="1"/>
    <col min="8196" max="8196" width="9.6640625" bestFit="1" customWidth="1"/>
    <col min="8197" max="8197" width="11.44140625" bestFit="1" customWidth="1"/>
    <col min="8198" max="8198" width="9.6640625" bestFit="1" customWidth="1"/>
    <col min="8199" max="8199" width="11.33203125" bestFit="1" customWidth="1"/>
    <col min="8201" max="8201" width="11.33203125" bestFit="1" customWidth="1"/>
    <col min="8449" max="8449" width="41.33203125" customWidth="1"/>
    <col min="8451" max="8451" width="12.33203125" bestFit="1" customWidth="1"/>
    <col min="8452" max="8452" width="9.6640625" bestFit="1" customWidth="1"/>
    <col min="8453" max="8453" width="11.44140625" bestFit="1" customWidth="1"/>
    <col min="8454" max="8454" width="9.6640625" bestFit="1" customWidth="1"/>
    <col min="8455" max="8455" width="11.33203125" bestFit="1" customWidth="1"/>
    <col min="8457" max="8457" width="11.33203125" bestFit="1" customWidth="1"/>
    <col min="8705" max="8705" width="41.33203125" customWidth="1"/>
    <col min="8707" max="8707" width="12.33203125" bestFit="1" customWidth="1"/>
    <col min="8708" max="8708" width="9.6640625" bestFit="1" customWidth="1"/>
    <col min="8709" max="8709" width="11.44140625" bestFit="1" customWidth="1"/>
    <col min="8710" max="8710" width="9.6640625" bestFit="1" customWidth="1"/>
    <col min="8711" max="8711" width="11.33203125" bestFit="1" customWidth="1"/>
    <col min="8713" max="8713" width="11.33203125" bestFit="1" customWidth="1"/>
    <col min="8961" max="8961" width="41.33203125" customWidth="1"/>
    <col min="8963" max="8963" width="12.33203125" bestFit="1" customWidth="1"/>
    <col min="8964" max="8964" width="9.6640625" bestFit="1" customWidth="1"/>
    <col min="8965" max="8965" width="11.44140625" bestFit="1" customWidth="1"/>
    <col min="8966" max="8966" width="9.6640625" bestFit="1" customWidth="1"/>
    <col min="8967" max="8967" width="11.33203125" bestFit="1" customWidth="1"/>
    <col min="8969" max="8969" width="11.33203125" bestFit="1" customWidth="1"/>
    <col min="9217" max="9217" width="41.33203125" customWidth="1"/>
    <col min="9219" max="9219" width="12.33203125" bestFit="1" customWidth="1"/>
    <col min="9220" max="9220" width="9.6640625" bestFit="1" customWidth="1"/>
    <col min="9221" max="9221" width="11.44140625" bestFit="1" customWidth="1"/>
    <col min="9222" max="9222" width="9.6640625" bestFit="1" customWidth="1"/>
    <col min="9223" max="9223" width="11.33203125" bestFit="1" customWidth="1"/>
    <col min="9225" max="9225" width="11.33203125" bestFit="1" customWidth="1"/>
    <col min="9473" max="9473" width="41.33203125" customWidth="1"/>
    <col min="9475" max="9475" width="12.33203125" bestFit="1" customWidth="1"/>
    <col min="9476" max="9476" width="9.6640625" bestFit="1" customWidth="1"/>
    <col min="9477" max="9477" width="11.44140625" bestFit="1" customWidth="1"/>
    <col min="9478" max="9478" width="9.6640625" bestFit="1" customWidth="1"/>
    <col min="9479" max="9479" width="11.33203125" bestFit="1" customWidth="1"/>
    <col min="9481" max="9481" width="11.33203125" bestFit="1" customWidth="1"/>
    <col min="9729" max="9729" width="41.33203125" customWidth="1"/>
    <col min="9731" max="9731" width="12.33203125" bestFit="1" customWidth="1"/>
    <col min="9732" max="9732" width="9.6640625" bestFit="1" customWidth="1"/>
    <col min="9733" max="9733" width="11.44140625" bestFit="1" customWidth="1"/>
    <col min="9734" max="9734" width="9.6640625" bestFit="1" customWidth="1"/>
    <col min="9735" max="9735" width="11.33203125" bestFit="1" customWidth="1"/>
    <col min="9737" max="9737" width="11.33203125" bestFit="1" customWidth="1"/>
    <col min="9985" max="9985" width="41.33203125" customWidth="1"/>
    <col min="9987" max="9987" width="12.33203125" bestFit="1" customWidth="1"/>
    <col min="9988" max="9988" width="9.6640625" bestFit="1" customWidth="1"/>
    <col min="9989" max="9989" width="11.44140625" bestFit="1" customWidth="1"/>
    <col min="9990" max="9990" width="9.6640625" bestFit="1" customWidth="1"/>
    <col min="9991" max="9991" width="11.33203125" bestFit="1" customWidth="1"/>
    <col min="9993" max="9993" width="11.33203125" bestFit="1" customWidth="1"/>
    <col min="10241" max="10241" width="41.33203125" customWidth="1"/>
    <col min="10243" max="10243" width="12.33203125" bestFit="1" customWidth="1"/>
    <col min="10244" max="10244" width="9.6640625" bestFit="1" customWidth="1"/>
    <col min="10245" max="10245" width="11.44140625" bestFit="1" customWidth="1"/>
    <col min="10246" max="10246" width="9.6640625" bestFit="1" customWidth="1"/>
    <col min="10247" max="10247" width="11.33203125" bestFit="1" customWidth="1"/>
    <col min="10249" max="10249" width="11.33203125" bestFit="1" customWidth="1"/>
    <col min="10497" max="10497" width="41.33203125" customWidth="1"/>
    <col min="10499" max="10499" width="12.33203125" bestFit="1" customWidth="1"/>
    <col min="10500" max="10500" width="9.6640625" bestFit="1" customWidth="1"/>
    <col min="10501" max="10501" width="11.44140625" bestFit="1" customWidth="1"/>
    <col min="10502" max="10502" width="9.6640625" bestFit="1" customWidth="1"/>
    <col min="10503" max="10503" width="11.33203125" bestFit="1" customWidth="1"/>
    <col min="10505" max="10505" width="11.33203125" bestFit="1" customWidth="1"/>
    <col min="10753" max="10753" width="41.33203125" customWidth="1"/>
    <col min="10755" max="10755" width="12.33203125" bestFit="1" customWidth="1"/>
    <col min="10756" max="10756" width="9.6640625" bestFit="1" customWidth="1"/>
    <col min="10757" max="10757" width="11.44140625" bestFit="1" customWidth="1"/>
    <col min="10758" max="10758" width="9.6640625" bestFit="1" customWidth="1"/>
    <col min="10759" max="10759" width="11.33203125" bestFit="1" customWidth="1"/>
    <col min="10761" max="10761" width="11.33203125" bestFit="1" customWidth="1"/>
    <col min="11009" max="11009" width="41.33203125" customWidth="1"/>
    <col min="11011" max="11011" width="12.33203125" bestFit="1" customWidth="1"/>
    <col min="11012" max="11012" width="9.6640625" bestFit="1" customWidth="1"/>
    <col min="11013" max="11013" width="11.44140625" bestFit="1" customWidth="1"/>
    <col min="11014" max="11014" width="9.6640625" bestFit="1" customWidth="1"/>
    <col min="11015" max="11015" width="11.33203125" bestFit="1" customWidth="1"/>
    <col min="11017" max="11017" width="11.33203125" bestFit="1" customWidth="1"/>
    <col min="11265" max="11265" width="41.33203125" customWidth="1"/>
    <col min="11267" max="11267" width="12.33203125" bestFit="1" customWidth="1"/>
    <col min="11268" max="11268" width="9.6640625" bestFit="1" customWidth="1"/>
    <col min="11269" max="11269" width="11.44140625" bestFit="1" customWidth="1"/>
    <col min="11270" max="11270" width="9.6640625" bestFit="1" customWidth="1"/>
    <col min="11271" max="11271" width="11.33203125" bestFit="1" customWidth="1"/>
    <col min="11273" max="11273" width="11.33203125" bestFit="1" customWidth="1"/>
    <col min="11521" max="11521" width="41.33203125" customWidth="1"/>
    <col min="11523" max="11523" width="12.33203125" bestFit="1" customWidth="1"/>
    <col min="11524" max="11524" width="9.6640625" bestFit="1" customWidth="1"/>
    <col min="11525" max="11525" width="11.44140625" bestFit="1" customWidth="1"/>
    <col min="11526" max="11526" width="9.6640625" bestFit="1" customWidth="1"/>
    <col min="11527" max="11527" width="11.33203125" bestFit="1" customWidth="1"/>
    <col min="11529" max="11529" width="11.33203125" bestFit="1" customWidth="1"/>
    <col min="11777" max="11777" width="41.33203125" customWidth="1"/>
    <col min="11779" max="11779" width="12.33203125" bestFit="1" customWidth="1"/>
    <col min="11780" max="11780" width="9.6640625" bestFit="1" customWidth="1"/>
    <col min="11781" max="11781" width="11.44140625" bestFit="1" customWidth="1"/>
    <col min="11782" max="11782" width="9.6640625" bestFit="1" customWidth="1"/>
    <col min="11783" max="11783" width="11.33203125" bestFit="1" customWidth="1"/>
    <col min="11785" max="11785" width="11.33203125" bestFit="1" customWidth="1"/>
    <col min="12033" max="12033" width="41.33203125" customWidth="1"/>
    <col min="12035" max="12035" width="12.33203125" bestFit="1" customWidth="1"/>
    <col min="12036" max="12036" width="9.6640625" bestFit="1" customWidth="1"/>
    <col min="12037" max="12037" width="11.44140625" bestFit="1" customWidth="1"/>
    <col min="12038" max="12038" width="9.6640625" bestFit="1" customWidth="1"/>
    <col min="12039" max="12039" width="11.33203125" bestFit="1" customWidth="1"/>
    <col min="12041" max="12041" width="11.33203125" bestFit="1" customWidth="1"/>
    <col min="12289" max="12289" width="41.33203125" customWidth="1"/>
    <col min="12291" max="12291" width="12.33203125" bestFit="1" customWidth="1"/>
    <col min="12292" max="12292" width="9.6640625" bestFit="1" customWidth="1"/>
    <col min="12293" max="12293" width="11.44140625" bestFit="1" customWidth="1"/>
    <col min="12294" max="12294" width="9.6640625" bestFit="1" customWidth="1"/>
    <col min="12295" max="12295" width="11.33203125" bestFit="1" customWidth="1"/>
    <col min="12297" max="12297" width="11.33203125" bestFit="1" customWidth="1"/>
    <col min="12545" max="12545" width="41.33203125" customWidth="1"/>
    <col min="12547" max="12547" width="12.33203125" bestFit="1" customWidth="1"/>
    <col min="12548" max="12548" width="9.6640625" bestFit="1" customWidth="1"/>
    <col min="12549" max="12549" width="11.44140625" bestFit="1" customWidth="1"/>
    <col min="12550" max="12550" width="9.6640625" bestFit="1" customWidth="1"/>
    <col min="12551" max="12551" width="11.33203125" bestFit="1" customWidth="1"/>
    <col min="12553" max="12553" width="11.33203125" bestFit="1" customWidth="1"/>
    <col min="12801" max="12801" width="41.33203125" customWidth="1"/>
    <col min="12803" max="12803" width="12.33203125" bestFit="1" customWidth="1"/>
    <col min="12804" max="12804" width="9.6640625" bestFit="1" customWidth="1"/>
    <col min="12805" max="12805" width="11.44140625" bestFit="1" customWidth="1"/>
    <col min="12806" max="12806" width="9.6640625" bestFit="1" customWidth="1"/>
    <col min="12807" max="12807" width="11.33203125" bestFit="1" customWidth="1"/>
    <col min="12809" max="12809" width="11.33203125" bestFit="1" customWidth="1"/>
    <col min="13057" max="13057" width="41.33203125" customWidth="1"/>
    <col min="13059" max="13059" width="12.33203125" bestFit="1" customWidth="1"/>
    <col min="13060" max="13060" width="9.6640625" bestFit="1" customWidth="1"/>
    <col min="13061" max="13061" width="11.44140625" bestFit="1" customWidth="1"/>
    <col min="13062" max="13062" width="9.6640625" bestFit="1" customWidth="1"/>
    <col min="13063" max="13063" width="11.33203125" bestFit="1" customWidth="1"/>
    <col min="13065" max="13065" width="11.33203125" bestFit="1" customWidth="1"/>
    <col min="13313" max="13313" width="41.33203125" customWidth="1"/>
    <col min="13315" max="13315" width="12.33203125" bestFit="1" customWidth="1"/>
    <col min="13316" max="13316" width="9.6640625" bestFit="1" customWidth="1"/>
    <col min="13317" max="13317" width="11.44140625" bestFit="1" customWidth="1"/>
    <col min="13318" max="13318" width="9.6640625" bestFit="1" customWidth="1"/>
    <col min="13319" max="13319" width="11.33203125" bestFit="1" customWidth="1"/>
    <col min="13321" max="13321" width="11.33203125" bestFit="1" customWidth="1"/>
    <col min="13569" max="13569" width="41.33203125" customWidth="1"/>
    <col min="13571" max="13571" width="12.33203125" bestFit="1" customWidth="1"/>
    <col min="13572" max="13572" width="9.6640625" bestFit="1" customWidth="1"/>
    <col min="13573" max="13573" width="11.44140625" bestFit="1" customWidth="1"/>
    <col min="13574" max="13574" width="9.6640625" bestFit="1" customWidth="1"/>
    <col min="13575" max="13575" width="11.33203125" bestFit="1" customWidth="1"/>
    <col min="13577" max="13577" width="11.33203125" bestFit="1" customWidth="1"/>
    <col min="13825" max="13825" width="41.33203125" customWidth="1"/>
    <col min="13827" max="13827" width="12.33203125" bestFit="1" customWidth="1"/>
    <col min="13828" max="13828" width="9.6640625" bestFit="1" customWidth="1"/>
    <col min="13829" max="13829" width="11.44140625" bestFit="1" customWidth="1"/>
    <col min="13830" max="13830" width="9.6640625" bestFit="1" customWidth="1"/>
    <col min="13831" max="13831" width="11.33203125" bestFit="1" customWidth="1"/>
    <col min="13833" max="13833" width="11.33203125" bestFit="1" customWidth="1"/>
    <col min="14081" max="14081" width="41.33203125" customWidth="1"/>
    <col min="14083" max="14083" width="12.33203125" bestFit="1" customWidth="1"/>
    <col min="14084" max="14084" width="9.6640625" bestFit="1" customWidth="1"/>
    <col min="14085" max="14085" width="11.44140625" bestFit="1" customWidth="1"/>
    <col min="14086" max="14086" width="9.6640625" bestFit="1" customWidth="1"/>
    <col min="14087" max="14087" width="11.33203125" bestFit="1" customWidth="1"/>
    <col min="14089" max="14089" width="11.33203125" bestFit="1" customWidth="1"/>
    <col min="14337" max="14337" width="41.33203125" customWidth="1"/>
    <col min="14339" max="14339" width="12.33203125" bestFit="1" customWidth="1"/>
    <col min="14340" max="14340" width="9.6640625" bestFit="1" customWidth="1"/>
    <col min="14341" max="14341" width="11.44140625" bestFit="1" customWidth="1"/>
    <col min="14342" max="14342" width="9.6640625" bestFit="1" customWidth="1"/>
    <col min="14343" max="14343" width="11.33203125" bestFit="1" customWidth="1"/>
    <col min="14345" max="14345" width="11.33203125" bestFit="1" customWidth="1"/>
    <col min="14593" max="14593" width="41.33203125" customWidth="1"/>
    <col min="14595" max="14595" width="12.33203125" bestFit="1" customWidth="1"/>
    <col min="14596" max="14596" width="9.6640625" bestFit="1" customWidth="1"/>
    <col min="14597" max="14597" width="11.44140625" bestFit="1" customWidth="1"/>
    <col min="14598" max="14598" width="9.6640625" bestFit="1" customWidth="1"/>
    <col min="14599" max="14599" width="11.33203125" bestFit="1" customWidth="1"/>
    <col min="14601" max="14601" width="11.33203125" bestFit="1" customWidth="1"/>
    <col min="14849" max="14849" width="41.33203125" customWidth="1"/>
    <col min="14851" max="14851" width="12.33203125" bestFit="1" customWidth="1"/>
    <col min="14852" max="14852" width="9.6640625" bestFit="1" customWidth="1"/>
    <col min="14853" max="14853" width="11.44140625" bestFit="1" customWidth="1"/>
    <col min="14854" max="14854" width="9.6640625" bestFit="1" customWidth="1"/>
    <col min="14855" max="14855" width="11.33203125" bestFit="1" customWidth="1"/>
    <col min="14857" max="14857" width="11.33203125" bestFit="1" customWidth="1"/>
    <col min="15105" max="15105" width="41.33203125" customWidth="1"/>
    <col min="15107" max="15107" width="12.33203125" bestFit="1" customWidth="1"/>
    <col min="15108" max="15108" width="9.6640625" bestFit="1" customWidth="1"/>
    <col min="15109" max="15109" width="11.44140625" bestFit="1" customWidth="1"/>
    <col min="15110" max="15110" width="9.6640625" bestFit="1" customWidth="1"/>
    <col min="15111" max="15111" width="11.33203125" bestFit="1" customWidth="1"/>
    <col min="15113" max="15113" width="11.33203125" bestFit="1" customWidth="1"/>
    <col min="15361" max="15361" width="41.33203125" customWidth="1"/>
    <col min="15363" max="15363" width="12.33203125" bestFit="1" customWidth="1"/>
    <col min="15364" max="15364" width="9.6640625" bestFit="1" customWidth="1"/>
    <col min="15365" max="15365" width="11.44140625" bestFit="1" customWidth="1"/>
    <col min="15366" max="15366" width="9.6640625" bestFit="1" customWidth="1"/>
    <col min="15367" max="15367" width="11.33203125" bestFit="1" customWidth="1"/>
    <col min="15369" max="15369" width="11.33203125" bestFit="1" customWidth="1"/>
    <col min="15617" max="15617" width="41.33203125" customWidth="1"/>
    <col min="15619" max="15619" width="12.33203125" bestFit="1" customWidth="1"/>
    <col min="15620" max="15620" width="9.6640625" bestFit="1" customWidth="1"/>
    <col min="15621" max="15621" width="11.44140625" bestFit="1" customWidth="1"/>
    <col min="15622" max="15622" width="9.6640625" bestFit="1" customWidth="1"/>
    <col min="15623" max="15623" width="11.33203125" bestFit="1" customWidth="1"/>
    <col min="15625" max="15625" width="11.33203125" bestFit="1" customWidth="1"/>
    <col min="15873" max="15873" width="41.33203125" customWidth="1"/>
    <col min="15875" max="15875" width="12.33203125" bestFit="1" customWidth="1"/>
    <col min="15876" max="15876" width="9.6640625" bestFit="1" customWidth="1"/>
    <col min="15877" max="15877" width="11.44140625" bestFit="1" customWidth="1"/>
    <col min="15878" max="15878" width="9.6640625" bestFit="1" customWidth="1"/>
    <col min="15879" max="15879" width="11.33203125" bestFit="1" customWidth="1"/>
    <col min="15881" max="15881" width="11.33203125" bestFit="1" customWidth="1"/>
    <col min="16129" max="16129" width="41.33203125" customWidth="1"/>
    <col min="16131" max="16131" width="12.33203125" bestFit="1" customWidth="1"/>
    <col min="16132" max="16132" width="9.6640625" bestFit="1" customWidth="1"/>
    <col min="16133" max="16133" width="11.44140625" bestFit="1" customWidth="1"/>
    <col min="16134" max="16134" width="9.6640625" bestFit="1" customWidth="1"/>
    <col min="16135" max="16135" width="11.33203125" bestFit="1" customWidth="1"/>
    <col min="16137" max="16137" width="11.33203125" bestFit="1" customWidth="1"/>
  </cols>
  <sheetData>
    <row r="1" spans="1:9" x14ac:dyDescent="0.25">
      <c r="A1" s="209" t="s">
        <v>420</v>
      </c>
      <c r="E1" s="51" t="str">
        <f>Assumptions!$B$12</f>
        <v>Internal</v>
      </c>
    </row>
    <row r="2" spans="1:9" x14ac:dyDescent="0.25">
      <c r="A2" s="50" t="str">
        <f>Assumptions!B10</f>
        <v>City of Manteca</v>
      </c>
      <c r="E2" s="52" t="str">
        <f>Assumptions!$B$13</f>
        <v>Working Draft - v8</v>
      </c>
    </row>
    <row r="3" spans="1:9" x14ac:dyDescent="0.25">
      <c r="A3" s="209" t="s">
        <v>421</v>
      </c>
      <c r="E3" s="53">
        <f>Assumptions!$B$14</f>
        <v>41248</v>
      </c>
    </row>
    <row r="4" spans="1:9" x14ac:dyDescent="0.25">
      <c r="A4" s="50" t="s">
        <v>283</v>
      </c>
    </row>
    <row r="6" spans="1:9" x14ac:dyDescent="0.25">
      <c r="C6" s="4"/>
      <c r="D6" s="4"/>
      <c r="E6" s="4" t="s">
        <v>47</v>
      </c>
    </row>
    <row r="7" spans="1:9" x14ac:dyDescent="0.25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5">
      <c r="A8" s="5" t="s">
        <v>7</v>
      </c>
      <c r="B8" s="6" t="s">
        <v>376</v>
      </c>
      <c r="C8" s="6" t="s">
        <v>5</v>
      </c>
      <c r="D8" s="250" t="s">
        <v>363</v>
      </c>
      <c r="E8" s="6" t="s">
        <v>5</v>
      </c>
      <c r="F8" s="185"/>
      <c r="G8" s="185"/>
      <c r="H8" s="186"/>
    </row>
    <row r="9" spans="1:9" x14ac:dyDescent="0.25">
      <c r="D9" s="186"/>
      <c r="F9" s="186"/>
      <c r="G9" s="186"/>
      <c r="H9" s="186"/>
    </row>
    <row r="10" spans="1:9" x14ac:dyDescent="0.25">
      <c r="A10" t="s">
        <v>259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 x14ac:dyDescent="0.25">
      <c r="A11" t="s">
        <v>260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 x14ac:dyDescent="0.25">
      <c r="C12" s="191"/>
      <c r="D12" s="188"/>
      <c r="E12" s="191"/>
      <c r="F12" s="189"/>
      <c r="G12" s="189"/>
      <c r="H12" s="186"/>
      <c r="I12" s="190"/>
    </row>
    <row r="13" spans="1:9" x14ac:dyDescent="0.25">
      <c r="A13" t="s">
        <v>261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 x14ac:dyDescent="0.25">
      <c r="C14" s="195"/>
      <c r="D14" s="193"/>
      <c r="E14" s="192"/>
      <c r="F14" s="194"/>
      <c r="G14" s="186"/>
      <c r="H14" s="186"/>
      <c r="I14" s="190"/>
    </row>
    <row r="15" spans="1:9" x14ac:dyDescent="0.25">
      <c r="A15" t="s">
        <v>262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 x14ac:dyDescent="0.25">
      <c r="A16" t="s">
        <v>263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 x14ac:dyDescent="0.25">
      <c r="A17" t="s">
        <v>264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 x14ac:dyDescent="0.25">
      <c r="A18" t="s">
        <v>265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 x14ac:dyDescent="0.25">
      <c r="C19" s="195"/>
      <c r="D19" s="186"/>
      <c r="E19" s="197"/>
      <c r="F19" s="186"/>
      <c r="G19" s="186"/>
      <c r="H19" s="186"/>
      <c r="I19" s="190"/>
    </row>
    <row r="20" spans="1:9" x14ac:dyDescent="0.25">
      <c r="C20" s="195"/>
      <c r="D20" s="186"/>
      <c r="E20" s="192"/>
      <c r="F20" s="186"/>
      <c r="G20" s="186"/>
      <c r="H20" s="186"/>
      <c r="I20" s="190"/>
    </row>
    <row r="21" spans="1:9" x14ac:dyDescent="0.25">
      <c r="A21" t="s">
        <v>266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 x14ac:dyDescent="0.25">
      <c r="C22" s="195"/>
      <c r="D22" s="186"/>
      <c r="E22" s="192"/>
      <c r="F22" s="186"/>
      <c r="G22" s="186"/>
      <c r="H22" s="186"/>
      <c r="I22" s="190"/>
    </row>
    <row r="23" spans="1:9" x14ac:dyDescent="0.25">
      <c r="C23" s="187"/>
      <c r="D23" s="189"/>
      <c r="E23" s="189"/>
      <c r="F23" s="189"/>
      <c r="G23" s="189"/>
      <c r="H23" s="186"/>
      <c r="I23" s="190"/>
    </row>
    <row r="24" spans="1:9" x14ac:dyDescent="0.25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5">
      <c r="A25" t="s">
        <v>281</v>
      </c>
      <c r="C25" s="192"/>
    </row>
    <row r="26" spans="1:9" x14ac:dyDescent="0.25">
      <c r="A26" t="s">
        <v>375</v>
      </c>
      <c r="C26" s="192"/>
    </row>
    <row r="27" spans="1:9" x14ac:dyDescent="0.25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8671875" defaultRowHeight="15.6" x14ac:dyDescent="0.35"/>
  <cols>
    <col min="1" max="1" width="11.88671875" style="98" customWidth="1"/>
    <col min="2" max="2" width="9.6640625" style="98" customWidth="1"/>
    <col min="3" max="3" width="15.44140625" style="98" customWidth="1"/>
    <col min="4" max="4" width="17" style="98" customWidth="1"/>
    <col min="5" max="5" width="13.6640625" style="98" bestFit="1" customWidth="1"/>
    <col min="6" max="7" width="14" style="98" bestFit="1" customWidth="1"/>
    <col min="8" max="8" width="19.33203125" style="98" customWidth="1"/>
    <col min="9" max="16384" width="13.88671875" style="98"/>
  </cols>
  <sheetData>
    <row r="1" spans="1:11" x14ac:dyDescent="0.35">
      <c r="A1" s="98" t="s">
        <v>140</v>
      </c>
      <c r="H1" s="99"/>
      <c r="I1" s="99"/>
      <c r="J1" s="99"/>
      <c r="K1" s="99"/>
    </row>
    <row r="2" spans="1:11" x14ac:dyDescent="0.35">
      <c r="H2" s="99"/>
      <c r="I2" s="100"/>
      <c r="J2" s="99"/>
      <c r="K2" s="99"/>
    </row>
    <row r="3" spans="1:11" x14ac:dyDescent="0.35">
      <c r="A3" s="98" t="s">
        <v>141</v>
      </c>
      <c r="H3" s="99"/>
      <c r="I3" s="101"/>
      <c r="J3" s="99"/>
      <c r="K3" s="99"/>
    </row>
    <row r="4" spans="1:11" x14ac:dyDescent="0.35">
      <c r="A4" s="98" t="s">
        <v>142</v>
      </c>
      <c r="H4" s="99"/>
      <c r="I4" s="100"/>
      <c r="J4" s="102"/>
      <c r="K4" s="99"/>
    </row>
    <row r="5" spans="1:11" ht="16.2" thickBot="1" x14ac:dyDescent="0.4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2" thickTop="1" x14ac:dyDescent="0.35">
      <c r="H6" s="99"/>
      <c r="I6" s="99"/>
      <c r="J6" s="99"/>
      <c r="K6" s="99"/>
    </row>
    <row r="7" spans="1:11" x14ac:dyDescent="0.3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35">
      <c r="A8" s="98" t="s">
        <v>144</v>
      </c>
      <c r="D8" s="98">
        <v>1</v>
      </c>
      <c r="H8" s="99"/>
      <c r="I8" s="104"/>
      <c r="J8" s="99"/>
      <c r="K8" s="99"/>
    </row>
    <row r="9" spans="1:11" x14ac:dyDescent="0.3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3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3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3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3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3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3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35">
      <c r="H16" s="99"/>
      <c r="I16" s="108"/>
      <c r="J16" s="99"/>
      <c r="K16" s="99"/>
    </row>
    <row r="17" spans="1:34" x14ac:dyDescent="0.3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3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3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3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3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3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3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3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3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3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3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3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3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3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3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3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3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3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3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3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3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3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3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3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3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3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3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3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3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3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3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3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3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3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3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3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3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35">
      <c r="A54" s="125"/>
      <c r="C54" s="127"/>
      <c r="D54" s="127"/>
      <c r="E54" s="127"/>
      <c r="F54" s="127"/>
      <c r="G54" s="127"/>
    </row>
    <row r="55" spans="1:11" x14ac:dyDescent="0.35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 x14ac:dyDescent="0.35">
      <c r="A56" s="125"/>
      <c r="C56" s="127" t="s">
        <v>373</v>
      </c>
      <c r="D56" s="127"/>
      <c r="E56" s="127">
        <f>D9/1000</f>
        <v>4766.2827501152651</v>
      </c>
      <c r="F56" s="127"/>
      <c r="G56" s="127"/>
    </row>
    <row r="57" spans="1:11" x14ac:dyDescent="0.35">
      <c r="A57" s="125"/>
      <c r="C57" s="127" t="s">
        <v>374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35">
      <c r="A58" s="125"/>
      <c r="C58" s="127"/>
      <c r="D58" s="127"/>
      <c r="E58" s="127"/>
      <c r="F58" s="127"/>
      <c r="G58" s="127"/>
    </row>
    <row r="59" spans="1:11" x14ac:dyDescent="0.35">
      <c r="A59" s="125"/>
      <c r="C59" s="127"/>
      <c r="D59" s="127"/>
      <c r="E59" s="127"/>
      <c r="F59" s="127"/>
      <c r="G59" s="127"/>
    </row>
    <row r="60" spans="1:11" x14ac:dyDescent="0.35">
      <c r="A60" s="125"/>
      <c r="C60" s="127"/>
      <c r="D60" s="127"/>
      <c r="E60" s="127"/>
      <c r="F60" s="127"/>
      <c r="G60" s="127"/>
    </row>
    <row r="61" spans="1:11" x14ac:dyDescent="0.35">
      <c r="A61" s="125"/>
      <c r="C61" s="127"/>
      <c r="D61" s="127"/>
      <c r="E61" s="127"/>
      <c r="F61" s="127"/>
      <c r="G61" s="127"/>
    </row>
    <row r="62" spans="1:11" x14ac:dyDescent="0.35">
      <c r="A62" s="125"/>
      <c r="C62" s="127"/>
      <c r="D62" s="127"/>
      <c r="E62" s="127"/>
      <c r="F62" s="127"/>
      <c r="G62" s="127"/>
    </row>
    <row r="63" spans="1:11" x14ac:dyDescent="0.35">
      <c r="A63" s="125"/>
      <c r="C63" s="127"/>
      <c r="D63" s="127"/>
      <c r="E63" s="127"/>
      <c r="F63" s="127"/>
      <c r="G63" s="127"/>
    </row>
    <row r="64" spans="1:11" x14ac:dyDescent="0.35">
      <c r="A64" s="125"/>
      <c r="C64" s="127"/>
      <c r="D64" s="127"/>
      <c r="E64" s="127"/>
      <c r="F64" s="127"/>
      <c r="G64" s="127"/>
    </row>
    <row r="65" spans="1:7" x14ac:dyDescent="0.35">
      <c r="A65" s="125"/>
      <c r="C65" s="127"/>
      <c r="D65" s="127"/>
      <c r="E65" s="127"/>
      <c r="F65" s="127"/>
      <c r="G65" s="127"/>
    </row>
    <row r="66" spans="1:7" x14ac:dyDescent="0.35">
      <c r="A66" s="125"/>
      <c r="C66" s="127"/>
      <c r="D66" s="127"/>
      <c r="E66" s="127"/>
      <c r="F66" s="127"/>
      <c r="G66" s="127"/>
    </row>
    <row r="67" spans="1:7" x14ac:dyDescent="0.35">
      <c r="A67" s="125"/>
      <c r="C67" s="127"/>
      <c r="D67" s="127"/>
      <c r="E67" s="127"/>
      <c r="F67" s="127"/>
      <c r="G67" s="127"/>
    </row>
    <row r="68" spans="1:7" x14ac:dyDescent="0.35">
      <c r="A68" s="125"/>
      <c r="C68" s="127"/>
      <c r="D68" s="127"/>
      <c r="E68" s="127"/>
      <c r="F68" s="127"/>
      <c r="G68" s="127"/>
    </row>
    <row r="69" spans="1:7" x14ac:dyDescent="0.35">
      <c r="A69" s="125"/>
      <c r="C69" s="127"/>
      <c r="D69" s="127"/>
      <c r="E69" s="127"/>
      <c r="F69" s="127"/>
      <c r="G69" s="127"/>
    </row>
    <row r="70" spans="1:7" x14ac:dyDescent="0.35">
      <c r="A70" s="125"/>
      <c r="C70" s="127"/>
      <c r="D70" s="127"/>
      <c r="E70" s="127"/>
      <c r="F70" s="127"/>
      <c r="G70" s="127"/>
    </row>
    <row r="71" spans="1:7" x14ac:dyDescent="0.35">
      <c r="A71" s="125"/>
      <c r="C71" s="127"/>
      <c r="D71" s="127"/>
      <c r="E71" s="127"/>
      <c r="F71" s="127"/>
      <c r="G71" s="127"/>
    </row>
    <row r="72" spans="1:7" x14ac:dyDescent="0.35">
      <c r="A72" s="125"/>
      <c r="C72" s="127"/>
      <c r="D72" s="127"/>
      <c r="E72" s="127"/>
      <c r="F72" s="127"/>
      <c r="G72" s="127"/>
    </row>
    <row r="73" spans="1:7" x14ac:dyDescent="0.35">
      <c r="A73" s="125"/>
      <c r="C73" s="127"/>
      <c r="D73" s="127"/>
      <c r="E73" s="127"/>
      <c r="F73" s="127"/>
      <c r="G73" s="127"/>
    </row>
    <row r="74" spans="1:7" x14ac:dyDescent="0.35">
      <c r="A74" s="125"/>
      <c r="C74" s="127"/>
      <c r="D74" s="127"/>
      <c r="E74" s="127"/>
      <c r="F74" s="127"/>
      <c r="G74" s="127"/>
    </row>
    <row r="75" spans="1:7" x14ac:dyDescent="0.35">
      <c r="A75" s="125"/>
      <c r="C75" s="127"/>
      <c r="D75" s="127"/>
      <c r="E75" s="127"/>
      <c r="F75" s="127"/>
      <c r="G75" s="127"/>
    </row>
    <row r="76" spans="1:7" x14ac:dyDescent="0.35">
      <c r="A76" s="125"/>
      <c r="C76" s="127"/>
      <c r="D76" s="127"/>
      <c r="E76" s="127"/>
      <c r="F76" s="127"/>
      <c r="G76" s="127"/>
    </row>
    <row r="77" spans="1:7" x14ac:dyDescent="0.35">
      <c r="A77" s="125"/>
      <c r="C77" s="127"/>
      <c r="D77" s="127"/>
      <c r="E77" s="127"/>
      <c r="F77" s="127"/>
      <c r="G77" s="127"/>
    </row>
    <row r="78" spans="1:7" x14ac:dyDescent="0.35">
      <c r="A78" s="125"/>
      <c r="C78" s="127"/>
      <c r="D78" s="127"/>
      <c r="E78" s="127"/>
      <c r="F78" s="127"/>
      <c r="G78" s="127"/>
    </row>
    <row r="79" spans="1:7" x14ac:dyDescent="0.35">
      <c r="A79" s="125"/>
      <c r="C79" s="127"/>
      <c r="D79" s="127"/>
      <c r="E79" s="127"/>
      <c r="F79" s="127"/>
      <c r="G79" s="127"/>
    </row>
    <row r="80" spans="1:7" x14ac:dyDescent="0.35">
      <c r="A80" s="125"/>
      <c r="C80" s="127"/>
      <c r="D80" s="127"/>
      <c r="E80" s="127"/>
      <c r="F80" s="127"/>
      <c r="G80" s="127"/>
    </row>
    <row r="81" spans="1:7" x14ac:dyDescent="0.35">
      <c r="A81" s="125"/>
      <c r="C81" s="127"/>
      <c r="D81" s="127"/>
      <c r="E81" s="127"/>
      <c r="F81" s="127"/>
      <c r="G81" s="127"/>
    </row>
    <row r="82" spans="1:7" x14ac:dyDescent="0.3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13" zoomScale="75" workbookViewId="0">
      <selection activeCell="F40" sqref="F40"/>
    </sheetView>
  </sheetViews>
  <sheetFormatPr defaultRowHeight="13.2" x14ac:dyDescent="0.25"/>
  <cols>
    <col min="1" max="1" width="41.33203125" customWidth="1"/>
    <col min="2" max="2" width="12.5546875" bestFit="1" customWidth="1"/>
    <col min="3" max="3" width="10.44140625" customWidth="1"/>
    <col min="4" max="4" width="8.77734375" customWidth="1"/>
    <col min="5" max="5" width="11.44140625" bestFit="1" customWidth="1"/>
    <col min="6" max="6" width="16.109375" bestFit="1" customWidth="1"/>
    <col min="7" max="7" width="11.44140625" bestFit="1" customWidth="1"/>
    <col min="8" max="8" width="11.33203125" bestFit="1" customWidth="1"/>
    <col min="256" max="256" width="41.33203125" customWidth="1"/>
    <col min="258" max="258" width="12.33203125" bestFit="1" customWidth="1"/>
    <col min="259" max="259" width="9.6640625" bestFit="1" customWidth="1"/>
    <col min="260" max="260" width="11.44140625" bestFit="1" customWidth="1"/>
    <col min="261" max="261" width="9.6640625" bestFit="1" customWidth="1"/>
    <col min="262" max="262" width="11.33203125" bestFit="1" customWidth="1"/>
    <col min="264" max="264" width="11.33203125" bestFit="1" customWidth="1"/>
    <col min="512" max="512" width="41.33203125" customWidth="1"/>
    <col min="514" max="514" width="12.33203125" bestFit="1" customWidth="1"/>
    <col min="515" max="515" width="9.6640625" bestFit="1" customWidth="1"/>
    <col min="516" max="516" width="11.44140625" bestFit="1" customWidth="1"/>
    <col min="517" max="517" width="9.6640625" bestFit="1" customWidth="1"/>
    <col min="518" max="518" width="11.33203125" bestFit="1" customWidth="1"/>
    <col min="520" max="520" width="11.33203125" bestFit="1" customWidth="1"/>
    <col min="768" max="768" width="41.33203125" customWidth="1"/>
    <col min="770" max="770" width="12.33203125" bestFit="1" customWidth="1"/>
    <col min="771" max="771" width="9.6640625" bestFit="1" customWidth="1"/>
    <col min="772" max="772" width="11.44140625" bestFit="1" customWidth="1"/>
    <col min="773" max="773" width="9.6640625" bestFit="1" customWidth="1"/>
    <col min="774" max="774" width="11.33203125" bestFit="1" customWidth="1"/>
    <col min="776" max="776" width="11.33203125" bestFit="1" customWidth="1"/>
    <col min="1024" max="1024" width="41.33203125" customWidth="1"/>
    <col min="1026" max="1026" width="12.33203125" bestFit="1" customWidth="1"/>
    <col min="1027" max="1027" width="9.6640625" bestFit="1" customWidth="1"/>
    <col min="1028" max="1028" width="11.44140625" bestFit="1" customWidth="1"/>
    <col min="1029" max="1029" width="9.6640625" bestFit="1" customWidth="1"/>
    <col min="1030" max="1030" width="11.33203125" bestFit="1" customWidth="1"/>
    <col min="1032" max="1032" width="11.33203125" bestFit="1" customWidth="1"/>
    <col min="1280" max="1280" width="41.33203125" customWidth="1"/>
    <col min="1282" max="1282" width="12.33203125" bestFit="1" customWidth="1"/>
    <col min="1283" max="1283" width="9.6640625" bestFit="1" customWidth="1"/>
    <col min="1284" max="1284" width="11.44140625" bestFit="1" customWidth="1"/>
    <col min="1285" max="1285" width="9.6640625" bestFit="1" customWidth="1"/>
    <col min="1286" max="1286" width="11.33203125" bestFit="1" customWidth="1"/>
    <col min="1288" max="1288" width="11.33203125" bestFit="1" customWidth="1"/>
    <col min="1536" max="1536" width="41.33203125" customWidth="1"/>
    <col min="1538" max="1538" width="12.33203125" bestFit="1" customWidth="1"/>
    <col min="1539" max="1539" width="9.6640625" bestFit="1" customWidth="1"/>
    <col min="1540" max="1540" width="11.44140625" bestFit="1" customWidth="1"/>
    <col min="1541" max="1541" width="9.6640625" bestFit="1" customWidth="1"/>
    <col min="1542" max="1542" width="11.33203125" bestFit="1" customWidth="1"/>
    <col min="1544" max="1544" width="11.33203125" bestFit="1" customWidth="1"/>
    <col min="1792" max="1792" width="41.33203125" customWidth="1"/>
    <col min="1794" max="1794" width="12.33203125" bestFit="1" customWidth="1"/>
    <col min="1795" max="1795" width="9.6640625" bestFit="1" customWidth="1"/>
    <col min="1796" max="1796" width="11.44140625" bestFit="1" customWidth="1"/>
    <col min="1797" max="1797" width="9.6640625" bestFit="1" customWidth="1"/>
    <col min="1798" max="1798" width="11.33203125" bestFit="1" customWidth="1"/>
    <col min="1800" max="1800" width="11.33203125" bestFit="1" customWidth="1"/>
    <col min="2048" max="2048" width="41.33203125" customWidth="1"/>
    <col min="2050" max="2050" width="12.33203125" bestFit="1" customWidth="1"/>
    <col min="2051" max="2051" width="9.6640625" bestFit="1" customWidth="1"/>
    <col min="2052" max="2052" width="11.44140625" bestFit="1" customWidth="1"/>
    <col min="2053" max="2053" width="9.6640625" bestFit="1" customWidth="1"/>
    <col min="2054" max="2054" width="11.33203125" bestFit="1" customWidth="1"/>
    <col min="2056" max="2056" width="11.33203125" bestFit="1" customWidth="1"/>
    <col min="2304" max="2304" width="41.33203125" customWidth="1"/>
    <col min="2306" max="2306" width="12.33203125" bestFit="1" customWidth="1"/>
    <col min="2307" max="2307" width="9.6640625" bestFit="1" customWidth="1"/>
    <col min="2308" max="2308" width="11.44140625" bestFit="1" customWidth="1"/>
    <col min="2309" max="2309" width="9.6640625" bestFit="1" customWidth="1"/>
    <col min="2310" max="2310" width="11.33203125" bestFit="1" customWidth="1"/>
    <col min="2312" max="2312" width="11.33203125" bestFit="1" customWidth="1"/>
    <col min="2560" max="2560" width="41.33203125" customWidth="1"/>
    <col min="2562" max="2562" width="12.33203125" bestFit="1" customWidth="1"/>
    <col min="2563" max="2563" width="9.6640625" bestFit="1" customWidth="1"/>
    <col min="2564" max="2564" width="11.44140625" bestFit="1" customWidth="1"/>
    <col min="2565" max="2565" width="9.6640625" bestFit="1" customWidth="1"/>
    <col min="2566" max="2566" width="11.33203125" bestFit="1" customWidth="1"/>
    <col min="2568" max="2568" width="11.33203125" bestFit="1" customWidth="1"/>
    <col min="2816" max="2816" width="41.33203125" customWidth="1"/>
    <col min="2818" max="2818" width="12.33203125" bestFit="1" customWidth="1"/>
    <col min="2819" max="2819" width="9.6640625" bestFit="1" customWidth="1"/>
    <col min="2820" max="2820" width="11.44140625" bestFit="1" customWidth="1"/>
    <col min="2821" max="2821" width="9.6640625" bestFit="1" customWidth="1"/>
    <col min="2822" max="2822" width="11.33203125" bestFit="1" customWidth="1"/>
    <col min="2824" max="2824" width="11.33203125" bestFit="1" customWidth="1"/>
    <col min="3072" max="3072" width="41.33203125" customWidth="1"/>
    <col min="3074" max="3074" width="12.33203125" bestFit="1" customWidth="1"/>
    <col min="3075" max="3075" width="9.6640625" bestFit="1" customWidth="1"/>
    <col min="3076" max="3076" width="11.44140625" bestFit="1" customWidth="1"/>
    <col min="3077" max="3077" width="9.6640625" bestFit="1" customWidth="1"/>
    <col min="3078" max="3078" width="11.33203125" bestFit="1" customWidth="1"/>
    <col min="3080" max="3080" width="11.33203125" bestFit="1" customWidth="1"/>
    <col min="3328" max="3328" width="41.33203125" customWidth="1"/>
    <col min="3330" max="3330" width="12.33203125" bestFit="1" customWidth="1"/>
    <col min="3331" max="3331" width="9.6640625" bestFit="1" customWidth="1"/>
    <col min="3332" max="3332" width="11.44140625" bestFit="1" customWidth="1"/>
    <col min="3333" max="3333" width="9.6640625" bestFit="1" customWidth="1"/>
    <col min="3334" max="3334" width="11.33203125" bestFit="1" customWidth="1"/>
    <col min="3336" max="3336" width="11.33203125" bestFit="1" customWidth="1"/>
    <col min="3584" max="3584" width="41.33203125" customWidth="1"/>
    <col min="3586" max="3586" width="12.33203125" bestFit="1" customWidth="1"/>
    <col min="3587" max="3587" width="9.6640625" bestFit="1" customWidth="1"/>
    <col min="3588" max="3588" width="11.44140625" bestFit="1" customWidth="1"/>
    <col min="3589" max="3589" width="9.6640625" bestFit="1" customWidth="1"/>
    <col min="3590" max="3590" width="11.33203125" bestFit="1" customWidth="1"/>
    <col min="3592" max="3592" width="11.33203125" bestFit="1" customWidth="1"/>
    <col min="3840" max="3840" width="41.33203125" customWidth="1"/>
    <col min="3842" max="3842" width="12.33203125" bestFit="1" customWidth="1"/>
    <col min="3843" max="3843" width="9.6640625" bestFit="1" customWidth="1"/>
    <col min="3844" max="3844" width="11.44140625" bestFit="1" customWidth="1"/>
    <col min="3845" max="3845" width="9.6640625" bestFit="1" customWidth="1"/>
    <col min="3846" max="3846" width="11.33203125" bestFit="1" customWidth="1"/>
    <col min="3848" max="3848" width="11.33203125" bestFit="1" customWidth="1"/>
    <col min="4096" max="4096" width="41.33203125" customWidth="1"/>
    <col min="4098" max="4098" width="12.33203125" bestFit="1" customWidth="1"/>
    <col min="4099" max="4099" width="9.6640625" bestFit="1" customWidth="1"/>
    <col min="4100" max="4100" width="11.44140625" bestFit="1" customWidth="1"/>
    <col min="4101" max="4101" width="9.6640625" bestFit="1" customWidth="1"/>
    <col min="4102" max="4102" width="11.33203125" bestFit="1" customWidth="1"/>
    <col min="4104" max="4104" width="11.33203125" bestFit="1" customWidth="1"/>
    <col min="4352" max="4352" width="41.33203125" customWidth="1"/>
    <col min="4354" max="4354" width="12.33203125" bestFit="1" customWidth="1"/>
    <col min="4355" max="4355" width="9.6640625" bestFit="1" customWidth="1"/>
    <col min="4356" max="4356" width="11.44140625" bestFit="1" customWidth="1"/>
    <col min="4357" max="4357" width="9.6640625" bestFit="1" customWidth="1"/>
    <col min="4358" max="4358" width="11.33203125" bestFit="1" customWidth="1"/>
    <col min="4360" max="4360" width="11.33203125" bestFit="1" customWidth="1"/>
    <col min="4608" max="4608" width="41.33203125" customWidth="1"/>
    <col min="4610" max="4610" width="12.33203125" bestFit="1" customWidth="1"/>
    <col min="4611" max="4611" width="9.6640625" bestFit="1" customWidth="1"/>
    <col min="4612" max="4612" width="11.44140625" bestFit="1" customWidth="1"/>
    <col min="4613" max="4613" width="9.6640625" bestFit="1" customWidth="1"/>
    <col min="4614" max="4614" width="11.33203125" bestFit="1" customWidth="1"/>
    <col min="4616" max="4616" width="11.33203125" bestFit="1" customWidth="1"/>
    <col min="4864" max="4864" width="41.33203125" customWidth="1"/>
    <col min="4866" max="4866" width="12.33203125" bestFit="1" customWidth="1"/>
    <col min="4867" max="4867" width="9.6640625" bestFit="1" customWidth="1"/>
    <col min="4868" max="4868" width="11.44140625" bestFit="1" customWidth="1"/>
    <col min="4869" max="4869" width="9.6640625" bestFit="1" customWidth="1"/>
    <col min="4870" max="4870" width="11.33203125" bestFit="1" customWidth="1"/>
    <col min="4872" max="4872" width="11.33203125" bestFit="1" customWidth="1"/>
    <col min="5120" max="5120" width="41.33203125" customWidth="1"/>
    <col min="5122" max="5122" width="12.33203125" bestFit="1" customWidth="1"/>
    <col min="5123" max="5123" width="9.6640625" bestFit="1" customWidth="1"/>
    <col min="5124" max="5124" width="11.44140625" bestFit="1" customWidth="1"/>
    <col min="5125" max="5125" width="9.6640625" bestFit="1" customWidth="1"/>
    <col min="5126" max="5126" width="11.33203125" bestFit="1" customWidth="1"/>
    <col min="5128" max="5128" width="11.33203125" bestFit="1" customWidth="1"/>
    <col min="5376" max="5376" width="41.33203125" customWidth="1"/>
    <col min="5378" max="5378" width="12.33203125" bestFit="1" customWidth="1"/>
    <col min="5379" max="5379" width="9.6640625" bestFit="1" customWidth="1"/>
    <col min="5380" max="5380" width="11.44140625" bestFit="1" customWidth="1"/>
    <col min="5381" max="5381" width="9.6640625" bestFit="1" customWidth="1"/>
    <col min="5382" max="5382" width="11.33203125" bestFit="1" customWidth="1"/>
    <col min="5384" max="5384" width="11.33203125" bestFit="1" customWidth="1"/>
    <col min="5632" max="5632" width="41.33203125" customWidth="1"/>
    <col min="5634" max="5634" width="12.33203125" bestFit="1" customWidth="1"/>
    <col min="5635" max="5635" width="9.6640625" bestFit="1" customWidth="1"/>
    <col min="5636" max="5636" width="11.44140625" bestFit="1" customWidth="1"/>
    <col min="5637" max="5637" width="9.6640625" bestFit="1" customWidth="1"/>
    <col min="5638" max="5638" width="11.33203125" bestFit="1" customWidth="1"/>
    <col min="5640" max="5640" width="11.33203125" bestFit="1" customWidth="1"/>
    <col min="5888" max="5888" width="41.33203125" customWidth="1"/>
    <col min="5890" max="5890" width="12.33203125" bestFit="1" customWidth="1"/>
    <col min="5891" max="5891" width="9.6640625" bestFit="1" customWidth="1"/>
    <col min="5892" max="5892" width="11.44140625" bestFit="1" customWidth="1"/>
    <col min="5893" max="5893" width="9.6640625" bestFit="1" customWidth="1"/>
    <col min="5894" max="5894" width="11.33203125" bestFit="1" customWidth="1"/>
    <col min="5896" max="5896" width="11.33203125" bestFit="1" customWidth="1"/>
    <col min="6144" max="6144" width="41.33203125" customWidth="1"/>
    <col min="6146" max="6146" width="12.33203125" bestFit="1" customWidth="1"/>
    <col min="6147" max="6147" width="9.6640625" bestFit="1" customWidth="1"/>
    <col min="6148" max="6148" width="11.44140625" bestFit="1" customWidth="1"/>
    <col min="6149" max="6149" width="9.6640625" bestFit="1" customWidth="1"/>
    <col min="6150" max="6150" width="11.33203125" bestFit="1" customWidth="1"/>
    <col min="6152" max="6152" width="11.33203125" bestFit="1" customWidth="1"/>
    <col min="6400" max="6400" width="41.33203125" customWidth="1"/>
    <col min="6402" max="6402" width="12.33203125" bestFit="1" customWidth="1"/>
    <col min="6403" max="6403" width="9.6640625" bestFit="1" customWidth="1"/>
    <col min="6404" max="6404" width="11.44140625" bestFit="1" customWidth="1"/>
    <col min="6405" max="6405" width="9.6640625" bestFit="1" customWidth="1"/>
    <col min="6406" max="6406" width="11.33203125" bestFit="1" customWidth="1"/>
    <col min="6408" max="6408" width="11.33203125" bestFit="1" customWidth="1"/>
    <col min="6656" max="6656" width="41.33203125" customWidth="1"/>
    <col min="6658" max="6658" width="12.33203125" bestFit="1" customWidth="1"/>
    <col min="6659" max="6659" width="9.6640625" bestFit="1" customWidth="1"/>
    <col min="6660" max="6660" width="11.44140625" bestFit="1" customWidth="1"/>
    <col min="6661" max="6661" width="9.6640625" bestFit="1" customWidth="1"/>
    <col min="6662" max="6662" width="11.33203125" bestFit="1" customWidth="1"/>
    <col min="6664" max="6664" width="11.33203125" bestFit="1" customWidth="1"/>
    <col min="6912" max="6912" width="41.33203125" customWidth="1"/>
    <col min="6914" max="6914" width="12.33203125" bestFit="1" customWidth="1"/>
    <col min="6915" max="6915" width="9.6640625" bestFit="1" customWidth="1"/>
    <col min="6916" max="6916" width="11.44140625" bestFit="1" customWidth="1"/>
    <col min="6917" max="6917" width="9.6640625" bestFit="1" customWidth="1"/>
    <col min="6918" max="6918" width="11.33203125" bestFit="1" customWidth="1"/>
    <col min="6920" max="6920" width="11.33203125" bestFit="1" customWidth="1"/>
    <col min="7168" max="7168" width="41.33203125" customWidth="1"/>
    <col min="7170" max="7170" width="12.33203125" bestFit="1" customWidth="1"/>
    <col min="7171" max="7171" width="9.6640625" bestFit="1" customWidth="1"/>
    <col min="7172" max="7172" width="11.44140625" bestFit="1" customWidth="1"/>
    <col min="7173" max="7173" width="9.6640625" bestFit="1" customWidth="1"/>
    <col min="7174" max="7174" width="11.33203125" bestFit="1" customWidth="1"/>
    <col min="7176" max="7176" width="11.33203125" bestFit="1" customWidth="1"/>
    <col min="7424" max="7424" width="41.33203125" customWidth="1"/>
    <col min="7426" max="7426" width="12.33203125" bestFit="1" customWidth="1"/>
    <col min="7427" max="7427" width="9.6640625" bestFit="1" customWidth="1"/>
    <col min="7428" max="7428" width="11.44140625" bestFit="1" customWidth="1"/>
    <col min="7429" max="7429" width="9.6640625" bestFit="1" customWidth="1"/>
    <col min="7430" max="7430" width="11.33203125" bestFit="1" customWidth="1"/>
    <col min="7432" max="7432" width="11.33203125" bestFit="1" customWidth="1"/>
    <col min="7680" max="7680" width="41.33203125" customWidth="1"/>
    <col min="7682" max="7682" width="12.33203125" bestFit="1" customWidth="1"/>
    <col min="7683" max="7683" width="9.6640625" bestFit="1" customWidth="1"/>
    <col min="7684" max="7684" width="11.44140625" bestFit="1" customWidth="1"/>
    <col min="7685" max="7685" width="9.6640625" bestFit="1" customWidth="1"/>
    <col min="7686" max="7686" width="11.33203125" bestFit="1" customWidth="1"/>
    <col min="7688" max="7688" width="11.33203125" bestFit="1" customWidth="1"/>
    <col min="7936" max="7936" width="41.33203125" customWidth="1"/>
    <col min="7938" max="7938" width="12.33203125" bestFit="1" customWidth="1"/>
    <col min="7939" max="7939" width="9.6640625" bestFit="1" customWidth="1"/>
    <col min="7940" max="7940" width="11.44140625" bestFit="1" customWidth="1"/>
    <col min="7941" max="7941" width="9.6640625" bestFit="1" customWidth="1"/>
    <col min="7942" max="7942" width="11.33203125" bestFit="1" customWidth="1"/>
    <col min="7944" max="7944" width="11.33203125" bestFit="1" customWidth="1"/>
    <col min="8192" max="8192" width="41.33203125" customWidth="1"/>
    <col min="8194" max="8194" width="12.33203125" bestFit="1" customWidth="1"/>
    <col min="8195" max="8195" width="9.6640625" bestFit="1" customWidth="1"/>
    <col min="8196" max="8196" width="11.44140625" bestFit="1" customWidth="1"/>
    <col min="8197" max="8197" width="9.6640625" bestFit="1" customWidth="1"/>
    <col min="8198" max="8198" width="11.33203125" bestFit="1" customWidth="1"/>
    <col min="8200" max="8200" width="11.33203125" bestFit="1" customWidth="1"/>
    <col min="8448" max="8448" width="41.33203125" customWidth="1"/>
    <col min="8450" max="8450" width="12.33203125" bestFit="1" customWidth="1"/>
    <col min="8451" max="8451" width="9.6640625" bestFit="1" customWidth="1"/>
    <col min="8452" max="8452" width="11.44140625" bestFit="1" customWidth="1"/>
    <col min="8453" max="8453" width="9.6640625" bestFit="1" customWidth="1"/>
    <col min="8454" max="8454" width="11.33203125" bestFit="1" customWidth="1"/>
    <col min="8456" max="8456" width="11.33203125" bestFit="1" customWidth="1"/>
    <col min="8704" max="8704" width="41.33203125" customWidth="1"/>
    <col min="8706" max="8706" width="12.33203125" bestFit="1" customWidth="1"/>
    <col min="8707" max="8707" width="9.6640625" bestFit="1" customWidth="1"/>
    <col min="8708" max="8708" width="11.44140625" bestFit="1" customWidth="1"/>
    <col min="8709" max="8709" width="9.6640625" bestFit="1" customWidth="1"/>
    <col min="8710" max="8710" width="11.33203125" bestFit="1" customWidth="1"/>
    <col min="8712" max="8712" width="11.33203125" bestFit="1" customWidth="1"/>
    <col min="8960" max="8960" width="41.33203125" customWidth="1"/>
    <col min="8962" max="8962" width="12.33203125" bestFit="1" customWidth="1"/>
    <col min="8963" max="8963" width="9.6640625" bestFit="1" customWidth="1"/>
    <col min="8964" max="8964" width="11.44140625" bestFit="1" customWidth="1"/>
    <col min="8965" max="8965" width="9.6640625" bestFit="1" customWidth="1"/>
    <col min="8966" max="8966" width="11.33203125" bestFit="1" customWidth="1"/>
    <col min="8968" max="8968" width="11.33203125" bestFit="1" customWidth="1"/>
    <col min="9216" max="9216" width="41.33203125" customWidth="1"/>
    <col min="9218" max="9218" width="12.33203125" bestFit="1" customWidth="1"/>
    <col min="9219" max="9219" width="9.6640625" bestFit="1" customWidth="1"/>
    <col min="9220" max="9220" width="11.44140625" bestFit="1" customWidth="1"/>
    <col min="9221" max="9221" width="9.6640625" bestFit="1" customWidth="1"/>
    <col min="9222" max="9222" width="11.33203125" bestFit="1" customWidth="1"/>
    <col min="9224" max="9224" width="11.33203125" bestFit="1" customWidth="1"/>
    <col min="9472" max="9472" width="41.33203125" customWidth="1"/>
    <col min="9474" max="9474" width="12.33203125" bestFit="1" customWidth="1"/>
    <col min="9475" max="9475" width="9.6640625" bestFit="1" customWidth="1"/>
    <col min="9476" max="9476" width="11.44140625" bestFit="1" customWidth="1"/>
    <col min="9477" max="9477" width="9.6640625" bestFit="1" customWidth="1"/>
    <col min="9478" max="9478" width="11.33203125" bestFit="1" customWidth="1"/>
    <col min="9480" max="9480" width="11.33203125" bestFit="1" customWidth="1"/>
    <col min="9728" max="9728" width="41.33203125" customWidth="1"/>
    <col min="9730" max="9730" width="12.33203125" bestFit="1" customWidth="1"/>
    <col min="9731" max="9731" width="9.6640625" bestFit="1" customWidth="1"/>
    <col min="9732" max="9732" width="11.44140625" bestFit="1" customWidth="1"/>
    <col min="9733" max="9733" width="9.6640625" bestFit="1" customWidth="1"/>
    <col min="9734" max="9734" width="11.33203125" bestFit="1" customWidth="1"/>
    <col min="9736" max="9736" width="11.33203125" bestFit="1" customWidth="1"/>
    <col min="9984" max="9984" width="41.33203125" customWidth="1"/>
    <col min="9986" max="9986" width="12.33203125" bestFit="1" customWidth="1"/>
    <col min="9987" max="9987" width="9.6640625" bestFit="1" customWidth="1"/>
    <col min="9988" max="9988" width="11.44140625" bestFit="1" customWidth="1"/>
    <col min="9989" max="9989" width="9.6640625" bestFit="1" customWidth="1"/>
    <col min="9990" max="9990" width="11.33203125" bestFit="1" customWidth="1"/>
    <col min="9992" max="9992" width="11.33203125" bestFit="1" customWidth="1"/>
    <col min="10240" max="10240" width="41.33203125" customWidth="1"/>
    <col min="10242" max="10242" width="12.33203125" bestFit="1" customWidth="1"/>
    <col min="10243" max="10243" width="9.6640625" bestFit="1" customWidth="1"/>
    <col min="10244" max="10244" width="11.44140625" bestFit="1" customWidth="1"/>
    <col min="10245" max="10245" width="9.6640625" bestFit="1" customWidth="1"/>
    <col min="10246" max="10246" width="11.33203125" bestFit="1" customWidth="1"/>
    <col min="10248" max="10248" width="11.33203125" bestFit="1" customWidth="1"/>
    <col min="10496" max="10496" width="41.33203125" customWidth="1"/>
    <col min="10498" max="10498" width="12.33203125" bestFit="1" customWidth="1"/>
    <col min="10499" max="10499" width="9.6640625" bestFit="1" customWidth="1"/>
    <col min="10500" max="10500" width="11.44140625" bestFit="1" customWidth="1"/>
    <col min="10501" max="10501" width="9.6640625" bestFit="1" customWidth="1"/>
    <col min="10502" max="10502" width="11.33203125" bestFit="1" customWidth="1"/>
    <col min="10504" max="10504" width="11.33203125" bestFit="1" customWidth="1"/>
    <col min="10752" max="10752" width="41.33203125" customWidth="1"/>
    <col min="10754" max="10754" width="12.33203125" bestFit="1" customWidth="1"/>
    <col min="10755" max="10755" width="9.6640625" bestFit="1" customWidth="1"/>
    <col min="10756" max="10756" width="11.44140625" bestFit="1" customWidth="1"/>
    <col min="10757" max="10757" width="9.6640625" bestFit="1" customWidth="1"/>
    <col min="10758" max="10758" width="11.33203125" bestFit="1" customWidth="1"/>
    <col min="10760" max="10760" width="11.33203125" bestFit="1" customWidth="1"/>
    <col min="11008" max="11008" width="41.33203125" customWidth="1"/>
    <col min="11010" max="11010" width="12.33203125" bestFit="1" customWidth="1"/>
    <col min="11011" max="11011" width="9.6640625" bestFit="1" customWidth="1"/>
    <col min="11012" max="11012" width="11.44140625" bestFit="1" customWidth="1"/>
    <col min="11013" max="11013" width="9.6640625" bestFit="1" customWidth="1"/>
    <col min="11014" max="11014" width="11.33203125" bestFit="1" customWidth="1"/>
    <col min="11016" max="11016" width="11.33203125" bestFit="1" customWidth="1"/>
    <col min="11264" max="11264" width="41.33203125" customWidth="1"/>
    <col min="11266" max="11266" width="12.33203125" bestFit="1" customWidth="1"/>
    <col min="11267" max="11267" width="9.6640625" bestFit="1" customWidth="1"/>
    <col min="11268" max="11268" width="11.44140625" bestFit="1" customWidth="1"/>
    <col min="11269" max="11269" width="9.6640625" bestFit="1" customWidth="1"/>
    <col min="11270" max="11270" width="11.33203125" bestFit="1" customWidth="1"/>
    <col min="11272" max="11272" width="11.33203125" bestFit="1" customWidth="1"/>
    <col min="11520" max="11520" width="41.33203125" customWidth="1"/>
    <col min="11522" max="11522" width="12.33203125" bestFit="1" customWidth="1"/>
    <col min="11523" max="11523" width="9.6640625" bestFit="1" customWidth="1"/>
    <col min="11524" max="11524" width="11.44140625" bestFit="1" customWidth="1"/>
    <col min="11525" max="11525" width="9.6640625" bestFit="1" customWidth="1"/>
    <col min="11526" max="11526" width="11.33203125" bestFit="1" customWidth="1"/>
    <col min="11528" max="11528" width="11.33203125" bestFit="1" customWidth="1"/>
    <col min="11776" max="11776" width="41.33203125" customWidth="1"/>
    <col min="11778" max="11778" width="12.33203125" bestFit="1" customWidth="1"/>
    <col min="11779" max="11779" width="9.6640625" bestFit="1" customWidth="1"/>
    <col min="11780" max="11780" width="11.44140625" bestFit="1" customWidth="1"/>
    <col min="11781" max="11781" width="9.6640625" bestFit="1" customWidth="1"/>
    <col min="11782" max="11782" width="11.33203125" bestFit="1" customWidth="1"/>
    <col min="11784" max="11784" width="11.33203125" bestFit="1" customWidth="1"/>
    <col min="12032" max="12032" width="41.33203125" customWidth="1"/>
    <col min="12034" max="12034" width="12.33203125" bestFit="1" customWidth="1"/>
    <col min="12035" max="12035" width="9.6640625" bestFit="1" customWidth="1"/>
    <col min="12036" max="12036" width="11.44140625" bestFit="1" customWidth="1"/>
    <col min="12037" max="12037" width="9.6640625" bestFit="1" customWidth="1"/>
    <col min="12038" max="12038" width="11.33203125" bestFit="1" customWidth="1"/>
    <col min="12040" max="12040" width="11.33203125" bestFit="1" customWidth="1"/>
    <col min="12288" max="12288" width="41.33203125" customWidth="1"/>
    <col min="12290" max="12290" width="12.33203125" bestFit="1" customWidth="1"/>
    <col min="12291" max="12291" width="9.6640625" bestFit="1" customWidth="1"/>
    <col min="12292" max="12292" width="11.44140625" bestFit="1" customWidth="1"/>
    <col min="12293" max="12293" width="9.6640625" bestFit="1" customWidth="1"/>
    <col min="12294" max="12294" width="11.33203125" bestFit="1" customWidth="1"/>
    <col min="12296" max="12296" width="11.33203125" bestFit="1" customWidth="1"/>
    <col min="12544" max="12544" width="41.33203125" customWidth="1"/>
    <col min="12546" max="12546" width="12.33203125" bestFit="1" customWidth="1"/>
    <col min="12547" max="12547" width="9.6640625" bestFit="1" customWidth="1"/>
    <col min="12548" max="12548" width="11.44140625" bestFit="1" customWidth="1"/>
    <col min="12549" max="12549" width="9.6640625" bestFit="1" customWidth="1"/>
    <col min="12550" max="12550" width="11.33203125" bestFit="1" customWidth="1"/>
    <col min="12552" max="12552" width="11.33203125" bestFit="1" customWidth="1"/>
    <col min="12800" max="12800" width="41.33203125" customWidth="1"/>
    <col min="12802" max="12802" width="12.33203125" bestFit="1" customWidth="1"/>
    <col min="12803" max="12803" width="9.6640625" bestFit="1" customWidth="1"/>
    <col min="12804" max="12804" width="11.44140625" bestFit="1" customWidth="1"/>
    <col min="12805" max="12805" width="9.6640625" bestFit="1" customWidth="1"/>
    <col min="12806" max="12806" width="11.33203125" bestFit="1" customWidth="1"/>
    <col min="12808" max="12808" width="11.33203125" bestFit="1" customWidth="1"/>
    <col min="13056" max="13056" width="41.33203125" customWidth="1"/>
    <col min="13058" max="13058" width="12.33203125" bestFit="1" customWidth="1"/>
    <col min="13059" max="13059" width="9.6640625" bestFit="1" customWidth="1"/>
    <col min="13060" max="13060" width="11.44140625" bestFit="1" customWidth="1"/>
    <col min="13061" max="13061" width="9.6640625" bestFit="1" customWidth="1"/>
    <col min="13062" max="13062" width="11.33203125" bestFit="1" customWidth="1"/>
    <col min="13064" max="13064" width="11.33203125" bestFit="1" customWidth="1"/>
    <col min="13312" max="13312" width="41.33203125" customWidth="1"/>
    <col min="13314" max="13314" width="12.33203125" bestFit="1" customWidth="1"/>
    <col min="13315" max="13315" width="9.6640625" bestFit="1" customWidth="1"/>
    <col min="13316" max="13316" width="11.44140625" bestFit="1" customWidth="1"/>
    <col min="13317" max="13317" width="9.6640625" bestFit="1" customWidth="1"/>
    <col min="13318" max="13318" width="11.33203125" bestFit="1" customWidth="1"/>
    <col min="13320" max="13320" width="11.33203125" bestFit="1" customWidth="1"/>
    <col min="13568" max="13568" width="41.33203125" customWidth="1"/>
    <col min="13570" max="13570" width="12.33203125" bestFit="1" customWidth="1"/>
    <col min="13571" max="13571" width="9.6640625" bestFit="1" customWidth="1"/>
    <col min="13572" max="13572" width="11.44140625" bestFit="1" customWidth="1"/>
    <col min="13573" max="13573" width="9.6640625" bestFit="1" customWidth="1"/>
    <col min="13574" max="13574" width="11.33203125" bestFit="1" customWidth="1"/>
    <col min="13576" max="13576" width="11.33203125" bestFit="1" customWidth="1"/>
    <col min="13824" max="13824" width="41.33203125" customWidth="1"/>
    <col min="13826" max="13826" width="12.33203125" bestFit="1" customWidth="1"/>
    <col min="13827" max="13827" width="9.6640625" bestFit="1" customWidth="1"/>
    <col min="13828" max="13828" width="11.44140625" bestFit="1" customWidth="1"/>
    <col min="13829" max="13829" width="9.6640625" bestFit="1" customWidth="1"/>
    <col min="13830" max="13830" width="11.33203125" bestFit="1" customWidth="1"/>
    <col min="13832" max="13832" width="11.33203125" bestFit="1" customWidth="1"/>
    <col min="14080" max="14080" width="41.33203125" customWidth="1"/>
    <col min="14082" max="14082" width="12.33203125" bestFit="1" customWidth="1"/>
    <col min="14083" max="14083" width="9.6640625" bestFit="1" customWidth="1"/>
    <col min="14084" max="14084" width="11.44140625" bestFit="1" customWidth="1"/>
    <col min="14085" max="14085" width="9.6640625" bestFit="1" customWidth="1"/>
    <col min="14086" max="14086" width="11.33203125" bestFit="1" customWidth="1"/>
    <col min="14088" max="14088" width="11.33203125" bestFit="1" customWidth="1"/>
    <col min="14336" max="14336" width="41.33203125" customWidth="1"/>
    <col min="14338" max="14338" width="12.33203125" bestFit="1" customWidth="1"/>
    <col min="14339" max="14339" width="9.6640625" bestFit="1" customWidth="1"/>
    <col min="14340" max="14340" width="11.44140625" bestFit="1" customWidth="1"/>
    <col min="14341" max="14341" width="9.6640625" bestFit="1" customWidth="1"/>
    <col min="14342" max="14342" width="11.33203125" bestFit="1" customWidth="1"/>
    <col min="14344" max="14344" width="11.33203125" bestFit="1" customWidth="1"/>
    <col min="14592" max="14592" width="41.33203125" customWidth="1"/>
    <col min="14594" max="14594" width="12.33203125" bestFit="1" customWidth="1"/>
    <col min="14595" max="14595" width="9.6640625" bestFit="1" customWidth="1"/>
    <col min="14596" max="14596" width="11.44140625" bestFit="1" customWidth="1"/>
    <col min="14597" max="14597" width="9.6640625" bestFit="1" customWidth="1"/>
    <col min="14598" max="14598" width="11.33203125" bestFit="1" customWidth="1"/>
    <col min="14600" max="14600" width="11.33203125" bestFit="1" customWidth="1"/>
    <col min="14848" max="14848" width="41.33203125" customWidth="1"/>
    <col min="14850" max="14850" width="12.33203125" bestFit="1" customWidth="1"/>
    <col min="14851" max="14851" width="9.6640625" bestFit="1" customWidth="1"/>
    <col min="14852" max="14852" width="11.44140625" bestFit="1" customWidth="1"/>
    <col min="14853" max="14853" width="9.6640625" bestFit="1" customWidth="1"/>
    <col min="14854" max="14854" width="11.33203125" bestFit="1" customWidth="1"/>
    <col min="14856" max="14856" width="11.33203125" bestFit="1" customWidth="1"/>
    <col min="15104" max="15104" width="41.33203125" customWidth="1"/>
    <col min="15106" max="15106" width="12.33203125" bestFit="1" customWidth="1"/>
    <col min="15107" max="15107" width="9.6640625" bestFit="1" customWidth="1"/>
    <col min="15108" max="15108" width="11.44140625" bestFit="1" customWidth="1"/>
    <col min="15109" max="15109" width="9.6640625" bestFit="1" customWidth="1"/>
    <col min="15110" max="15110" width="11.33203125" bestFit="1" customWidth="1"/>
    <col min="15112" max="15112" width="11.33203125" bestFit="1" customWidth="1"/>
    <col min="15360" max="15360" width="41.33203125" customWidth="1"/>
    <col min="15362" max="15362" width="12.33203125" bestFit="1" customWidth="1"/>
    <col min="15363" max="15363" width="9.6640625" bestFit="1" customWidth="1"/>
    <col min="15364" max="15364" width="11.44140625" bestFit="1" customWidth="1"/>
    <col min="15365" max="15365" width="9.6640625" bestFit="1" customWidth="1"/>
    <col min="15366" max="15366" width="11.33203125" bestFit="1" customWidth="1"/>
    <col min="15368" max="15368" width="11.33203125" bestFit="1" customWidth="1"/>
    <col min="15616" max="15616" width="41.33203125" customWidth="1"/>
    <col min="15618" max="15618" width="12.33203125" bestFit="1" customWidth="1"/>
    <col min="15619" max="15619" width="9.6640625" bestFit="1" customWidth="1"/>
    <col min="15620" max="15620" width="11.44140625" bestFit="1" customWidth="1"/>
    <col min="15621" max="15621" width="9.6640625" bestFit="1" customWidth="1"/>
    <col min="15622" max="15622" width="11.33203125" bestFit="1" customWidth="1"/>
    <col min="15624" max="15624" width="11.33203125" bestFit="1" customWidth="1"/>
    <col min="15872" max="15872" width="41.33203125" customWidth="1"/>
    <col min="15874" max="15874" width="12.33203125" bestFit="1" customWidth="1"/>
    <col min="15875" max="15875" width="9.6640625" bestFit="1" customWidth="1"/>
    <col min="15876" max="15876" width="11.44140625" bestFit="1" customWidth="1"/>
    <col min="15877" max="15877" width="9.6640625" bestFit="1" customWidth="1"/>
    <col min="15878" max="15878" width="11.33203125" bestFit="1" customWidth="1"/>
    <col min="15880" max="15880" width="11.33203125" bestFit="1" customWidth="1"/>
    <col min="16128" max="16128" width="41.33203125" customWidth="1"/>
    <col min="16130" max="16130" width="12.33203125" bestFit="1" customWidth="1"/>
    <col min="16131" max="16131" width="9.6640625" bestFit="1" customWidth="1"/>
    <col min="16132" max="16132" width="11.44140625" bestFit="1" customWidth="1"/>
    <col min="16133" max="16133" width="9.6640625" bestFit="1" customWidth="1"/>
    <col min="16134" max="16134" width="11.33203125" bestFit="1" customWidth="1"/>
    <col min="16136" max="16136" width="11.33203125" bestFit="1" customWidth="1"/>
  </cols>
  <sheetData>
    <row r="1" spans="1:8" x14ac:dyDescent="0.25">
      <c r="A1" s="209" t="s">
        <v>411</v>
      </c>
      <c r="F1" s="51" t="str">
        <f>Assumptions!$B$12</f>
        <v>Internal</v>
      </c>
    </row>
    <row r="2" spans="1:8" x14ac:dyDescent="0.25">
      <c r="A2" s="50" t="str">
        <f>Assumptions!B10</f>
        <v>City of Manteca</v>
      </c>
      <c r="F2" s="52" t="str">
        <f>Assumptions!$B$13</f>
        <v>Working Draft - v8</v>
      </c>
    </row>
    <row r="3" spans="1:8" x14ac:dyDescent="0.25">
      <c r="A3" s="209" t="s">
        <v>412</v>
      </c>
      <c r="F3" s="53">
        <f>Assumptions!$B$14</f>
        <v>41248</v>
      </c>
    </row>
    <row r="4" spans="1:8" x14ac:dyDescent="0.25">
      <c r="A4" s="50" t="s">
        <v>283</v>
      </c>
    </row>
    <row r="5" spans="1:8" x14ac:dyDescent="0.25">
      <c r="E5" s="189"/>
      <c r="F5" s="189"/>
      <c r="G5" s="186"/>
      <c r="H5" s="201"/>
    </row>
    <row r="6" spans="1:8" x14ac:dyDescent="0.25">
      <c r="E6" s="198"/>
      <c r="F6" s="198"/>
      <c r="G6" s="199"/>
      <c r="H6" s="201"/>
    </row>
    <row r="7" spans="1:8" x14ac:dyDescent="0.25">
      <c r="E7" s="198"/>
      <c r="F7" s="198"/>
      <c r="G7" s="199"/>
      <c r="H7" s="201"/>
    </row>
    <row r="8" spans="1:8" x14ac:dyDescent="0.25">
      <c r="E8" s="198"/>
      <c r="F8" s="198"/>
      <c r="G8" s="199"/>
      <c r="H8" s="201"/>
    </row>
    <row r="9" spans="1:8" ht="36.6" customHeight="1" x14ac:dyDescent="0.25">
      <c r="A9" s="5" t="s">
        <v>7</v>
      </c>
      <c r="B9" s="225" t="s">
        <v>386</v>
      </c>
      <c r="C9" s="251" t="s">
        <v>390</v>
      </c>
      <c r="D9" s="251" t="s">
        <v>393</v>
      </c>
      <c r="E9" s="252" t="s">
        <v>391</v>
      </c>
      <c r="F9" s="252" t="s">
        <v>392</v>
      </c>
      <c r="G9" s="199"/>
      <c r="H9" s="201"/>
    </row>
    <row r="10" spans="1:8" x14ac:dyDescent="0.25">
      <c r="G10" s="199"/>
      <c r="H10" s="201"/>
    </row>
    <row r="11" spans="1:8" x14ac:dyDescent="0.25">
      <c r="G11" s="199"/>
      <c r="H11" s="201"/>
    </row>
    <row r="12" spans="1:8" x14ac:dyDescent="0.25">
      <c r="A12" s="253" t="s">
        <v>395</v>
      </c>
      <c r="B12" s="171"/>
      <c r="C12" s="171"/>
      <c r="D12" s="171"/>
      <c r="E12" s="198"/>
      <c r="F12" s="198"/>
      <c r="G12" s="199"/>
      <c r="H12" s="201"/>
    </row>
    <row r="13" spans="1:8" x14ac:dyDescent="0.25">
      <c r="A13" s="171" t="s">
        <v>388</v>
      </c>
      <c r="B13" s="171" t="s">
        <v>387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 x14ac:dyDescent="0.25">
      <c r="A14" t="s">
        <v>267</v>
      </c>
      <c r="B14" s="171" t="s">
        <v>387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 x14ac:dyDescent="0.25">
      <c r="E15" s="5"/>
      <c r="F15" s="5"/>
    </row>
    <row r="17" spans="1:6" x14ac:dyDescent="0.25">
      <c r="A17" t="s">
        <v>268</v>
      </c>
      <c r="E17" s="192">
        <f>SUM(E12:E16)</f>
        <v>90000</v>
      </c>
      <c r="F17" s="192">
        <f>SUM(F12:F16)</f>
        <v>900000</v>
      </c>
    </row>
    <row r="18" spans="1:6" x14ac:dyDescent="0.25">
      <c r="E18" s="192"/>
    </row>
    <row r="19" spans="1:6" x14ac:dyDescent="0.25">
      <c r="A19" s="171" t="s">
        <v>394</v>
      </c>
      <c r="E19" s="192"/>
    </row>
    <row r="20" spans="1:6" x14ac:dyDescent="0.25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 x14ac:dyDescent="0.25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 x14ac:dyDescent="0.25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 x14ac:dyDescent="0.25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 x14ac:dyDescent="0.25">
      <c r="E24" s="5"/>
      <c r="F24" s="5"/>
    </row>
    <row r="26" spans="1:6" x14ac:dyDescent="0.25">
      <c r="A26" s="171" t="s">
        <v>389</v>
      </c>
      <c r="E26" s="254">
        <f>SUM(E20:E24)</f>
        <v>90000</v>
      </c>
      <c r="F26" s="254">
        <f>SUM(F20:F24)</f>
        <v>900000</v>
      </c>
    </row>
    <row r="27" spans="1:6" x14ac:dyDescent="0.25">
      <c r="A27" s="171"/>
      <c r="E27" s="192"/>
      <c r="F27" s="192"/>
    </row>
    <row r="29" spans="1:6" x14ac:dyDescent="0.25">
      <c r="A29" s="253" t="s">
        <v>396</v>
      </c>
    </row>
    <row r="30" spans="1:6" x14ac:dyDescent="0.25">
      <c r="A30" s="171" t="s">
        <v>388</v>
      </c>
      <c r="B30" s="171" t="s">
        <v>397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 x14ac:dyDescent="0.25">
      <c r="A31" t="s">
        <v>267</v>
      </c>
      <c r="B31" s="171" t="s">
        <v>397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 x14ac:dyDescent="0.25">
      <c r="E32" s="5"/>
      <c r="F32" s="5"/>
    </row>
    <row r="34" spans="1:6" x14ac:dyDescent="0.25">
      <c r="A34" t="s">
        <v>268</v>
      </c>
      <c r="E34" s="192">
        <f>SUM(E29:E33)</f>
        <v>23000</v>
      </c>
      <c r="F34" s="192">
        <f>SUM(F29:F33)</f>
        <v>1150000</v>
      </c>
    </row>
    <row r="35" spans="1:6" x14ac:dyDescent="0.25">
      <c r="E35" s="192"/>
    </row>
    <row r="36" spans="1:6" x14ac:dyDescent="0.25">
      <c r="A36" s="171" t="s">
        <v>394</v>
      </c>
      <c r="E36" s="192"/>
    </row>
    <row r="37" spans="1:6" x14ac:dyDescent="0.25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 x14ac:dyDescent="0.25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 x14ac:dyDescent="0.25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 x14ac:dyDescent="0.25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 x14ac:dyDescent="0.25">
      <c r="E41" s="5"/>
      <c r="F41" s="5"/>
    </row>
    <row r="43" spans="1:6" x14ac:dyDescent="0.25">
      <c r="A43" s="171" t="s">
        <v>398</v>
      </c>
      <c r="E43" s="254">
        <f>SUM(E37:E41)</f>
        <v>23000</v>
      </c>
      <c r="F43" s="254">
        <f>SUM(F37:F41)</f>
        <v>1150000</v>
      </c>
    </row>
    <row r="44" spans="1:6" x14ac:dyDescent="0.25">
      <c r="A44" s="171"/>
      <c r="E44" s="192"/>
      <c r="F44" s="192"/>
    </row>
    <row r="46" spans="1:6" x14ac:dyDescent="0.25">
      <c r="A46" s="204" t="s">
        <v>269</v>
      </c>
    </row>
    <row r="47" spans="1:6" x14ac:dyDescent="0.25">
      <c r="A47" t="s">
        <v>270</v>
      </c>
      <c r="B47" s="171" t="s">
        <v>416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5">
      <c r="A48" t="s">
        <v>271</v>
      </c>
      <c r="B48" s="171" t="s">
        <v>416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5">
      <c r="A49" s="171" t="s">
        <v>409</v>
      </c>
      <c r="E49" s="202">
        <f>SUM(E47:E48)</f>
        <v>425000</v>
      </c>
      <c r="F49" s="202">
        <f>SUM(F47:F48)</f>
        <v>2125000</v>
      </c>
      <c r="G49" s="202"/>
    </row>
    <row r="50" spans="1:7" x14ac:dyDescent="0.25">
      <c r="A50" s="256" t="s">
        <v>406</v>
      </c>
      <c r="B50" s="25">
        <v>0.75</v>
      </c>
      <c r="E50" s="202"/>
      <c r="F50" s="202">
        <f>B50*F49</f>
        <v>1593750</v>
      </c>
      <c r="G50" s="202"/>
    </row>
    <row r="51" spans="1:7" x14ac:dyDescent="0.25">
      <c r="A51" s="256" t="s">
        <v>407</v>
      </c>
      <c r="B51" s="25">
        <v>0.25</v>
      </c>
      <c r="E51" s="202"/>
      <c r="F51" s="202">
        <f>B51*F49</f>
        <v>531250</v>
      </c>
      <c r="G51" s="202"/>
    </row>
    <row r="52" spans="1:7" x14ac:dyDescent="0.25">
      <c r="E52" s="202"/>
    </row>
    <row r="53" spans="1:7" x14ac:dyDescent="0.25">
      <c r="E53" s="202"/>
    </row>
    <row r="54" spans="1:7" x14ac:dyDescent="0.25">
      <c r="A54" s="255" t="s">
        <v>399</v>
      </c>
      <c r="E54" s="202"/>
    </row>
    <row r="55" spans="1:7" x14ac:dyDescent="0.25">
      <c r="A55" t="s">
        <v>272</v>
      </c>
      <c r="B55" s="171" t="s">
        <v>416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5">
      <c r="A56" t="s">
        <v>273</v>
      </c>
      <c r="B56" s="171" t="s">
        <v>416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5">
      <c r="A57" s="171" t="s">
        <v>409</v>
      </c>
      <c r="E57" s="202">
        <f>SUM(E55:E56)</f>
        <v>275000</v>
      </c>
      <c r="F57" s="202">
        <f>SUM(F55:F56)</f>
        <v>1375000</v>
      </c>
    </row>
    <row r="58" spans="1:7" x14ac:dyDescent="0.25">
      <c r="A58" s="256" t="s">
        <v>406</v>
      </c>
      <c r="B58" s="25">
        <v>0.75</v>
      </c>
      <c r="E58" s="202"/>
      <c r="F58" s="202">
        <f>B58*F57</f>
        <v>1031250</v>
      </c>
      <c r="G58" s="202"/>
    </row>
    <row r="59" spans="1:7" x14ac:dyDescent="0.25">
      <c r="A59" s="256" t="s">
        <v>407</v>
      </c>
      <c r="B59" s="25">
        <v>0.25</v>
      </c>
      <c r="E59" s="202"/>
      <c r="F59" s="202">
        <f>B59*F57</f>
        <v>343750</v>
      </c>
      <c r="G59" s="202"/>
    </row>
    <row r="60" spans="1:7" x14ac:dyDescent="0.25">
      <c r="E60" s="202"/>
    </row>
    <row r="61" spans="1:7" x14ac:dyDescent="0.25">
      <c r="E61" s="202"/>
    </row>
    <row r="62" spans="1:7" x14ac:dyDescent="0.25">
      <c r="A62" s="204" t="s">
        <v>274</v>
      </c>
      <c r="E62" s="202"/>
    </row>
    <row r="63" spans="1:7" x14ac:dyDescent="0.25">
      <c r="A63" t="s">
        <v>275</v>
      </c>
      <c r="B63" s="171" t="s">
        <v>416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5">
      <c r="A64" t="s">
        <v>276</v>
      </c>
      <c r="B64" s="171" t="s">
        <v>416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5">
      <c r="A65" s="171" t="s">
        <v>409</v>
      </c>
      <c r="E65" s="202">
        <f>SUM(E63:E64)</f>
        <v>375000</v>
      </c>
      <c r="F65" s="202">
        <f>SUM(F63:F64)</f>
        <v>1875000</v>
      </c>
    </row>
    <row r="66" spans="1:7" x14ac:dyDescent="0.25">
      <c r="A66" s="256" t="s">
        <v>406</v>
      </c>
      <c r="B66" s="25">
        <v>0.75</v>
      </c>
      <c r="E66" s="202"/>
      <c r="F66" s="202">
        <f>B66*F65</f>
        <v>1406250</v>
      </c>
      <c r="G66" s="202"/>
    </row>
    <row r="67" spans="1:7" x14ac:dyDescent="0.25">
      <c r="A67" s="256" t="s">
        <v>407</v>
      </c>
      <c r="B67" s="25">
        <v>0.25</v>
      </c>
      <c r="E67" s="202"/>
      <c r="F67" s="202">
        <f>B67*F65</f>
        <v>468750</v>
      </c>
      <c r="G67" s="202"/>
    </row>
    <row r="68" spans="1:7" x14ac:dyDescent="0.25">
      <c r="E68" s="202"/>
    </row>
    <row r="69" spans="1:7" x14ac:dyDescent="0.25">
      <c r="E69" s="202"/>
    </row>
    <row r="70" spans="1:7" x14ac:dyDescent="0.25">
      <c r="A70" s="204" t="s">
        <v>277</v>
      </c>
    </row>
    <row r="71" spans="1:7" x14ac:dyDescent="0.25">
      <c r="A71" t="s">
        <v>278</v>
      </c>
      <c r="B71" s="171" t="s">
        <v>416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5">
      <c r="A72" t="s">
        <v>279</v>
      </c>
      <c r="B72" s="171" t="s">
        <v>416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5">
      <c r="A73" s="171" t="s">
        <v>408</v>
      </c>
      <c r="E73" s="202">
        <f>SUM(E71:E72)</f>
        <v>450000</v>
      </c>
      <c r="F73" s="202">
        <f>SUM(F71:F72)</f>
        <v>2250000</v>
      </c>
    </row>
    <row r="74" spans="1:7" x14ac:dyDescent="0.25">
      <c r="A74" s="256" t="s">
        <v>406</v>
      </c>
      <c r="B74" s="25">
        <v>0.75</v>
      </c>
      <c r="E74" s="202"/>
      <c r="F74" s="202">
        <f>B74*F73</f>
        <v>1687500</v>
      </c>
      <c r="G74" s="202"/>
    </row>
    <row r="75" spans="1:7" x14ac:dyDescent="0.25">
      <c r="A75" s="256" t="s">
        <v>407</v>
      </c>
      <c r="B75" s="25">
        <v>0.25</v>
      </c>
      <c r="E75" s="202"/>
      <c r="F75" s="202">
        <f>B75*F73</f>
        <v>562500</v>
      </c>
      <c r="G75" s="202"/>
    </row>
    <row r="76" spans="1:7" ht="13.8" thickBot="1" x14ac:dyDescent="0.3">
      <c r="E76" s="206"/>
      <c r="F76" s="207"/>
    </row>
    <row r="77" spans="1:7" x14ac:dyDescent="0.25">
      <c r="E77" s="202"/>
    </row>
    <row r="78" spans="1:7" x14ac:dyDescent="0.25">
      <c r="A78" s="171" t="s">
        <v>400</v>
      </c>
      <c r="E78" s="192">
        <f>E73+E65+E57+E49</f>
        <v>1525000</v>
      </c>
      <c r="F78" s="192">
        <f>F73+F65+F57+F49</f>
        <v>7625000</v>
      </c>
    </row>
    <row r="79" spans="1:7" x14ac:dyDescent="0.25">
      <c r="A79" s="256" t="s">
        <v>406</v>
      </c>
      <c r="E79" s="192"/>
      <c r="F79" s="192">
        <f t="shared" ref="F79:F80" si="2">F74+F66+F58+F50</f>
        <v>5718750</v>
      </c>
    </row>
    <row r="80" spans="1:7" x14ac:dyDescent="0.25">
      <c r="A80" s="256" t="s">
        <v>407</v>
      </c>
      <c r="E80" s="192"/>
      <c r="F80" s="192">
        <f t="shared" si="2"/>
        <v>1906250</v>
      </c>
    </row>
    <row r="81" spans="1:6" x14ac:dyDescent="0.25">
      <c r="A81" s="256"/>
      <c r="E81" s="192"/>
      <c r="F81" s="192"/>
    </row>
    <row r="82" spans="1:6" x14ac:dyDescent="0.25">
      <c r="E82" s="202"/>
    </row>
    <row r="83" spans="1:6" x14ac:dyDescent="0.25">
      <c r="A83" s="257"/>
      <c r="B83" s="258"/>
      <c r="C83" s="258"/>
      <c r="D83" s="258"/>
      <c r="E83" s="259"/>
      <c r="F83" s="260"/>
    </row>
    <row r="84" spans="1:6" x14ac:dyDescent="0.25">
      <c r="A84" s="261" t="s">
        <v>280</v>
      </c>
      <c r="B84" s="262"/>
      <c r="C84" s="262"/>
      <c r="D84" s="262"/>
      <c r="E84" s="263">
        <f>E78+E43+E26</f>
        <v>1638000</v>
      </c>
      <c r="F84" s="264">
        <f>F78+F43+F26</f>
        <v>9675000</v>
      </c>
    </row>
    <row r="85" spans="1:6" x14ac:dyDescent="0.25">
      <c r="A85" s="265" t="s">
        <v>406</v>
      </c>
      <c r="B85" s="262"/>
      <c r="C85" s="262"/>
      <c r="D85" s="262"/>
      <c r="E85" s="195"/>
      <c r="F85" s="266">
        <f>F79+F26+F43</f>
        <v>7768750</v>
      </c>
    </row>
    <row r="86" spans="1:6" x14ac:dyDescent="0.25">
      <c r="A86" s="265" t="s">
        <v>407</v>
      </c>
      <c r="B86" s="262"/>
      <c r="C86" s="262"/>
      <c r="D86" s="262"/>
      <c r="E86" s="195"/>
      <c r="F86" s="266">
        <f>F80</f>
        <v>1906250</v>
      </c>
    </row>
    <row r="87" spans="1:6" x14ac:dyDescent="0.25">
      <c r="A87" s="267"/>
      <c r="B87" s="5"/>
      <c r="C87" s="5"/>
      <c r="D87" s="5"/>
      <c r="E87" s="197"/>
      <c r="F87" s="268"/>
    </row>
    <row r="88" spans="1:6" x14ac:dyDescent="0.25">
      <c r="A88" s="256"/>
      <c r="E88" s="192"/>
      <c r="F88" s="192"/>
    </row>
    <row r="89" spans="1:6" x14ac:dyDescent="0.25">
      <c r="A89" s="208" t="s">
        <v>11</v>
      </c>
    </row>
    <row r="90" spans="1:6" x14ac:dyDescent="0.25">
      <c r="A90" t="s">
        <v>281</v>
      </c>
    </row>
    <row r="91" spans="1:6" x14ac:dyDescent="0.25">
      <c r="A91" s="171" t="s">
        <v>401</v>
      </c>
    </row>
    <row r="92" spans="1:6" x14ac:dyDescent="0.25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3.2" x14ac:dyDescent="0.25"/>
  <cols>
    <col min="1" max="1" width="23.33203125" customWidth="1"/>
    <col min="2" max="2" width="8.33203125" customWidth="1"/>
    <col min="3" max="3" width="15" bestFit="1" customWidth="1"/>
    <col min="4" max="4" width="19.44140625" customWidth="1"/>
    <col min="5" max="5" width="14" bestFit="1" customWidth="1"/>
    <col min="6" max="6" width="14.6640625" customWidth="1"/>
    <col min="7" max="7" width="14.109375" bestFit="1" customWidth="1"/>
  </cols>
  <sheetData>
    <row r="1" spans="1:8" x14ac:dyDescent="0.25">
      <c r="A1" t="s">
        <v>57</v>
      </c>
    </row>
    <row r="2" spans="1:8" x14ac:dyDescent="0.25">
      <c r="A2" t="s">
        <v>58</v>
      </c>
    </row>
    <row r="3" spans="1:8" x14ac:dyDescent="0.25">
      <c r="A3" t="s">
        <v>59</v>
      </c>
    </row>
    <row r="7" spans="1:8" x14ac:dyDescent="0.25">
      <c r="G7" s="42" t="s">
        <v>61</v>
      </c>
    </row>
    <row r="8" spans="1:8" x14ac:dyDescent="0.25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5">
      <c r="B9" s="4"/>
      <c r="G9" s="43"/>
    </row>
    <row r="10" spans="1:8" x14ac:dyDescent="0.25">
      <c r="B10" s="4"/>
      <c r="G10" s="43"/>
    </row>
    <row r="11" spans="1:8" x14ac:dyDescent="0.25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5">
      <c r="B12" s="4"/>
      <c r="D12" s="21"/>
      <c r="E12" s="21"/>
      <c r="F12" s="21"/>
      <c r="G12" s="43"/>
    </row>
    <row r="13" spans="1:8" x14ac:dyDescent="0.25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5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 x14ac:dyDescent="0.25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5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 x14ac:dyDescent="0.25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5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5">
      <c r="A22" t="s">
        <v>56</v>
      </c>
    </row>
    <row r="25" spans="1:7" x14ac:dyDescent="0.25">
      <c r="A25" t="s">
        <v>11</v>
      </c>
    </row>
    <row r="27" spans="1:7" x14ac:dyDescent="0.25">
      <c r="A27" t="s">
        <v>79</v>
      </c>
    </row>
    <row r="28" spans="1:7" x14ac:dyDescent="0.25">
      <c r="A28" t="s">
        <v>80</v>
      </c>
    </row>
    <row r="41" ht="12" customHeight="1" x14ac:dyDescent="0.25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Normal="100" workbookViewId="0">
      <pane xSplit="1" ySplit="13" topLeftCell="B35" activePane="bottomRight" state="frozen"/>
      <selection pane="topRight" activeCell="B1" sqref="B1"/>
      <selection pane="bottomLeft" activeCell="A14" sqref="A14"/>
      <selection pane="bottomRight" activeCell="J49" sqref="J49"/>
    </sheetView>
  </sheetViews>
  <sheetFormatPr defaultRowHeight="13.2" x14ac:dyDescent="0.25"/>
  <cols>
    <col min="1" max="1" width="34.77734375" customWidth="1"/>
    <col min="2" max="2" width="11.5546875" bestFit="1" customWidth="1"/>
    <col min="3" max="3" width="13.21875" bestFit="1" customWidth="1"/>
    <col min="4" max="4" width="11.5546875" hidden="1" customWidth="1"/>
    <col min="5" max="5" width="13.109375" bestFit="1" customWidth="1"/>
    <col min="6" max="7" width="11.44140625" customWidth="1"/>
    <col min="8" max="8" width="10.44140625" hidden="1" customWidth="1"/>
    <col min="9" max="9" width="13.109375" bestFit="1" customWidth="1"/>
    <col min="10" max="10" width="23.44140625" customWidth="1"/>
  </cols>
  <sheetData>
    <row r="1" spans="1:11" x14ac:dyDescent="0.2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5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5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 x14ac:dyDescent="0.25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5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5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5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5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5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5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5">
      <c r="A18" s="229" t="s">
        <v>496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469</v>
      </c>
      <c r="K18" s="171"/>
    </row>
    <row r="19" spans="1:11" x14ac:dyDescent="0.25">
      <c r="A19" s="229" t="s">
        <v>13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171"/>
    </row>
    <row r="20" spans="1:11" x14ac:dyDescent="0.25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5">
      <c r="A21" s="246" t="s">
        <v>463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469</v>
      </c>
      <c r="K21" s="171"/>
    </row>
    <row r="22" spans="1:11" x14ac:dyDescent="0.25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5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5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5">
      <c r="A26" s="171" t="s">
        <v>295</v>
      </c>
      <c r="B26" s="234">
        <f>B19+B23+B21</f>
        <v>2252163.96</v>
      </c>
      <c r="C26" s="234">
        <f t="shared" ref="C26:I26" si="1">C19+C23+C21</f>
        <v>18520410.440000001</v>
      </c>
      <c r="D26" s="234">
        <f t="shared" si="1"/>
        <v>0</v>
      </c>
      <c r="E26" s="234">
        <f t="shared" si="1"/>
        <v>27860746</v>
      </c>
      <c r="F26" s="234">
        <f t="shared" si="1"/>
        <v>2902369.2</v>
      </c>
      <c r="G26" s="234">
        <f t="shared" si="1"/>
        <v>1766924.8</v>
      </c>
      <c r="H26" s="234">
        <f t="shared" si="1"/>
        <v>0</v>
      </c>
      <c r="I26" s="234">
        <f t="shared" si="1"/>
        <v>53302614.399999999</v>
      </c>
      <c r="J26" s="171"/>
      <c r="K26" s="171"/>
    </row>
    <row r="27" spans="1:11" x14ac:dyDescent="0.25">
      <c r="A27" s="229" t="s">
        <v>296</v>
      </c>
      <c r="B27" s="237">
        <f t="shared" ref="B27:I27" si="2">B26/$I$26</f>
        <v>4.2252410793568881E-2</v>
      </c>
      <c r="C27" s="237">
        <f t="shared" si="2"/>
        <v>0.34745782450776003</v>
      </c>
      <c r="D27" s="237">
        <f t="shared" si="2"/>
        <v>0</v>
      </c>
      <c r="E27" s="237">
        <f t="shared" si="2"/>
        <v>0.52269004651299056</v>
      </c>
      <c r="F27" s="237">
        <f t="shared" ref="F27:G27" si="3">F26/$I$26</f>
        <v>5.4450785063180698E-2</v>
      </c>
      <c r="G27" s="237">
        <f t="shared" si="3"/>
        <v>3.3148933122499898E-2</v>
      </c>
      <c r="H27" s="237">
        <f t="shared" si="2"/>
        <v>0</v>
      </c>
      <c r="I27" s="237">
        <f t="shared" si="2"/>
        <v>1</v>
      </c>
      <c r="J27" s="171"/>
      <c r="K27" s="171"/>
    </row>
    <row r="28" spans="1:11" x14ac:dyDescent="0.25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5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5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5">
      <c r="A31" s="229" t="s">
        <v>297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194</v>
      </c>
      <c r="K31" s="171"/>
    </row>
    <row r="32" spans="1:11" x14ac:dyDescent="0.25">
      <c r="A32" s="229" t="s">
        <v>298</v>
      </c>
      <c r="B32" s="232">
        <f t="shared" ref="B32:H32" si="4">SUM(B30:B31)</f>
        <v>707967.05016674125</v>
      </c>
      <c r="C32" s="232">
        <f t="shared" si="4"/>
        <v>5787872.7054384071</v>
      </c>
      <c r="D32" s="232">
        <f t="shared" si="4"/>
        <v>0</v>
      </c>
      <c r="E32" s="232">
        <f t="shared" si="4"/>
        <v>8692141.8394564372</v>
      </c>
      <c r="F32" s="232">
        <f t="shared" si="4"/>
        <v>897458.69250163343</v>
      </c>
      <c r="G32" s="232">
        <f t="shared" si="4"/>
        <v>545423.37479068362</v>
      </c>
      <c r="H32" s="232">
        <f t="shared" si="4"/>
        <v>0</v>
      </c>
      <c r="I32" s="230">
        <f>SUM(B32:H32)</f>
        <v>16630863.662353903</v>
      </c>
      <c r="J32" s="233"/>
      <c r="K32" s="171"/>
    </row>
    <row r="33" spans="1:11" x14ac:dyDescent="0.25">
      <c r="A33" s="229"/>
      <c r="B33" s="237">
        <f t="shared" ref="B33:H33" si="5">IF(B19&gt;0,B32/B19,0)</f>
        <v>0.3394976688020887</v>
      </c>
      <c r="C33" s="237">
        <f t="shared" si="5"/>
        <v>0.3394976688020887</v>
      </c>
      <c r="D33" s="237">
        <f t="shared" si="5"/>
        <v>0</v>
      </c>
      <c r="E33" s="237">
        <f t="shared" si="5"/>
        <v>0.3394976688020887</v>
      </c>
      <c r="F33" s="237">
        <f t="shared" si="5"/>
        <v>0.3394976688020887</v>
      </c>
      <c r="G33" s="237">
        <f t="shared" si="5"/>
        <v>0.3394976688020887</v>
      </c>
      <c r="H33" s="237">
        <f t="shared" si="5"/>
        <v>0</v>
      </c>
      <c r="I33" s="171"/>
      <c r="J33" s="171"/>
      <c r="K33" s="171"/>
    </row>
    <row r="34" spans="1:11" x14ac:dyDescent="0.25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5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5">
      <c r="A36" s="171" t="s">
        <v>422</v>
      </c>
      <c r="B36" s="228">
        <f>B$27*I36</f>
        <v>302896.96987639694</v>
      </c>
      <c r="C36" s="228">
        <f>C$27*I36</f>
        <v>2490838.2794400048</v>
      </c>
      <c r="D36" s="228">
        <f>D$27*I36</f>
        <v>0</v>
      </c>
      <c r="E36" s="228">
        <f>E$27*I36</f>
        <v>3747034.2709400011</v>
      </c>
      <c r="F36" s="228">
        <f>F$27*I36</f>
        <v>390344.06542167661</v>
      </c>
      <c r="G36" s="228">
        <f>G$27*I36</f>
        <v>237636.41432192115</v>
      </c>
      <c r="H36" s="228">
        <f>H$27*I36</f>
        <v>0</v>
      </c>
      <c r="I36" s="238">
        <f>'Sum 1. City Admin Costs Summary'!E14</f>
        <v>7168750</v>
      </c>
      <c r="J36" s="239" t="s">
        <v>460</v>
      </c>
      <c r="K36" s="171"/>
    </row>
    <row r="37" spans="1:11" x14ac:dyDescent="0.25">
      <c r="A37" s="229" t="s">
        <v>402</v>
      </c>
      <c r="B37" s="242">
        <f>B26*0.03</f>
        <v>67564.918799999999</v>
      </c>
      <c r="C37" s="242">
        <f t="shared" ref="C37:H37" si="6">C26*0.03</f>
        <v>555612.31319999998</v>
      </c>
      <c r="D37" s="242">
        <f t="shared" si="6"/>
        <v>0</v>
      </c>
      <c r="E37" s="242">
        <f t="shared" si="6"/>
        <v>835822.38</v>
      </c>
      <c r="F37" s="242">
        <f t="shared" si="6"/>
        <v>87071.076000000001</v>
      </c>
      <c r="G37" s="242">
        <f t="shared" si="6"/>
        <v>53007.743999999999</v>
      </c>
      <c r="H37" s="242">
        <f t="shared" si="6"/>
        <v>0</v>
      </c>
      <c r="I37" s="236">
        <f>SUM(B37:H37)</f>
        <v>1599078.432</v>
      </c>
      <c r="J37" s="239" t="s">
        <v>366</v>
      </c>
      <c r="K37" s="171"/>
    </row>
    <row r="38" spans="1:11" x14ac:dyDescent="0.25">
      <c r="A38" s="171" t="s">
        <v>405</v>
      </c>
      <c r="B38" s="228">
        <f t="shared" ref="B38:I38" si="7">SUM(B35:B37)</f>
        <v>370461.88867639692</v>
      </c>
      <c r="C38" s="228">
        <f t="shared" si="7"/>
        <v>3046450.5926400051</v>
      </c>
      <c r="D38" s="228">
        <f t="shared" si="7"/>
        <v>0</v>
      </c>
      <c r="E38" s="228">
        <f t="shared" si="7"/>
        <v>4582856.650940001</v>
      </c>
      <c r="F38" s="228">
        <f t="shared" si="7"/>
        <v>477415.14142167661</v>
      </c>
      <c r="G38" s="228">
        <f t="shared" si="7"/>
        <v>290644.15832192113</v>
      </c>
      <c r="H38" s="228">
        <f t="shared" si="7"/>
        <v>0</v>
      </c>
      <c r="I38" s="228">
        <f t="shared" si="7"/>
        <v>8767828.432</v>
      </c>
      <c r="J38" s="171"/>
      <c r="K38" s="171"/>
    </row>
    <row r="39" spans="1:11" x14ac:dyDescent="0.25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5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5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5">
      <c r="A42" s="171" t="s">
        <v>137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476</v>
      </c>
      <c r="K42" s="171"/>
    </row>
    <row r="43" spans="1:11" x14ac:dyDescent="0.25">
      <c r="A43" s="171" t="s">
        <v>300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5">
      <c r="A44" s="171" t="s">
        <v>477</v>
      </c>
      <c r="B44" s="228">
        <f t="shared" ref="B44:I44" si="8">SUM(B41:B43)</f>
        <v>48081.27</v>
      </c>
      <c r="C44" s="228">
        <f t="shared" si="8"/>
        <v>-1832533.98</v>
      </c>
      <c r="D44" s="228">
        <f t="shared" si="8"/>
        <v>0</v>
      </c>
      <c r="E44" s="228">
        <f t="shared" si="8"/>
        <v>-3758396.12</v>
      </c>
      <c r="F44" s="228">
        <f t="shared" si="8"/>
        <v>-8920</v>
      </c>
      <c r="G44" s="228">
        <f t="shared" si="8"/>
        <v>0</v>
      </c>
      <c r="H44" s="228">
        <f t="shared" si="8"/>
        <v>0</v>
      </c>
      <c r="I44" s="228">
        <f t="shared" si="8"/>
        <v>-5551768.8300000001</v>
      </c>
      <c r="J44" s="171"/>
      <c r="K44" s="171"/>
    </row>
    <row r="45" spans="1:11" x14ac:dyDescent="0.25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5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5">
      <c r="A47" s="171" t="s">
        <v>367</v>
      </c>
      <c r="B47" s="240">
        <f t="shared" ref="B47:I47" si="9">B26+B38+B32-B44</f>
        <v>3282511.6288431385</v>
      </c>
      <c r="C47" s="240">
        <f t="shared" si="9"/>
        <v>29187267.718078416</v>
      </c>
      <c r="D47" s="240">
        <f t="shared" si="9"/>
        <v>0</v>
      </c>
      <c r="E47" s="240">
        <f t="shared" si="9"/>
        <v>44894140.610396437</v>
      </c>
      <c r="F47" s="240">
        <f t="shared" si="9"/>
        <v>4286163.0339233102</v>
      </c>
      <c r="G47" s="240">
        <f t="shared" si="9"/>
        <v>2602992.3331126049</v>
      </c>
      <c r="H47" s="240">
        <f t="shared" si="9"/>
        <v>0</v>
      </c>
      <c r="I47" s="240">
        <f t="shared" si="9"/>
        <v>84253075.324353904</v>
      </c>
      <c r="J47" s="171"/>
      <c r="K47" s="171"/>
    </row>
    <row r="48" spans="1:11" x14ac:dyDescent="0.25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5">
      <c r="A49" s="171" t="s">
        <v>138</v>
      </c>
      <c r="B49" s="238">
        <f>'1.3 Total EDUs Developed'!O24</f>
        <v>681805.31976300012</v>
      </c>
      <c r="C49" s="238">
        <f>'1.3 Total EDUs Developed'!O67</f>
        <v>1774195.0748573998</v>
      </c>
      <c r="D49" s="324">
        <v>0</v>
      </c>
      <c r="E49" s="238">
        <f>'1.3 Total EDUs Developed'!O94</f>
        <v>3599822.4063603994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7195204.8741259985</v>
      </c>
      <c r="J49" s="238"/>
      <c r="K49" s="171"/>
    </row>
    <row r="50" spans="1:11" x14ac:dyDescent="0.25">
      <c r="A50" s="171" t="s">
        <v>139</v>
      </c>
      <c r="B50" s="309">
        <f>IF(B49=0,"n/a",B47/B49)</f>
        <v>4.8144412102624257</v>
      </c>
      <c r="C50" s="309">
        <f t="shared" ref="C50:H50" si="10">IF(C49=0,"n/a",C47/C49)</f>
        <v>16.450991287090755</v>
      </c>
      <c r="D50" s="328" t="str">
        <f t="shared" si="10"/>
        <v>n/a</v>
      </c>
      <c r="E50" s="309">
        <f t="shared" si="10"/>
        <v>12.471209838317179</v>
      </c>
      <c r="F50" s="309">
        <f t="shared" si="10"/>
        <v>4.9056734937599833</v>
      </c>
      <c r="G50" s="309">
        <f t="shared" si="10"/>
        <v>9.79796754665926</v>
      </c>
      <c r="H50" s="328" t="str">
        <f t="shared" si="10"/>
        <v>n/a</v>
      </c>
      <c r="I50" s="309"/>
      <c r="J50" s="171"/>
      <c r="K50" s="171"/>
    </row>
    <row r="51" spans="1:11" x14ac:dyDescent="0.25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x14ac:dyDescent="0.25">
      <c r="A52" s="171"/>
      <c r="B52" s="171"/>
      <c r="C52" s="171"/>
      <c r="D52" s="171"/>
      <c r="E52" s="171"/>
      <c r="F52" s="171"/>
      <c r="G52" s="171"/>
      <c r="H52" s="171"/>
      <c r="I52" s="171"/>
      <c r="J52" s="238"/>
      <c r="K52" s="171"/>
    </row>
    <row r="53" spans="1:11" x14ac:dyDescent="0.25">
      <c r="A53" s="171" t="s">
        <v>451</v>
      </c>
      <c r="B53" s="238">
        <f>'1.3 Total EDUs Developed'!O22</f>
        <v>4261.283248518751</v>
      </c>
      <c r="C53" s="238">
        <f>'1.3 Total EDUs Developed'!O65</f>
        <v>11088.719217858748</v>
      </c>
      <c r="D53" s="324">
        <v>0</v>
      </c>
      <c r="E53" s="238">
        <f>'1.3 Total EDUs Developed'!O92</f>
        <v>22498.890039752496</v>
      </c>
      <c r="F53" s="238">
        <f>'1.3 Total EDUs Developed'!O110</f>
        <v>5460.7219571575006</v>
      </c>
      <c r="G53" s="238">
        <f>'1.3 Total EDUs Developed'!O119</f>
        <v>1660.4159999999999</v>
      </c>
      <c r="H53" s="238">
        <v>0</v>
      </c>
      <c r="I53" s="238">
        <f>SUM(B53:H53)</f>
        <v>44970.03046328749</v>
      </c>
      <c r="J53" s="238"/>
      <c r="K53" s="171"/>
    </row>
    <row r="54" spans="1:11" x14ac:dyDescent="0.25">
      <c r="A54" s="171" t="s">
        <v>446</v>
      </c>
      <c r="B54" s="310">
        <f>IF(B53=0,"n/a",B47/B53)</f>
        <v>770.31059364198813</v>
      </c>
      <c r="C54" s="310">
        <f t="shared" ref="C54:H54" si="11">IF(C53=0,"n/a",C47/C53)</f>
        <v>2632.1586059345209</v>
      </c>
      <c r="D54" s="327" t="str">
        <f t="shared" si="11"/>
        <v>n/a</v>
      </c>
      <c r="E54" s="310">
        <f t="shared" si="11"/>
        <v>1995.3935741307489</v>
      </c>
      <c r="F54" s="310">
        <f t="shared" si="11"/>
        <v>784.90775900159736</v>
      </c>
      <c r="G54" s="310">
        <f t="shared" si="11"/>
        <v>1567.6748074654815</v>
      </c>
      <c r="H54" s="327" t="str">
        <f t="shared" si="11"/>
        <v>n/a</v>
      </c>
      <c r="I54" s="310"/>
      <c r="J54" s="238"/>
      <c r="K54" s="171"/>
    </row>
    <row r="55" spans="1:11" x14ac:dyDescent="0.25">
      <c r="A55" s="171"/>
      <c r="B55" s="171"/>
      <c r="C55" s="171"/>
      <c r="D55" s="171"/>
      <c r="E55" s="171"/>
      <c r="F55" s="171"/>
      <c r="G55" s="171"/>
      <c r="H55" s="171"/>
      <c r="I55" s="171"/>
      <c r="J55" s="238"/>
      <c r="K55" s="171"/>
    </row>
    <row r="56" spans="1:11" x14ac:dyDescent="0.25">
      <c r="A56" s="171"/>
      <c r="B56" s="344"/>
      <c r="C56" s="344"/>
      <c r="D56" s="344"/>
      <c r="E56" s="344"/>
      <c r="F56" s="344"/>
      <c r="G56" s="344"/>
      <c r="H56" s="171"/>
      <c r="I56" s="171"/>
      <c r="J56" s="238"/>
      <c r="K56" s="171"/>
    </row>
    <row r="57" spans="1:11" x14ac:dyDescent="0.25">
      <c r="A57" s="171" t="s">
        <v>452</v>
      </c>
      <c r="B57" s="238">
        <f>'1.3 Total EDUs Developed'!I22</f>
        <v>843.81846505321789</v>
      </c>
      <c r="C57" s="238">
        <f>'1.3 Total EDUs Developed'!I65</f>
        <v>2195.7859837344054</v>
      </c>
      <c r="D57" s="324">
        <v>0</v>
      </c>
      <c r="E57" s="238">
        <f>'1.3 Total EDUs Developed'!I92</f>
        <v>4455.2257504460404</v>
      </c>
      <c r="F57" s="238">
        <f>'1.3 Total EDUs Developed'!I110</f>
        <v>1081.3310806252475</v>
      </c>
      <c r="G57" s="238">
        <f>'1.3 Total EDUs Developed'!I119</f>
        <v>328.79524752475248</v>
      </c>
      <c r="H57" s="238">
        <v>0</v>
      </c>
      <c r="I57" s="238">
        <f>SUM(B57:H57)</f>
        <v>8904.9565273836652</v>
      </c>
      <c r="J57" s="238"/>
      <c r="K57" s="171"/>
    </row>
    <row r="58" spans="1:11" x14ac:dyDescent="0.25">
      <c r="A58" s="171" t="s">
        <v>447</v>
      </c>
      <c r="B58" s="310">
        <f>IF(B57=0,"n/a",B47/B57)</f>
        <v>3890.0684978920403</v>
      </c>
      <c r="C58" s="310">
        <f t="shared" ref="C58:H58" si="12">IF(C57=0,"n/a",C47/C57)</f>
        <v>13292.400959969333</v>
      </c>
      <c r="D58" s="327" t="str">
        <f t="shared" si="12"/>
        <v>n/a</v>
      </c>
      <c r="E58" s="310">
        <f t="shared" si="12"/>
        <v>10076.737549360278</v>
      </c>
      <c r="F58" s="310">
        <f t="shared" si="12"/>
        <v>3963.7841829580666</v>
      </c>
      <c r="G58" s="310">
        <f t="shared" si="12"/>
        <v>7916.7577777006809</v>
      </c>
      <c r="H58" s="327" t="str">
        <f t="shared" si="12"/>
        <v>n/a</v>
      </c>
      <c r="I58" s="310"/>
      <c r="J58" s="238"/>
      <c r="K58" s="171"/>
    </row>
    <row r="59" spans="1:11" x14ac:dyDescent="0.25">
      <c r="A59" s="171"/>
      <c r="B59" s="171"/>
      <c r="C59" s="171"/>
      <c r="D59" s="171"/>
      <c r="E59" s="171"/>
      <c r="F59" s="171"/>
      <c r="G59" s="171"/>
      <c r="H59" s="171"/>
      <c r="I59" s="171"/>
      <c r="J59" s="238"/>
      <c r="K59" s="171"/>
    </row>
    <row r="60" spans="1:11" x14ac:dyDescent="0.25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x14ac:dyDescent="0.25">
      <c r="A61" s="241" t="s">
        <v>11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5">
      <c r="A62" s="245" t="s">
        <v>497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5">
      <c r="A63" s="171" t="s">
        <v>459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x14ac:dyDescent="0.25">
      <c r="A64" s="171" t="s">
        <v>365</v>
      </c>
      <c r="B64" s="171"/>
      <c r="C64" s="171"/>
      <c r="D64" s="171"/>
      <c r="E64" s="171"/>
      <c r="F64" s="171"/>
      <c r="G64" s="171"/>
      <c r="H64" s="171"/>
      <c r="I64" s="171"/>
      <c r="J64" s="171"/>
    </row>
    <row r="65" spans="1:7" x14ac:dyDescent="0.25">
      <c r="A65" s="171" t="s">
        <v>470</v>
      </c>
      <c r="B65" s="171"/>
      <c r="C65" s="171"/>
      <c r="D65" s="171"/>
      <c r="E65" s="171"/>
      <c r="F65" s="171"/>
      <c r="G65" s="171"/>
    </row>
    <row r="66" spans="1:7" x14ac:dyDescent="0.25">
      <c r="A66" s="171" t="s">
        <v>472</v>
      </c>
      <c r="B66" s="171"/>
      <c r="C66" s="171"/>
      <c r="D66" s="171"/>
      <c r="E66" s="171"/>
      <c r="F66" s="171"/>
      <c r="G66" s="171"/>
    </row>
    <row r="67" spans="1:7" x14ac:dyDescent="0.25">
      <c r="A67" s="171" t="s">
        <v>471</v>
      </c>
      <c r="B67" s="171"/>
      <c r="C67" s="171"/>
      <c r="D67" s="171"/>
      <c r="E67" s="171"/>
      <c r="F67" s="171"/>
      <c r="G67" s="171"/>
    </row>
    <row r="68" spans="1:7" x14ac:dyDescent="0.25">
      <c r="A68" s="171"/>
      <c r="B68" s="171"/>
      <c r="C68" s="171"/>
      <c r="D68" s="171"/>
      <c r="E68" s="171"/>
      <c r="F68" s="171"/>
      <c r="G68" s="171"/>
    </row>
  </sheetData>
  <printOptions horizontalCentered="1" verticalCentered="1"/>
  <pageMargins left="0.5" right="0.5" top="1" bottom="1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W12" sqref="W12"/>
    </sheetView>
  </sheetViews>
  <sheetFormatPr defaultRowHeight="13.2" x14ac:dyDescent="0.25"/>
  <cols>
    <col min="1" max="1" width="22.5546875" bestFit="1" customWidth="1"/>
    <col min="2" max="2" width="4.5546875" customWidth="1"/>
    <col min="3" max="6" width="0" hidden="1" customWidth="1"/>
    <col min="7" max="7" width="8.88671875" hidden="1" customWidth="1"/>
    <col min="8" max="11" width="0" hidden="1" customWidth="1"/>
    <col min="12" max="12" width="5.33203125" hidden="1" customWidth="1"/>
    <col min="13" max="13" width="9.109375" hidden="1" customWidth="1"/>
    <col min="14" max="19" width="0" hidden="1" customWidth="1"/>
    <col min="20" max="20" width="16.21875" hidden="1" customWidth="1"/>
    <col min="21" max="21" width="16.109375" hidden="1" customWidth="1"/>
    <col min="22" max="22" width="5.6640625" hidden="1" customWidth="1"/>
    <col min="23" max="24" width="8.77734375" customWidth="1"/>
    <col min="25" max="26" width="7.77734375" customWidth="1"/>
    <col min="27" max="27" width="7.77734375" hidden="1" customWidth="1"/>
    <col min="28" max="30" width="7.77734375" customWidth="1"/>
    <col min="31" max="31" width="6.77734375" hidden="1" customWidth="1"/>
    <col min="32" max="32" width="3.6640625" customWidth="1"/>
    <col min="33" max="33" width="10.6640625" customWidth="1"/>
    <col min="34" max="36" width="7.88671875" customWidth="1"/>
    <col min="37" max="37" width="7.88671875" hidden="1" customWidth="1"/>
    <col min="38" max="39" width="7.88671875" customWidth="1"/>
    <col min="40" max="40" width="14.44140625" customWidth="1"/>
    <col min="41" max="41" width="7.88671875" hidden="1" customWidth="1"/>
    <col min="42" max="43" width="7.88671875" customWidth="1"/>
    <col min="44" max="44" width="8.5546875" hidden="1" customWidth="1"/>
    <col min="45" max="45" width="9.44140625" hidden="1" customWidth="1"/>
    <col min="46" max="50" width="0" hidden="1" customWidth="1"/>
    <col min="51" max="51" width="9.44140625" hidden="1" customWidth="1"/>
    <col min="52" max="52" width="22" hidden="1" customWidth="1"/>
    <col min="53" max="53" width="13.109375" hidden="1" customWidth="1"/>
    <col min="54" max="54" width="14.109375" hidden="1" customWidth="1"/>
    <col min="55" max="55" width="9" hidden="1" customWidth="1"/>
    <col min="56" max="56" width="14.109375" hidden="1" customWidth="1"/>
    <col min="57" max="58" width="13.109375" hidden="1" customWidth="1"/>
    <col min="59" max="59" width="9" hidden="1" customWidth="1"/>
    <col min="60" max="75" width="0" hidden="1" customWidth="1"/>
    <col min="76" max="76" width="12.10937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5">
      <c r="A1" s="171" t="s">
        <v>436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v8</v>
      </c>
      <c r="AS2" s="171"/>
    </row>
    <row r="3" spans="1:93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41248</v>
      </c>
      <c r="AR3" s="347"/>
      <c r="AS3" s="171"/>
    </row>
    <row r="4" spans="1:93" x14ac:dyDescent="0.25">
      <c r="A4" s="171" t="s">
        <v>437</v>
      </c>
      <c r="AR4" s="347"/>
    </row>
    <row r="5" spans="1:93" x14ac:dyDescent="0.25">
      <c r="AR5" s="347"/>
    </row>
    <row r="6" spans="1:93" x14ac:dyDescent="0.25">
      <c r="AR6" s="347"/>
    </row>
    <row r="7" spans="1:93" x14ac:dyDescent="0.25">
      <c r="AR7" s="347"/>
      <c r="AS7" s="171" t="s">
        <v>484</v>
      </c>
      <c r="BA7" s="171" t="s">
        <v>481</v>
      </c>
      <c r="BI7" s="171" t="s">
        <v>485</v>
      </c>
      <c r="BQ7" s="171" t="s">
        <v>481</v>
      </c>
      <c r="BZ7" s="171" t="s">
        <v>487</v>
      </c>
      <c r="CH7" s="171" t="s">
        <v>481</v>
      </c>
    </row>
    <row r="8" spans="1:93" x14ac:dyDescent="0.25">
      <c r="E8" s="350" t="s">
        <v>448</v>
      </c>
      <c r="F8" s="351"/>
      <c r="G8" s="351"/>
      <c r="H8" s="351"/>
      <c r="I8" s="351"/>
      <c r="J8" s="351"/>
      <c r="K8" s="352"/>
      <c r="O8" s="350" t="s">
        <v>480</v>
      </c>
      <c r="P8" s="351"/>
      <c r="Q8" s="351"/>
      <c r="R8" s="351"/>
      <c r="S8" s="351"/>
      <c r="T8" s="351"/>
      <c r="U8" s="352"/>
      <c r="V8" s="249"/>
      <c r="Y8" s="350" t="s">
        <v>448</v>
      </c>
      <c r="Z8" s="351"/>
      <c r="AA8" s="351"/>
      <c r="AB8" s="351"/>
      <c r="AC8" s="351"/>
      <c r="AD8" s="351"/>
      <c r="AE8" s="352"/>
      <c r="AF8" s="349"/>
      <c r="AI8" s="350" t="s">
        <v>480</v>
      </c>
      <c r="AJ8" s="351"/>
      <c r="AK8" s="351"/>
      <c r="AL8" s="351"/>
      <c r="AM8" s="351"/>
      <c r="AN8" s="351"/>
      <c r="AO8" s="352"/>
      <c r="AP8" s="349"/>
      <c r="AR8" s="347"/>
    </row>
    <row r="9" spans="1:93" ht="21" x14ac:dyDescent="0.25">
      <c r="A9" s="302" t="s">
        <v>423</v>
      </c>
      <c r="B9" s="274"/>
      <c r="C9" s="302" t="s">
        <v>429</v>
      </c>
      <c r="D9" s="302" t="s">
        <v>427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299</v>
      </c>
      <c r="K9" s="318" t="s">
        <v>335</v>
      </c>
      <c r="M9" s="302" t="s">
        <v>429</v>
      </c>
      <c r="N9" s="302" t="s">
        <v>431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299</v>
      </c>
      <c r="U9" s="302" t="s">
        <v>335</v>
      </c>
      <c r="V9" s="341"/>
      <c r="W9" s="302" t="s">
        <v>429</v>
      </c>
      <c r="X9" s="302" t="s">
        <v>482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299</v>
      </c>
      <c r="AE9" s="318" t="s">
        <v>335</v>
      </c>
      <c r="AG9" s="302" t="s">
        <v>429</v>
      </c>
      <c r="AH9" s="302" t="s">
        <v>430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299</v>
      </c>
      <c r="AO9" s="302" t="s">
        <v>335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299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299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299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299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299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299</v>
      </c>
      <c r="CN9" s="341" t="s">
        <v>9</v>
      </c>
    </row>
    <row r="10" spans="1:93" x14ac:dyDescent="0.25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5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5">
      <c r="A12" s="311" t="s">
        <v>486</v>
      </c>
      <c r="B12" s="312"/>
      <c r="C12" s="313"/>
      <c r="D12" s="313"/>
      <c r="E12" s="314">
        <f>'1. Wastewater Fee Calc Sum'!B58</f>
        <v>3890.0684978920403</v>
      </c>
      <c r="F12" s="314">
        <f>'1. Wastewater Fee Calc Sum'!C58</f>
        <v>13292.400959969333</v>
      </c>
      <c r="G12" s="314" t="str">
        <f>'1. Wastewater Fee Calc Sum'!D58</f>
        <v>n/a</v>
      </c>
      <c r="H12" s="314">
        <f>'1. Wastewater Fee Calc Sum'!E58</f>
        <v>10076.737549360278</v>
      </c>
      <c r="I12" s="314">
        <f>'1. Wastewater Fee Calc Sum'!F58</f>
        <v>3963.7841829580666</v>
      </c>
      <c r="J12" s="314">
        <f>'1. Wastewater Fee Calc Sum'!G58</f>
        <v>7916.7577777006809</v>
      </c>
      <c r="K12" s="314" t="str">
        <f>'1. Wastewater Fee Calc Sum'!H58</f>
        <v>n/a</v>
      </c>
      <c r="L12" s="315"/>
      <c r="M12" s="313"/>
      <c r="N12" s="313"/>
      <c r="O12" s="316">
        <f>'1. Wastewater Fee Calc Sum'!B54</f>
        <v>770.31059364198813</v>
      </c>
      <c r="P12" s="316">
        <f>'1. Wastewater Fee Calc Sum'!C54</f>
        <v>2632.1586059345209</v>
      </c>
      <c r="Q12" s="314" t="str">
        <f>'1. Wastewater Fee Calc Sum'!D54</f>
        <v>n/a</v>
      </c>
      <c r="R12" s="316">
        <f>'1. Wastewater Fee Calc Sum'!E54</f>
        <v>1995.3935741307489</v>
      </c>
      <c r="S12" s="316">
        <f>'1. Wastewater Fee Calc Sum'!F54</f>
        <v>784.90775900159736</v>
      </c>
      <c r="T12" s="314">
        <f>'1. Wastewater Fee Calc Sum'!G54</f>
        <v>1567.6748074654815</v>
      </c>
      <c r="U12" s="317" t="str">
        <f>'1. Wastewater Fee Calc Sum'!H54</f>
        <v>n/a</v>
      </c>
      <c r="V12" s="346"/>
      <c r="W12" s="313"/>
      <c r="X12" s="313"/>
      <c r="Y12" s="348">
        <f>'1. Wastewater Fee Calc Sum'!B50</f>
        <v>4.8144412102624257</v>
      </c>
      <c r="Z12" s="348">
        <f>'1. Wastewater Fee Calc Sum'!C50</f>
        <v>16.450991287090755</v>
      </c>
      <c r="AA12" s="348" t="str">
        <f>'1. Wastewater Fee Calc Sum'!D50</f>
        <v>n/a</v>
      </c>
      <c r="AB12" s="348">
        <f>'1. Wastewater Fee Calc Sum'!E50</f>
        <v>12.471209838317179</v>
      </c>
      <c r="AC12" s="348">
        <f>'1. Wastewater Fee Calc Sum'!F50</f>
        <v>4.9056734937599833</v>
      </c>
      <c r="AD12" s="348">
        <f>'1. Wastewater Fee Calc Sum'!G50</f>
        <v>9.79796754665926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5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5">
      <c r="A14" s="274" t="s">
        <v>236</v>
      </c>
      <c r="B14" s="274"/>
      <c r="C14" s="278" t="s">
        <v>426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426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426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str">
        <f t="shared" ref="AA14:AA38" si="5">IF(AA$12="n/a","n/a",$D14*AA$12)</f>
        <v>n/a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426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str">
        <f>IF(AA$12="n/a","n/a",$N14*AK$12)</f>
        <v>n/a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5">
      <c r="A15" s="274" t="s">
        <v>252</v>
      </c>
      <c r="B15" s="274"/>
      <c r="C15" s="278" t="s">
        <v>426</v>
      </c>
      <c r="D15" s="286">
        <f>'1.2 EDU Factors'!E13</f>
        <v>1.4851485148514851</v>
      </c>
      <c r="E15" s="291">
        <f t="shared" si="0"/>
        <v>5777.3294523149116</v>
      </c>
      <c r="F15" s="291">
        <f t="shared" si="0"/>
        <v>19741.18954450891</v>
      </c>
      <c r="G15" s="325" t="str">
        <f t="shared" si="1"/>
        <v>n/a</v>
      </c>
      <c r="H15" s="291">
        <f t="shared" si="2"/>
        <v>14965.451805980611</v>
      </c>
      <c r="I15" s="291">
        <f t="shared" si="2"/>
        <v>5886.8081925119805</v>
      </c>
      <c r="J15" s="291">
        <f t="shared" si="2"/>
        <v>11757.561055991109</v>
      </c>
      <c r="K15" s="325" t="str">
        <f t="shared" si="3"/>
        <v>n/a</v>
      </c>
      <c r="M15" s="278" t="s">
        <v>426</v>
      </c>
      <c r="N15" s="286">
        <f>'1.2 EDU Factors'!J13</f>
        <v>7.5</v>
      </c>
      <c r="O15" s="291">
        <f t="shared" ref="O15:T38" si="19">$N15*O$12</f>
        <v>5777.3294523149107</v>
      </c>
      <c r="P15" s="291">
        <f t="shared" si="4"/>
        <v>19741.189544508907</v>
      </c>
      <c r="Q15" s="325" t="str">
        <f t="shared" ref="Q15:Q38" si="20">IF(Q$12="n/a","n/a",$N15*Q$12)</f>
        <v>n/a</v>
      </c>
      <c r="R15" s="291">
        <f t="shared" si="4"/>
        <v>14965.451805980616</v>
      </c>
      <c r="S15" s="291">
        <f t="shared" si="4"/>
        <v>5886.8081925119805</v>
      </c>
      <c r="T15" s="291">
        <f t="shared" si="4"/>
        <v>11757.561055991111</v>
      </c>
      <c r="U15" s="325" t="str">
        <f t="shared" ref="U15:U38" si="21">IF(U$12="n/a","n/a",$N15*U$12)</f>
        <v>n/a</v>
      </c>
      <c r="V15" s="325"/>
      <c r="W15" s="278" t="s">
        <v>426</v>
      </c>
      <c r="X15" s="291">
        <f>'1.2 EDU Factors'!D13</f>
        <v>1200</v>
      </c>
      <c r="Y15" s="291">
        <f t="shared" ref="Y15:AD38" si="22">$X15*Y$12</f>
        <v>5777.3294523149107</v>
      </c>
      <c r="Z15" s="291">
        <f t="shared" si="22"/>
        <v>19741.189544508907</v>
      </c>
      <c r="AA15" s="325" t="str">
        <f t="shared" si="5"/>
        <v>n/a</v>
      </c>
      <c r="AB15" s="291">
        <f t="shared" si="22"/>
        <v>14965.451805980614</v>
      </c>
      <c r="AC15" s="291">
        <f t="shared" si="22"/>
        <v>5886.8081925119795</v>
      </c>
      <c r="AD15" s="291">
        <f t="shared" si="22"/>
        <v>11757.561055991111</v>
      </c>
      <c r="AE15" s="325" t="str">
        <f t="shared" si="7"/>
        <v>n/a</v>
      </c>
      <c r="AG15" s="278" t="s">
        <v>426</v>
      </c>
      <c r="AH15" s="286">
        <f>'1.2 EDU Factors'!H13</f>
        <v>1</v>
      </c>
      <c r="AI15" s="291">
        <f t="shared" si="8"/>
        <v>5777.3294523149107</v>
      </c>
      <c r="AJ15" s="291">
        <f t="shared" si="9"/>
        <v>19741.189544508907</v>
      </c>
      <c r="AK15" s="325" t="str">
        <f t="shared" ref="AK15:AK38" si="23">IF(AA$12="n/a","n/a",$N15*AK$12)</f>
        <v>n/a</v>
      </c>
      <c r="AL15" s="291">
        <f t="shared" si="10"/>
        <v>14965.451805980614</v>
      </c>
      <c r="AM15" s="291">
        <f t="shared" si="10"/>
        <v>5886.8081925119795</v>
      </c>
      <c r="AN15" s="291">
        <f t="shared" si="10"/>
        <v>11757.561055991111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668355.73076443153</v>
      </c>
      <c r="BE15" s="291">
        <f t="shared" si="14"/>
        <v>796628.81600080931</v>
      </c>
      <c r="BF15" s="291">
        <f t="shared" si="15"/>
        <v>0</v>
      </c>
      <c r="BG15" s="291">
        <f t="shared" ref="BG15:BG38" si="26">SUM(BA15:BF15)</f>
        <v>1464984.5467652408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668355.73076443188</v>
      </c>
      <c r="BU15" s="291">
        <f t="shared" si="17"/>
        <v>796628.81600080919</v>
      </c>
      <c r="BV15" s="291">
        <f t="shared" si="18"/>
        <v>0</v>
      </c>
      <c r="BW15" s="291">
        <f t="shared" ref="BW15:BW38" si="30">SUM(BQ15:BV15)</f>
        <v>1464984.5467652411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668355.73076443176</v>
      </c>
      <c r="CL15" s="291">
        <f t="shared" ref="CL15:CL38" si="36">CD15*AC$12</f>
        <v>796628.81600080919</v>
      </c>
      <c r="CM15" s="291">
        <f t="shared" ref="CM15:CM38" si="37">CE15*AD$12</f>
        <v>0</v>
      </c>
      <c r="CN15" s="291">
        <f t="shared" ref="CN15:CN38" si="38">SUM(CH15:CM15)</f>
        <v>1464984.5467652408</v>
      </c>
      <c r="CO15" s="97">
        <f t="shared" ref="CO15:CO38" si="39">CN15-BG15</f>
        <v>0</v>
      </c>
    </row>
    <row r="16" spans="1:93" x14ac:dyDescent="0.25">
      <c r="A16" s="274" t="s">
        <v>226</v>
      </c>
      <c r="B16" s="274"/>
      <c r="C16" s="278" t="s">
        <v>426</v>
      </c>
      <c r="D16" s="286">
        <f>'1.2 EDU Factors'!E14</f>
        <v>3.0606435643564356</v>
      </c>
      <c r="E16" s="291">
        <f t="shared" si="0"/>
        <v>11906.113112978979</v>
      </c>
      <c r="F16" s="291">
        <f t="shared" si="0"/>
        <v>40683.301452975444</v>
      </c>
      <c r="G16" s="325" t="str">
        <f t="shared" si="1"/>
        <v>n/a</v>
      </c>
      <c r="H16" s="291">
        <f t="shared" si="2"/>
        <v>30841.301930158374</v>
      </c>
      <c r="I16" s="291">
        <f t="shared" si="2"/>
        <v>12131.730550068438</v>
      </c>
      <c r="J16" s="291">
        <f t="shared" si="2"/>
        <v>24230.373742888347</v>
      </c>
      <c r="K16" s="325" t="str">
        <f t="shared" si="3"/>
        <v>n/a</v>
      </c>
      <c r="M16" s="278" t="s">
        <v>426</v>
      </c>
      <c r="N16" s="286">
        <f>'1.2 EDU Factors'!J14</f>
        <v>15.456250000000001</v>
      </c>
      <c r="O16" s="291">
        <f t="shared" si="19"/>
        <v>11906.113112978979</v>
      </c>
      <c r="P16" s="291">
        <f t="shared" si="4"/>
        <v>40683.301452975444</v>
      </c>
      <c r="Q16" s="325" t="str">
        <f t="shared" si="20"/>
        <v>n/a</v>
      </c>
      <c r="R16" s="291">
        <f t="shared" si="4"/>
        <v>30841.301930158388</v>
      </c>
      <c r="S16" s="291">
        <f t="shared" si="4"/>
        <v>12131.73055006844</v>
      </c>
      <c r="T16" s="291">
        <f t="shared" si="4"/>
        <v>24230.373742888351</v>
      </c>
      <c r="U16" s="325" t="str">
        <f t="shared" si="21"/>
        <v>n/a</v>
      </c>
      <c r="V16" s="325"/>
      <c r="W16" s="278" t="s">
        <v>426</v>
      </c>
      <c r="X16" s="291">
        <f>'1.2 EDU Factors'!D14</f>
        <v>2473</v>
      </c>
      <c r="Y16" s="291">
        <f t="shared" si="22"/>
        <v>11906.113112978979</v>
      </c>
      <c r="Z16" s="291">
        <f t="shared" si="22"/>
        <v>40683.301452975436</v>
      </c>
      <c r="AA16" s="325" t="str">
        <f t="shared" si="5"/>
        <v>n/a</v>
      </c>
      <c r="AB16" s="291">
        <f t="shared" si="22"/>
        <v>30841.301930158384</v>
      </c>
      <c r="AC16" s="291">
        <f t="shared" si="22"/>
        <v>12131.730550068438</v>
      </c>
      <c r="AD16" s="291">
        <f t="shared" si="22"/>
        <v>24230.373742888351</v>
      </c>
      <c r="AE16" s="325" t="str">
        <f t="shared" si="7"/>
        <v>n/a</v>
      </c>
      <c r="AG16" s="278" t="s">
        <v>426</v>
      </c>
      <c r="AH16" s="286">
        <f>'1.2 EDU Factors'!H14</f>
        <v>1</v>
      </c>
      <c r="AI16" s="291">
        <f t="shared" si="8"/>
        <v>11906.113112978979</v>
      </c>
      <c r="AJ16" s="291">
        <f t="shared" si="9"/>
        <v>40683.301452975436</v>
      </c>
      <c r="AK16" s="325" t="str">
        <f t="shared" si="23"/>
        <v>n/a</v>
      </c>
      <c r="AL16" s="291">
        <f t="shared" si="10"/>
        <v>30841.301930158384</v>
      </c>
      <c r="AM16" s="291">
        <f t="shared" si="10"/>
        <v>12131.730550068438</v>
      </c>
      <c r="AN16" s="291">
        <f t="shared" si="10"/>
        <v>24230.373742888351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1507808.2500134765</v>
      </c>
      <c r="BB16" s="291">
        <f t="shared" si="12"/>
        <v>1191707.8779840071</v>
      </c>
      <c r="BC16" s="291"/>
      <c r="BD16" s="291">
        <f t="shared" si="13"/>
        <v>5019495.3839557748</v>
      </c>
      <c r="BE16" s="291">
        <f t="shared" si="14"/>
        <v>0</v>
      </c>
      <c r="BF16" s="291">
        <f t="shared" si="15"/>
        <v>0</v>
      </c>
      <c r="BG16" s="291">
        <f t="shared" si="26"/>
        <v>7719011.5119532589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1507808.2500134767</v>
      </c>
      <c r="BR16" s="291">
        <f t="shared" si="29"/>
        <v>1191707.8779840069</v>
      </c>
      <c r="BS16" s="291"/>
      <c r="BT16" s="291">
        <f t="shared" si="16"/>
        <v>5019495.3839557776</v>
      </c>
      <c r="BU16" s="291">
        <f t="shared" si="17"/>
        <v>0</v>
      </c>
      <c r="BV16" s="291">
        <f t="shared" si="18"/>
        <v>0</v>
      </c>
      <c r="BW16" s="291">
        <f t="shared" si="30"/>
        <v>7719011.5119532607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1507808.2500134765</v>
      </c>
      <c r="CI16" s="291">
        <f t="shared" si="34"/>
        <v>1191707.8779840071</v>
      </c>
      <c r="CJ16" s="291"/>
      <c r="CK16" s="291">
        <f t="shared" si="35"/>
        <v>5019495.3839557767</v>
      </c>
      <c r="CL16" s="291">
        <f t="shared" si="36"/>
        <v>0</v>
      </c>
      <c r="CM16" s="291">
        <f t="shared" si="37"/>
        <v>0</v>
      </c>
      <c r="CN16" s="291">
        <f t="shared" si="38"/>
        <v>7719011.5119532607</v>
      </c>
      <c r="CO16" s="97">
        <f t="shared" si="39"/>
        <v>0</v>
      </c>
    </row>
    <row r="17" spans="1:93" x14ac:dyDescent="0.25">
      <c r="A17" s="274" t="s">
        <v>227</v>
      </c>
      <c r="B17" s="274"/>
      <c r="C17" s="278" t="s">
        <v>426</v>
      </c>
      <c r="D17" s="286">
        <f>'1.2 EDU Factors'!E15</f>
        <v>0.92821782178217827</v>
      </c>
      <c r="E17" s="291">
        <f t="shared" si="0"/>
        <v>3610.8309076968198</v>
      </c>
      <c r="F17" s="291">
        <f t="shared" si="0"/>
        <v>12338.24346531807</v>
      </c>
      <c r="G17" s="325" t="str">
        <f t="shared" si="1"/>
        <v>n/a</v>
      </c>
      <c r="H17" s="291">
        <f t="shared" si="2"/>
        <v>9353.407378737882</v>
      </c>
      <c r="I17" s="291">
        <f t="shared" si="2"/>
        <v>3679.2551203199878</v>
      </c>
      <c r="J17" s="291">
        <f t="shared" si="2"/>
        <v>7348.475659994444</v>
      </c>
      <c r="K17" s="325" t="str">
        <f t="shared" si="3"/>
        <v>n/a</v>
      </c>
      <c r="M17" s="278" t="s">
        <v>426</v>
      </c>
      <c r="N17" s="286">
        <f>'1.2 EDU Factors'!J15</f>
        <v>4.6875</v>
      </c>
      <c r="O17" s="291">
        <f t="shared" si="19"/>
        <v>3610.8309076968194</v>
      </c>
      <c r="P17" s="291">
        <f t="shared" si="4"/>
        <v>12338.243465318066</v>
      </c>
      <c r="Q17" s="325" t="str">
        <f t="shared" si="20"/>
        <v>n/a</v>
      </c>
      <c r="R17" s="291">
        <f t="shared" si="4"/>
        <v>9353.4073787378857</v>
      </c>
      <c r="S17" s="291">
        <f t="shared" si="4"/>
        <v>3679.2551203199878</v>
      </c>
      <c r="T17" s="291">
        <f t="shared" si="4"/>
        <v>7348.4756599944449</v>
      </c>
      <c r="U17" s="325" t="str">
        <f t="shared" si="21"/>
        <v>n/a</v>
      </c>
      <c r="V17" s="325"/>
      <c r="W17" s="278" t="s">
        <v>426</v>
      </c>
      <c r="X17" s="291">
        <f>'1.2 EDU Factors'!D15</f>
        <v>750</v>
      </c>
      <c r="Y17" s="291">
        <f t="shared" si="22"/>
        <v>3610.8309076968194</v>
      </c>
      <c r="Z17" s="291">
        <f t="shared" si="22"/>
        <v>12338.243465318066</v>
      </c>
      <c r="AA17" s="325" t="str">
        <f t="shared" si="5"/>
        <v>n/a</v>
      </c>
      <c r="AB17" s="291">
        <f t="shared" si="22"/>
        <v>9353.4073787378838</v>
      </c>
      <c r="AC17" s="291">
        <f t="shared" si="22"/>
        <v>3679.2551203199873</v>
      </c>
      <c r="AD17" s="291">
        <f t="shared" si="22"/>
        <v>7348.4756599944449</v>
      </c>
      <c r="AE17" s="325" t="str">
        <f t="shared" si="7"/>
        <v>n/a</v>
      </c>
      <c r="AG17" s="278" t="s">
        <v>426</v>
      </c>
      <c r="AH17" s="286">
        <f>'1.2 EDU Factors'!H15</f>
        <v>1</v>
      </c>
      <c r="AI17" s="291">
        <f t="shared" si="8"/>
        <v>3610.8309076968194</v>
      </c>
      <c r="AJ17" s="291">
        <f t="shared" si="9"/>
        <v>12338.243465318066</v>
      </c>
      <c r="AK17" s="325" t="str">
        <f t="shared" si="23"/>
        <v>n/a</v>
      </c>
      <c r="AL17" s="291">
        <f t="shared" si="10"/>
        <v>9353.4073787378838</v>
      </c>
      <c r="AM17" s="291">
        <f t="shared" si="10"/>
        <v>3679.2551203199873</v>
      </c>
      <c r="AN17" s="291">
        <f t="shared" si="10"/>
        <v>7348.4756599944449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168578.13681062899</v>
      </c>
      <c r="BB17" s="291">
        <f t="shared" si="12"/>
        <v>231479.41430096974</v>
      </c>
      <c r="BC17" s="291"/>
      <c r="BD17" s="291">
        <f t="shared" si="13"/>
        <v>2994112.5670283223</v>
      </c>
      <c r="BE17" s="291">
        <f t="shared" si="14"/>
        <v>289058.78003229771</v>
      </c>
      <c r="BF17" s="291">
        <f t="shared" si="15"/>
        <v>425329.77120047843</v>
      </c>
      <c r="BG17" s="291">
        <f t="shared" si="26"/>
        <v>4108558.6693726969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168578.13681062896</v>
      </c>
      <c r="BR17" s="291">
        <f t="shared" si="29"/>
        <v>231479.41430096969</v>
      </c>
      <c r="BS17" s="291"/>
      <c r="BT17" s="291">
        <f t="shared" si="16"/>
        <v>2994112.5670283232</v>
      </c>
      <c r="BU17" s="291">
        <f t="shared" si="17"/>
        <v>289058.78003229771</v>
      </c>
      <c r="BV17" s="291">
        <f t="shared" si="18"/>
        <v>425329.77120047848</v>
      </c>
      <c r="BW17" s="291">
        <f t="shared" si="30"/>
        <v>4108558.6693726978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168578.13681062896</v>
      </c>
      <c r="CI17" s="291">
        <f t="shared" si="34"/>
        <v>231479.41430096966</v>
      </c>
      <c r="CJ17" s="291"/>
      <c r="CK17" s="291">
        <f t="shared" si="35"/>
        <v>2994112.5670283232</v>
      </c>
      <c r="CL17" s="291">
        <f t="shared" si="36"/>
        <v>289058.78003229771</v>
      </c>
      <c r="CM17" s="291">
        <f t="shared" si="37"/>
        <v>425329.77120047848</v>
      </c>
      <c r="CN17" s="291">
        <f t="shared" si="38"/>
        <v>4108558.6693726978</v>
      </c>
      <c r="CO17" s="97">
        <f t="shared" si="39"/>
        <v>0</v>
      </c>
    </row>
    <row r="18" spans="1:93" x14ac:dyDescent="0.25">
      <c r="A18" s="274" t="s">
        <v>228</v>
      </c>
      <c r="B18" s="274"/>
      <c r="C18" s="278" t="s">
        <v>426</v>
      </c>
      <c r="D18" s="286">
        <f>'1.2 EDU Factors'!E16</f>
        <v>2.8923267326732671</v>
      </c>
      <c r="E18" s="291">
        <f t="shared" si="0"/>
        <v>11251.349108383289</v>
      </c>
      <c r="F18" s="291">
        <f t="shared" si="0"/>
        <v>38445.966637931102</v>
      </c>
      <c r="G18" s="325" t="str">
        <f t="shared" si="1"/>
        <v>n/a</v>
      </c>
      <c r="H18" s="291">
        <f t="shared" si="2"/>
        <v>29145.217392147235</v>
      </c>
      <c r="I18" s="291">
        <f t="shared" si="2"/>
        <v>11464.55895491708</v>
      </c>
      <c r="J18" s="291">
        <f t="shared" si="2"/>
        <v>22897.850156542685</v>
      </c>
      <c r="K18" s="325" t="str">
        <f t="shared" si="3"/>
        <v>n/a</v>
      </c>
      <c r="M18" s="278" t="s">
        <v>428</v>
      </c>
      <c r="N18" s="286">
        <f>'1.2 EDU Factors'!J16</f>
        <v>0.73124999999999996</v>
      </c>
      <c r="O18" s="291">
        <f t="shared" si="19"/>
        <v>563.28962160070375</v>
      </c>
      <c r="P18" s="291">
        <f t="shared" si="4"/>
        <v>1924.7659805896183</v>
      </c>
      <c r="Q18" s="325" t="str">
        <f t="shared" si="20"/>
        <v>n/a</v>
      </c>
      <c r="R18" s="291">
        <f t="shared" si="4"/>
        <v>1459.13155108311</v>
      </c>
      <c r="S18" s="291">
        <f t="shared" si="4"/>
        <v>573.96379876991807</v>
      </c>
      <c r="T18" s="291">
        <f t="shared" si="4"/>
        <v>1146.3622029591334</v>
      </c>
      <c r="U18" s="325" t="str">
        <f t="shared" si="21"/>
        <v>n/a</v>
      </c>
      <c r="V18" s="325"/>
      <c r="W18" s="278" t="s">
        <v>426</v>
      </c>
      <c r="X18" s="291">
        <f>'1.2 EDU Factors'!D16</f>
        <v>2337</v>
      </c>
      <c r="Y18" s="291">
        <f t="shared" si="22"/>
        <v>11251.349108383289</v>
      </c>
      <c r="Z18" s="291">
        <f t="shared" si="22"/>
        <v>38445.966637931095</v>
      </c>
      <c r="AA18" s="325" t="str">
        <f t="shared" si="5"/>
        <v>n/a</v>
      </c>
      <c r="AB18" s="291">
        <f t="shared" si="22"/>
        <v>29145.217392147249</v>
      </c>
      <c r="AC18" s="291">
        <f t="shared" si="22"/>
        <v>11464.558954917082</v>
      </c>
      <c r="AD18" s="291">
        <f t="shared" si="22"/>
        <v>22897.850156542692</v>
      </c>
      <c r="AE18" s="325" t="str">
        <f t="shared" si="7"/>
        <v>n/a</v>
      </c>
      <c r="AG18" s="278" t="s">
        <v>428</v>
      </c>
      <c r="AH18" s="286">
        <f>'1.2 EDU Factors'!H16</f>
        <v>19.974358974358974</v>
      </c>
      <c r="AI18" s="291">
        <f t="shared" si="8"/>
        <v>563.28962160070375</v>
      </c>
      <c r="AJ18" s="291">
        <f t="shared" si="9"/>
        <v>1924.7659805896183</v>
      </c>
      <c r="AK18" s="325" t="str">
        <f t="shared" si="23"/>
        <v>n/a</v>
      </c>
      <c r="AL18" s="291">
        <f t="shared" si="10"/>
        <v>1459.13155108311</v>
      </c>
      <c r="AM18" s="291">
        <f t="shared" si="10"/>
        <v>573.96379876991807</v>
      </c>
      <c r="AN18" s="291">
        <f t="shared" si="10"/>
        <v>1146.3622029591336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392811.48809802969</v>
      </c>
      <c r="BB18" s="291">
        <f t="shared" si="12"/>
        <v>986761.10000313446</v>
      </c>
      <c r="BC18" s="291"/>
      <c r="BD18" s="291">
        <f t="shared" si="13"/>
        <v>1989838.0138331987</v>
      </c>
      <c r="BE18" s="291">
        <f t="shared" si="14"/>
        <v>214639.90840719789</v>
      </c>
      <c r="BF18" s="291">
        <f t="shared" si="15"/>
        <v>0</v>
      </c>
      <c r="BG18" s="291">
        <f t="shared" si="26"/>
        <v>3584050.5103415609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392811.48809802963</v>
      </c>
      <c r="BR18" s="291">
        <f t="shared" si="29"/>
        <v>986761.10000313411</v>
      </c>
      <c r="BS18" s="291"/>
      <c r="BT18" s="291">
        <f t="shared" si="16"/>
        <v>1989838.0138331996</v>
      </c>
      <c r="BU18" s="291">
        <f t="shared" si="17"/>
        <v>214639.90840719786</v>
      </c>
      <c r="BV18" s="291">
        <f t="shared" si="18"/>
        <v>0</v>
      </c>
      <c r="BW18" s="291">
        <f t="shared" si="30"/>
        <v>3584050.5103415609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392811.48809802969</v>
      </c>
      <c r="CI18" s="291">
        <f t="shared" si="34"/>
        <v>986761.10000313423</v>
      </c>
      <c r="CJ18" s="291"/>
      <c r="CK18" s="291">
        <f t="shared" si="35"/>
        <v>1989838.0138331996</v>
      </c>
      <c r="CL18" s="291">
        <f t="shared" si="36"/>
        <v>214639.90840719792</v>
      </c>
      <c r="CM18" s="291">
        <f t="shared" si="37"/>
        <v>0</v>
      </c>
      <c r="CN18" s="291">
        <f t="shared" si="38"/>
        <v>3584050.5103415614</v>
      </c>
      <c r="CO18" s="97">
        <f t="shared" si="39"/>
        <v>0</v>
      </c>
    </row>
    <row r="19" spans="1:93" x14ac:dyDescent="0.25">
      <c r="A19" s="274" t="s">
        <v>237</v>
      </c>
      <c r="B19" s="274"/>
      <c r="C19" s="278" t="s">
        <v>426</v>
      </c>
      <c r="D19" s="286">
        <f>'1.2 EDU Factors'!E17</f>
        <v>0.74257425742574257</v>
      </c>
      <c r="E19" s="291">
        <f t="shared" si="0"/>
        <v>2888.6647261574558</v>
      </c>
      <c r="F19" s="291">
        <f t="shared" si="0"/>
        <v>9870.5947722544552</v>
      </c>
      <c r="G19" s="325" t="str">
        <f t="shared" si="1"/>
        <v>n/a</v>
      </c>
      <c r="H19" s="291">
        <f t="shared" si="2"/>
        <v>7482.7259029903053</v>
      </c>
      <c r="I19" s="291">
        <f t="shared" si="2"/>
        <v>2943.4040962559902</v>
      </c>
      <c r="J19" s="291">
        <f t="shared" si="2"/>
        <v>5878.7805279955546</v>
      </c>
      <c r="K19" s="325" t="str">
        <f t="shared" si="3"/>
        <v>n/a</v>
      </c>
      <c r="M19" s="278" t="s">
        <v>426</v>
      </c>
      <c r="N19" s="286">
        <f>'1.2 EDU Factors'!J17</f>
        <v>3.75</v>
      </c>
      <c r="O19" s="291">
        <f t="shared" si="19"/>
        <v>2888.6647261574553</v>
      </c>
      <c r="P19" s="291">
        <f t="shared" si="4"/>
        <v>9870.5947722544533</v>
      </c>
      <c r="Q19" s="325" t="str">
        <f t="shared" si="20"/>
        <v>n/a</v>
      </c>
      <c r="R19" s="291">
        <f t="shared" si="4"/>
        <v>7482.725902990308</v>
      </c>
      <c r="S19" s="291">
        <f t="shared" si="4"/>
        <v>2943.4040962559902</v>
      </c>
      <c r="T19" s="291">
        <f t="shared" si="4"/>
        <v>5878.7805279955555</v>
      </c>
      <c r="U19" s="325" t="str">
        <f t="shared" si="21"/>
        <v>n/a</v>
      </c>
      <c r="V19" s="325"/>
      <c r="W19" s="278" t="s">
        <v>426</v>
      </c>
      <c r="X19" s="291">
        <f>'1.2 EDU Factors'!D17</f>
        <v>600</v>
      </c>
      <c r="Y19" s="291">
        <f t="shared" si="22"/>
        <v>2888.6647261574553</v>
      </c>
      <c r="Z19" s="291">
        <f t="shared" si="22"/>
        <v>9870.5947722544533</v>
      </c>
      <c r="AA19" s="325" t="str">
        <f t="shared" si="5"/>
        <v>n/a</v>
      </c>
      <c r="AB19" s="291">
        <f t="shared" si="22"/>
        <v>7482.7259029903071</v>
      </c>
      <c r="AC19" s="291">
        <f t="shared" si="22"/>
        <v>2943.4040962559898</v>
      </c>
      <c r="AD19" s="291">
        <f t="shared" si="22"/>
        <v>5878.7805279955555</v>
      </c>
      <c r="AE19" s="325" t="str">
        <f t="shared" si="7"/>
        <v>n/a</v>
      </c>
      <c r="AG19" s="278" t="s">
        <v>426</v>
      </c>
      <c r="AH19" s="286">
        <f>'1.2 EDU Factors'!H17</f>
        <v>1</v>
      </c>
      <c r="AI19" s="291">
        <f t="shared" si="8"/>
        <v>2888.6647261574553</v>
      </c>
      <c r="AJ19" s="291">
        <f t="shared" si="9"/>
        <v>9870.5947722544533</v>
      </c>
      <c r="AK19" s="325" t="str">
        <f t="shared" si="23"/>
        <v>n/a</v>
      </c>
      <c r="AL19" s="291">
        <f t="shared" si="10"/>
        <v>7482.7259029903071</v>
      </c>
      <c r="AM19" s="291">
        <f t="shared" si="10"/>
        <v>2943.4040962559898</v>
      </c>
      <c r="AN19" s="291">
        <f t="shared" si="10"/>
        <v>5878.7805279955555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1728616.3170628161</v>
      </c>
      <c r="BC19" s="291"/>
      <c r="BD19" s="291">
        <f t="shared" si="13"/>
        <v>4218702.5287747942</v>
      </c>
      <c r="BE19" s="291">
        <f t="shared" si="14"/>
        <v>0</v>
      </c>
      <c r="BF19" s="291">
        <f t="shared" si="15"/>
        <v>0</v>
      </c>
      <c r="BG19" s="291">
        <f t="shared" si="26"/>
        <v>5947318.8458376098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656.72954249999998</v>
      </c>
      <c r="BL19" s="286">
        <f>SUMIF('1.3 Total EDUs Developed'!$B$70:$B$89,'1.1 Fee Summary By Land use'!$A19,'1.3 Total EDUs Developed'!$O$70:$O$89)</f>
        <v>2114.220765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2770.9503075000002</v>
      </c>
      <c r="BQ19" s="291">
        <f t="shared" si="28"/>
        <v>0</v>
      </c>
      <c r="BR19" s="291">
        <f t="shared" si="29"/>
        <v>1728616.3170628157</v>
      </c>
      <c r="BS19" s="291"/>
      <c r="BT19" s="291">
        <f t="shared" si="16"/>
        <v>4218702.5287747961</v>
      </c>
      <c r="BU19" s="291">
        <f t="shared" si="17"/>
        <v>0</v>
      </c>
      <c r="BV19" s="291">
        <f t="shared" si="18"/>
        <v>0</v>
      </c>
      <c r="BW19" s="291">
        <f t="shared" si="30"/>
        <v>5947318.8458376117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105076.7268</v>
      </c>
      <c r="CB19" s="97"/>
      <c r="CC19" s="291">
        <f>SUMIF('1.3 Total EDUs Developed'!$B$70:$B$89,'1.1 Fee Summary By Land use'!$A19,'1.3 Total EDUs Developed'!$S$70:$S$89)</f>
        <v>338275.3224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443352.04920000001</v>
      </c>
      <c r="CH19" s="291">
        <f t="shared" si="33"/>
        <v>0</v>
      </c>
      <c r="CI19" s="291">
        <f t="shared" si="34"/>
        <v>1728616.3170628157</v>
      </c>
      <c r="CJ19" s="291"/>
      <c r="CK19" s="291">
        <f t="shared" si="35"/>
        <v>4218702.5287747961</v>
      </c>
      <c r="CL19" s="291">
        <f t="shared" si="36"/>
        <v>0</v>
      </c>
      <c r="CM19" s="291">
        <f t="shared" si="37"/>
        <v>0</v>
      </c>
      <c r="CN19" s="291">
        <f t="shared" si="38"/>
        <v>5947318.8458376117</v>
      </c>
      <c r="CO19" s="97">
        <f t="shared" si="39"/>
        <v>0</v>
      </c>
    </row>
    <row r="20" spans="1:93" x14ac:dyDescent="0.25">
      <c r="A20" s="284" t="s">
        <v>229</v>
      </c>
      <c r="B20" s="284"/>
      <c r="C20" s="287" t="s">
        <v>426</v>
      </c>
      <c r="D20" s="285">
        <f>'1.2 EDU Factors'!E18</f>
        <v>1</v>
      </c>
      <c r="E20" s="301">
        <f t="shared" si="0"/>
        <v>3890.0684978920403</v>
      </c>
      <c r="F20" s="301">
        <f t="shared" si="0"/>
        <v>13292.400959969333</v>
      </c>
      <c r="G20" s="326" t="str">
        <f t="shared" si="1"/>
        <v>n/a</v>
      </c>
      <c r="H20" s="301">
        <f t="shared" si="2"/>
        <v>10076.737549360278</v>
      </c>
      <c r="I20" s="301">
        <f t="shared" si="2"/>
        <v>3963.7841829580666</v>
      </c>
      <c r="J20" s="301">
        <f t="shared" si="2"/>
        <v>7916.7577777006809</v>
      </c>
      <c r="K20" s="326" t="str">
        <f t="shared" si="3"/>
        <v>n/a</v>
      </c>
      <c r="M20" s="287" t="s">
        <v>428</v>
      </c>
      <c r="N20" s="285">
        <f>'1.2 EDU Factors'!J18</f>
        <v>1</v>
      </c>
      <c r="O20" s="301">
        <f t="shared" si="19"/>
        <v>770.31059364198813</v>
      </c>
      <c r="P20" s="301">
        <f t="shared" si="4"/>
        <v>2632.1586059345209</v>
      </c>
      <c r="Q20" s="326" t="str">
        <f t="shared" si="20"/>
        <v>n/a</v>
      </c>
      <c r="R20" s="301">
        <f t="shared" si="4"/>
        <v>1995.3935741307489</v>
      </c>
      <c r="S20" s="301">
        <f t="shared" si="4"/>
        <v>784.90775900159736</v>
      </c>
      <c r="T20" s="301">
        <f t="shared" si="4"/>
        <v>1567.6748074654815</v>
      </c>
      <c r="U20" s="326" t="str">
        <f t="shared" si="21"/>
        <v>n/a</v>
      </c>
      <c r="V20" s="326"/>
      <c r="W20" s="287" t="s">
        <v>426</v>
      </c>
      <c r="X20" s="301">
        <f>'1.2 EDU Factors'!D18</f>
        <v>808</v>
      </c>
      <c r="Y20" s="301">
        <f t="shared" si="22"/>
        <v>3890.0684978920399</v>
      </c>
      <c r="Z20" s="301">
        <f t="shared" si="22"/>
        <v>13292.400959969329</v>
      </c>
      <c r="AA20" s="326" t="str">
        <f t="shared" si="5"/>
        <v>n/a</v>
      </c>
      <c r="AB20" s="301">
        <f t="shared" si="22"/>
        <v>10076.737549360281</v>
      </c>
      <c r="AC20" s="301">
        <f t="shared" si="22"/>
        <v>3963.7841829580666</v>
      </c>
      <c r="AD20" s="301">
        <f t="shared" si="22"/>
        <v>7916.7577777006818</v>
      </c>
      <c r="AE20" s="326" t="str">
        <f t="shared" si="7"/>
        <v>n/a</v>
      </c>
      <c r="AG20" s="287" t="s">
        <v>428</v>
      </c>
      <c r="AH20" s="285">
        <f>'1.2 EDU Factors'!H18</f>
        <v>5.05</v>
      </c>
      <c r="AI20" s="301">
        <f t="shared" si="8"/>
        <v>770.31059364198813</v>
      </c>
      <c r="AJ20" s="301">
        <f t="shared" si="9"/>
        <v>2632.1586059345209</v>
      </c>
      <c r="AK20" s="326" t="str">
        <f t="shared" si="23"/>
        <v>n/a</v>
      </c>
      <c r="AL20" s="301">
        <f t="shared" si="10"/>
        <v>1995.3935741307489</v>
      </c>
      <c r="AM20" s="301">
        <f t="shared" si="10"/>
        <v>784.90775900159736</v>
      </c>
      <c r="AN20" s="301">
        <f t="shared" si="10"/>
        <v>1567.6748074654815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630577.96397062589</v>
      </c>
      <c r="BB20" s="291">
        <f t="shared" si="12"/>
        <v>13731494.862337634</v>
      </c>
      <c r="BC20" s="291"/>
      <c r="BD20" s="291">
        <f t="shared" si="13"/>
        <v>19489010.20803519</v>
      </c>
      <c r="BE20" s="291">
        <f t="shared" si="14"/>
        <v>2163392.9249306526</v>
      </c>
      <c r="BF20" s="291">
        <f t="shared" si="15"/>
        <v>2177662.5619121264</v>
      </c>
      <c r="BG20" s="291">
        <f t="shared" si="26"/>
        <v>38192138.521186233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630577.96397062577</v>
      </c>
      <c r="BR20" s="291">
        <f t="shared" si="29"/>
        <v>13731494.86233763</v>
      </c>
      <c r="BS20" s="291"/>
      <c r="BT20" s="291">
        <f t="shared" si="16"/>
        <v>19489010.208035197</v>
      </c>
      <c r="BU20" s="291">
        <f t="shared" si="17"/>
        <v>2163392.9249306521</v>
      </c>
      <c r="BV20" s="291">
        <f t="shared" si="18"/>
        <v>2177662.5619121264</v>
      </c>
      <c r="BW20" s="291">
        <f t="shared" si="30"/>
        <v>38192138.521186233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630577.96397062577</v>
      </c>
      <c r="CI20" s="291">
        <f t="shared" si="34"/>
        <v>13731494.862337632</v>
      </c>
      <c r="CJ20" s="291"/>
      <c r="CK20" s="291">
        <f t="shared" si="35"/>
        <v>19489010.208035197</v>
      </c>
      <c r="CL20" s="291">
        <f t="shared" si="36"/>
        <v>2163392.9249306521</v>
      </c>
      <c r="CM20" s="291">
        <f t="shared" si="37"/>
        <v>2177662.5619121264</v>
      </c>
      <c r="CN20" s="291">
        <f t="shared" si="38"/>
        <v>38192138.521186233</v>
      </c>
      <c r="CO20" s="97">
        <f t="shared" si="39"/>
        <v>0</v>
      </c>
    </row>
    <row r="21" spans="1:93" x14ac:dyDescent="0.25">
      <c r="A21" s="274" t="s">
        <v>230</v>
      </c>
      <c r="B21" s="274"/>
      <c r="C21" s="278" t="s">
        <v>426</v>
      </c>
      <c r="D21" s="286">
        <f>'1.2 EDU Factors'!E19</f>
        <v>0.74257425742574257</v>
      </c>
      <c r="E21" s="291">
        <f t="shared" si="0"/>
        <v>2888.6647261574558</v>
      </c>
      <c r="F21" s="291">
        <f t="shared" si="0"/>
        <v>9870.5947722544552</v>
      </c>
      <c r="G21" s="325" t="str">
        <f t="shared" si="1"/>
        <v>n/a</v>
      </c>
      <c r="H21" s="291">
        <f t="shared" si="2"/>
        <v>7482.7259029903053</v>
      </c>
      <c r="I21" s="291">
        <f t="shared" si="2"/>
        <v>2943.4040962559902</v>
      </c>
      <c r="J21" s="291">
        <f t="shared" si="2"/>
        <v>5878.7805279955546</v>
      </c>
      <c r="K21" s="325" t="str">
        <f t="shared" si="3"/>
        <v>n/a</v>
      </c>
      <c r="M21" s="278" t="s">
        <v>426</v>
      </c>
      <c r="N21" s="286">
        <f>'1.2 EDU Factors'!J19</f>
        <v>3.75</v>
      </c>
      <c r="O21" s="291">
        <f t="shared" si="19"/>
        <v>2888.6647261574553</v>
      </c>
      <c r="P21" s="291">
        <f t="shared" si="4"/>
        <v>9870.5947722544533</v>
      </c>
      <c r="Q21" s="325" t="str">
        <f t="shared" si="20"/>
        <v>n/a</v>
      </c>
      <c r="R21" s="291">
        <f t="shared" si="4"/>
        <v>7482.725902990308</v>
      </c>
      <c r="S21" s="291">
        <f t="shared" si="4"/>
        <v>2943.4040962559902</v>
      </c>
      <c r="T21" s="291">
        <f t="shared" si="4"/>
        <v>5878.7805279955555</v>
      </c>
      <c r="U21" s="325" t="str">
        <f t="shared" si="21"/>
        <v>n/a</v>
      </c>
      <c r="V21" s="325"/>
      <c r="W21" s="278" t="s">
        <v>426</v>
      </c>
      <c r="X21" s="291">
        <f>'1.2 EDU Factors'!D19</f>
        <v>600</v>
      </c>
      <c r="Y21" s="291">
        <f t="shared" si="22"/>
        <v>2888.6647261574553</v>
      </c>
      <c r="Z21" s="291">
        <f t="shared" si="22"/>
        <v>9870.5947722544533</v>
      </c>
      <c r="AA21" s="325" t="str">
        <f t="shared" si="5"/>
        <v>n/a</v>
      </c>
      <c r="AB21" s="291">
        <f t="shared" si="22"/>
        <v>7482.7259029903071</v>
      </c>
      <c r="AC21" s="291">
        <f t="shared" si="22"/>
        <v>2943.4040962559898</v>
      </c>
      <c r="AD21" s="291">
        <f t="shared" si="22"/>
        <v>5878.7805279955555</v>
      </c>
      <c r="AE21" s="325" t="str">
        <f t="shared" si="7"/>
        <v>n/a</v>
      </c>
      <c r="AG21" s="278" t="s">
        <v>426</v>
      </c>
      <c r="AH21" s="286">
        <f>'1.2 EDU Factors'!H19</f>
        <v>1</v>
      </c>
      <c r="AI21" s="291">
        <f t="shared" si="8"/>
        <v>2888.6647261574553</v>
      </c>
      <c r="AJ21" s="291">
        <f t="shared" si="9"/>
        <v>9870.5947722544533</v>
      </c>
      <c r="AK21" s="325" t="str">
        <f t="shared" si="23"/>
        <v>n/a</v>
      </c>
      <c r="AL21" s="291">
        <f t="shared" si="10"/>
        <v>7482.7259029903071</v>
      </c>
      <c r="AM21" s="291">
        <f t="shared" si="10"/>
        <v>2943.4040962559898</v>
      </c>
      <c r="AN21" s="291">
        <f t="shared" si="10"/>
        <v>5878.7805279955555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122801.76226118002</v>
      </c>
      <c r="BB21" s="291">
        <f t="shared" si="12"/>
        <v>5210118.0293198591</v>
      </c>
      <c r="BC21" s="291"/>
      <c r="BD21" s="291">
        <f t="shared" si="13"/>
        <v>1347049.7527736784</v>
      </c>
      <c r="BE21" s="291">
        <f t="shared" si="14"/>
        <v>0</v>
      </c>
      <c r="BF21" s="291">
        <f t="shared" si="15"/>
        <v>0</v>
      </c>
      <c r="BG21" s="291">
        <f t="shared" si="26"/>
        <v>6679969.5443547182</v>
      </c>
      <c r="BI21" s="286">
        <f>SUMIF('1.3 Total EDUs Developed'!$B$11:$B$19,'1.1 Fee Summary By Land use'!$A21,'1.3 Total EDUs Developed'!$O$11:$O$19)</f>
        <v>159.41850374999999</v>
      </c>
      <c r="BJ21" s="286">
        <f>SUMIF('1.3 Total EDUs Developed'!$B$40:$B$62,'1.1 Fee Summary By Land use'!$A21,'1.3 Total EDUs Developed'!$O$40:$O$62)</f>
        <v>1979.4088462499999</v>
      </c>
      <c r="BL21" s="286">
        <f>SUMIF('1.3 Total EDUs Developed'!$B$70:$B$89,'1.1 Fee Summary By Land use'!$A21,'1.3 Total EDUs Developed'!$O$70:$O$89)</f>
        <v>675.07972875000007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2813.90707875</v>
      </c>
      <c r="BQ21" s="291">
        <f t="shared" si="28"/>
        <v>122801.76226118</v>
      </c>
      <c r="BR21" s="291">
        <f t="shared" si="29"/>
        <v>5210118.0293198582</v>
      </c>
      <c r="BS21" s="291"/>
      <c r="BT21" s="291">
        <f t="shared" si="16"/>
        <v>1347049.7527736791</v>
      </c>
      <c r="BU21" s="291">
        <f t="shared" si="17"/>
        <v>0</v>
      </c>
      <c r="BV21" s="291">
        <f t="shared" si="18"/>
        <v>0</v>
      </c>
      <c r="BW21" s="291">
        <f t="shared" si="30"/>
        <v>6679969.5443547172</v>
      </c>
      <c r="BX21" s="97">
        <f t="shared" si="31"/>
        <v>0</v>
      </c>
      <c r="BZ21" s="291">
        <f>SUMIF('1.3 Total EDUs Developed'!$B$11:$B$19,'1.1 Fee Summary By Land use'!$A21,'1.3 Total EDUs Developed'!$S$11:$S$19)</f>
        <v>25506.960599999999</v>
      </c>
      <c r="CA21" s="291">
        <f>SUMIF('1.3 Total EDUs Developed'!$B$40:$B$62,'1.1 Fee Summary By Land use'!$A21,'1.3 Total EDUs Developed'!$S$40:$S$62)</f>
        <v>316705.4154</v>
      </c>
      <c r="CB21" s="97"/>
      <c r="CC21" s="291">
        <f>SUMIF('1.3 Total EDUs Developed'!$B$70:$B$89,'1.1 Fee Summary By Land use'!$A21,'1.3 Total EDUs Developed'!$S$70:$S$89)</f>
        <v>108012.75660000001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450225.13260000001</v>
      </c>
      <c r="CH21" s="291">
        <f t="shared" si="33"/>
        <v>122801.76226118</v>
      </c>
      <c r="CI21" s="291">
        <f t="shared" si="34"/>
        <v>5210118.0293198582</v>
      </c>
      <c r="CJ21" s="291"/>
      <c r="CK21" s="291">
        <f t="shared" si="35"/>
        <v>1347049.7527736789</v>
      </c>
      <c r="CL21" s="291">
        <f t="shared" si="36"/>
        <v>0</v>
      </c>
      <c r="CM21" s="291">
        <f t="shared" si="37"/>
        <v>0</v>
      </c>
      <c r="CN21" s="291">
        <f t="shared" si="38"/>
        <v>6679969.5443547172</v>
      </c>
      <c r="CO21" s="97">
        <f t="shared" si="39"/>
        <v>0</v>
      </c>
    </row>
    <row r="22" spans="1:93" x14ac:dyDescent="0.25">
      <c r="A22" s="274" t="s">
        <v>231</v>
      </c>
      <c r="B22" s="274"/>
      <c r="C22" s="278" t="s">
        <v>426</v>
      </c>
      <c r="D22" s="286">
        <f>'1.2 EDU Factors'!E20</f>
        <v>1.6658415841584158</v>
      </c>
      <c r="E22" s="291">
        <f t="shared" si="0"/>
        <v>6480.2378690132255</v>
      </c>
      <c r="F22" s="291">
        <f t="shared" si="0"/>
        <v>22143.03427242416</v>
      </c>
      <c r="G22" s="325" t="str">
        <f t="shared" si="1"/>
        <v>n/a</v>
      </c>
      <c r="H22" s="291">
        <f t="shared" si="2"/>
        <v>16786.248442374916</v>
      </c>
      <c r="I22" s="291">
        <f t="shared" si="2"/>
        <v>6603.0365226009371</v>
      </c>
      <c r="J22" s="291">
        <f t="shared" si="2"/>
        <v>13188.064317803361</v>
      </c>
      <c r="K22" s="325" t="str">
        <f t="shared" si="3"/>
        <v>n/a</v>
      </c>
      <c r="M22" s="278" t="s">
        <v>428</v>
      </c>
      <c r="N22" s="286">
        <f>'1.2 EDU Factors'!J20</f>
        <v>0.73124999999999996</v>
      </c>
      <c r="O22" s="291">
        <f t="shared" si="19"/>
        <v>563.28962160070375</v>
      </c>
      <c r="P22" s="291">
        <f t="shared" si="4"/>
        <v>1924.7659805896183</v>
      </c>
      <c r="Q22" s="325" t="str">
        <f t="shared" si="20"/>
        <v>n/a</v>
      </c>
      <c r="R22" s="291">
        <f t="shared" si="4"/>
        <v>1459.13155108311</v>
      </c>
      <c r="S22" s="291">
        <f t="shared" si="4"/>
        <v>573.96379876991807</v>
      </c>
      <c r="T22" s="291">
        <f t="shared" si="4"/>
        <v>1146.3622029591334</v>
      </c>
      <c r="U22" s="325" t="str">
        <f t="shared" si="21"/>
        <v>n/a</v>
      </c>
      <c r="V22" s="325"/>
      <c r="W22" s="278" t="s">
        <v>426</v>
      </c>
      <c r="X22" s="291">
        <f>'1.2 EDU Factors'!D20</f>
        <v>1346</v>
      </c>
      <c r="Y22" s="291">
        <f t="shared" si="22"/>
        <v>6480.2378690132246</v>
      </c>
      <c r="Z22" s="291">
        <f t="shared" si="22"/>
        <v>22143.034272424156</v>
      </c>
      <c r="AA22" s="325" t="str">
        <f t="shared" si="5"/>
        <v>n/a</v>
      </c>
      <c r="AB22" s="291">
        <f t="shared" si="22"/>
        <v>16786.248442374923</v>
      </c>
      <c r="AC22" s="291">
        <f t="shared" si="22"/>
        <v>6603.0365226009371</v>
      </c>
      <c r="AD22" s="291">
        <f t="shared" si="22"/>
        <v>13188.064317803364</v>
      </c>
      <c r="AE22" s="325" t="str">
        <f t="shared" si="7"/>
        <v>n/a</v>
      </c>
      <c r="AG22" s="278" t="s">
        <v>428</v>
      </c>
      <c r="AH22" s="286">
        <f>'1.2 EDU Factors'!H20</f>
        <v>11.504273504273504</v>
      </c>
      <c r="AI22" s="291">
        <f t="shared" si="8"/>
        <v>563.28962160070375</v>
      </c>
      <c r="AJ22" s="291">
        <f t="shared" si="9"/>
        <v>1924.7659805896183</v>
      </c>
      <c r="AK22" s="325" t="str">
        <f t="shared" si="23"/>
        <v>n/a</v>
      </c>
      <c r="AL22" s="291">
        <f t="shared" si="10"/>
        <v>1459.13155108311</v>
      </c>
      <c r="AM22" s="291">
        <f t="shared" si="10"/>
        <v>573.96379876991796</v>
      </c>
      <c r="AN22" s="291">
        <f t="shared" si="10"/>
        <v>1146.3622029591334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362342.28011778696</v>
      </c>
      <c r="BB22" s="291">
        <f t="shared" si="12"/>
        <v>422872.03555256029</v>
      </c>
      <c r="BC22" s="291"/>
      <c r="BD22" s="291">
        <f t="shared" si="13"/>
        <v>1906526.7202513316</v>
      </c>
      <c r="BE22" s="291">
        <f t="shared" si="14"/>
        <v>323388.89707805117</v>
      </c>
      <c r="BF22" s="291">
        <f t="shared" si="15"/>
        <v>0</v>
      </c>
      <c r="BG22" s="291">
        <f t="shared" si="26"/>
        <v>3015129.9329997301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362342.28011778696</v>
      </c>
      <c r="BR22" s="291">
        <f t="shared" si="29"/>
        <v>422872.03555256024</v>
      </c>
      <c r="BS22" s="291"/>
      <c r="BT22" s="291">
        <f t="shared" si="16"/>
        <v>1906526.7202513325</v>
      </c>
      <c r="BU22" s="291">
        <f t="shared" si="17"/>
        <v>323388.89707805117</v>
      </c>
      <c r="BV22" s="291">
        <f t="shared" si="18"/>
        <v>0</v>
      </c>
      <c r="BW22" s="291">
        <f t="shared" si="30"/>
        <v>3015129.932999731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362342.28011778696</v>
      </c>
      <c r="CI22" s="291">
        <f t="shared" si="34"/>
        <v>422872.03555256024</v>
      </c>
      <c r="CJ22" s="291"/>
      <c r="CK22" s="291">
        <f t="shared" si="35"/>
        <v>1906526.7202513323</v>
      </c>
      <c r="CL22" s="291">
        <f t="shared" si="36"/>
        <v>323388.89707805117</v>
      </c>
      <c r="CM22" s="291">
        <f t="shared" si="37"/>
        <v>0</v>
      </c>
      <c r="CN22" s="291">
        <f t="shared" si="38"/>
        <v>3015129.9329997306</v>
      </c>
      <c r="CO22" s="97">
        <f t="shared" si="39"/>
        <v>0</v>
      </c>
    </row>
    <row r="23" spans="1:93" x14ac:dyDescent="0.25">
      <c r="A23" s="274" t="s">
        <v>232</v>
      </c>
      <c r="B23" s="274"/>
      <c r="C23" s="278" t="s">
        <v>426</v>
      </c>
      <c r="D23" s="286">
        <f>'1.2 EDU Factors'!E21</f>
        <v>1.386138613861386</v>
      </c>
      <c r="E23" s="291">
        <f t="shared" si="0"/>
        <v>5392.1741554939172</v>
      </c>
      <c r="F23" s="291">
        <f t="shared" si="0"/>
        <v>18425.110241541646</v>
      </c>
      <c r="G23" s="325" t="str">
        <f t="shared" si="1"/>
        <v>n/a</v>
      </c>
      <c r="H23" s="291">
        <f t="shared" si="2"/>
        <v>13967.755018915235</v>
      </c>
      <c r="I23" s="291">
        <f t="shared" si="2"/>
        <v>5494.3543130111811</v>
      </c>
      <c r="J23" s="291">
        <f t="shared" si="2"/>
        <v>10973.723652258368</v>
      </c>
      <c r="K23" s="325" t="str">
        <f t="shared" si="3"/>
        <v>n/a</v>
      </c>
      <c r="M23" s="278" t="s">
        <v>426</v>
      </c>
      <c r="N23" s="286">
        <f>'1.2 EDU Factors'!J21</f>
        <v>7</v>
      </c>
      <c r="O23" s="291">
        <f t="shared" si="19"/>
        <v>5392.1741554939172</v>
      </c>
      <c r="P23" s="291">
        <f t="shared" si="4"/>
        <v>18425.110241541646</v>
      </c>
      <c r="Q23" s="325" t="str">
        <f t="shared" si="20"/>
        <v>n/a</v>
      </c>
      <c r="R23" s="291">
        <f t="shared" si="4"/>
        <v>13967.755018915243</v>
      </c>
      <c r="S23" s="291">
        <f t="shared" si="4"/>
        <v>5494.3543130111811</v>
      </c>
      <c r="T23" s="291">
        <f t="shared" si="4"/>
        <v>10973.72365225837</v>
      </c>
      <c r="U23" s="325" t="str">
        <f t="shared" si="21"/>
        <v>n/a</v>
      </c>
      <c r="V23" s="325"/>
      <c r="W23" s="278" t="s">
        <v>426</v>
      </c>
      <c r="X23" s="291">
        <f>'1.2 EDU Factors'!D21</f>
        <v>1120</v>
      </c>
      <c r="Y23" s="291">
        <f t="shared" si="22"/>
        <v>5392.1741554939172</v>
      </c>
      <c r="Z23" s="291">
        <f t="shared" si="22"/>
        <v>18425.110241541646</v>
      </c>
      <c r="AA23" s="325" t="str">
        <f t="shared" si="5"/>
        <v>n/a</v>
      </c>
      <c r="AB23" s="291">
        <f t="shared" si="22"/>
        <v>13967.755018915241</v>
      </c>
      <c r="AC23" s="291">
        <f t="shared" si="22"/>
        <v>5494.3543130111811</v>
      </c>
      <c r="AD23" s="291">
        <f t="shared" si="22"/>
        <v>10973.723652258372</v>
      </c>
      <c r="AE23" s="325" t="str">
        <f t="shared" si="7"/>
        <v>n/a</v>
      </c>
      <c r="AG23" s="278" t="s">
        <v>426</v>
      </c>
      <c r="AH23" s="286">
        <f>'1.2 EDU Factors'!H21</f>
        <v>1</v>
      </c>
      <c r="AI23" s="291">
        <f t="shared" si="8"/>
        <v>5392.1741554939172</v>
      </c>
      <c r="AJ23" s="291">
        <f t="shared" si="9"/>
        <v>18425.110241541646</v>
      </c>
      <c r="AK23" s="325" t="str">
        <f t="shared" si="23"/>
        <v>n/a</v>
      </c>
      <c r="AL23" s="291">
        <f t="shared" si="10"/>
        <v>13967.755018915241</v>
      </c>
      <c r="AM23" s="291">
        <f t="shared" si="10"/>
        <v>5494.3543130111811</v>
      </c>
      <c r="AN23" s="291">
        <f t="shared" si="10"/>
        <v>10973.723652258372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70592.553841906745</v>
      </c>
      <c r="BB23" s="291">
        <f t="shared" si="12"/>
        <v>414306.3287371163</v>
      </c>
      <c r="BC23" s="291"/>
      <c r="BD23" s="291">
        <f t="shared" si="13"/>
        <v>286694.17789789336</v>
      </c>
      <c r="BE23" s="291">
        <f t="shared" si="14"/>
        <v>0</v>
      </c>
      <c r="BF23" s="291">
        <f t="shared" si="15"/>
        <v>0</v>
      </c>
      <c r="BG23" s="291">
        <f t="shared" si="26"/>
        <v>771593.06047691638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70592.553841906745</v>
      </c>
      <c r="BR23" s="291">
        <f t="shared" si="29"/>
        <v>414306.3287371163</v>
      </c>
      <c r="BS23" s="291"/>
      <c r="BT23" s="291">
        <f t="shared" si="16"/>
        <v>286694.17789789347</v>
      </c>
      <c r="BU23" s="291">
        <f t="shared" si="17"/>
        <v>0</v>
      </c>
      <c r="BV23" s="291">
        <f t="shared" si="18"/>
        <v>0</v>
      </c>
      <c r="BW23" s="291">
        <f t="shared" si="30"/>
        <v>771593.06047691649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70592.553841906745</v>
      </c>
      <c r="CI23" s="291">
        <f t="shared" si="34"/>
        <v>414306.3287371163</v>
      </c>
      <c r="CJ23" s="291"/>
      <c r="CK23" s="291">
        <f t="shared" si="35"/>
        <v>286694.17789789342</v>
      </c>
      <c r="CL23" s="291">
        <f t="shared" si="36"/>
        <v>0</v>
      </c>
      <c r="CM23" s="291">
        <f t="shared" si="37"/>
        <v>0</v>
      </c>
      <c r="CN23" s="291">
        <f t="shared" si="38"/>
        <v>771593.06047691638</v>
      </c>
      <c r="CO23" s="97">
        <f t="shared" si="39"/>
        <v>0</v>
      </c>
    </row>
    <row r="24" spans="1:93" x14ac:dyDescent="0.25">
      <c r="A24" s="274" t="s">
        <v>238</v>
      </c>
      <c r="B24" s="274"/>
      <c r="C24" s="278" t="s">
        <v>426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426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426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str">
        <f t="shared" si="5"/>
        <v>n/a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426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str">
        <f t="shared" si="23"/>
        <v>n/a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5">
      <c r="A25" s="274" t="s">
        <v>233</v>
      </c>
      <c r="B25" s="274"/>
      <c r="C25" s="278" t="s">
        <v>426</v>
      </c>
      <c r="D25" s="286">
        <f>'1.2 EDU Factors'!E23</f>
        <v>0.49504950495049505</v>
      </c>
      <c r="E25" s="291">
        <f t="shared" si="0"/>
        <v>1925.7764841049705</v>
      </c>
      <c r="F25" s="291">
        <f t="shared" si="0"/>
        <v>6580.3965148363031</v>
      </c>
      <c r="G25" s="325" t="str">
        <f t="shared" si="1"/>
        <v>n/a</v>
      </c>
      <c r="H25" s="291">
        <f t="shared" si="2"/>
        <v>4988.4839353268699</v>
      </c>
      <c r="I25" s="291">
        <f t="shared" si="2"/>
        <v>1962.2693975039933</v>
      </c>
      <c r="J25" s="291">
        <f t="shared" si="2"/>
        <v>3919.1870186637034</v>
      </c>
      <c r="K25" s="325" t="str">
        <f t="shared" si="3"/>
        <v>n/a</v>
      </c>
      <c r="M25" s="278" t="s">
        <v>426</v>
      </c>
      <c r="N25" s="286">
        <f>'1.2 EDU Factors'!J23</f>
        <v>2.5</v>
      </c>
      <c r="O25" s="291">
        <f t="shared" si="19"/>
        <v>1925.7764841049702</v>
      </c>
      <c r="P25" s="291">
        <f t="shared" si="4"/>
        <v>6580.3965148363022</v>
      </c>
      <c r="Q25" s="325" t="str">
        <f t="shared" si="20"/>
        <v>n/a</v>
      </c>
      <c r="R25" s="291">
        <f t="shared" si="4"/>
        <v>4988.4839353268726</v>
      </c>
      <c r="S25" s="291">
        <f t="shared" si="4"/>
        <v>1962.2693975039933</v>
      </c>
      <c r="T25" s="291">
        <f t="shared" si="4"/>
        <v>3919.1870186637038</v>
      </c>
      <c r="U25" s="325" t="str">
        <f t="shared" si="21"/>
        <v>n/a</v>
      </c>
      <c r="V25" s="325"/>
      <c r="W25" s="278" t="s">
        <v>426</v>
      </c>
      <c r="X25" s="291">
        <f>'1.2 EDU Factors'!D23</f>
        <v>400</v>
      </c>
      <c r="Y25" s="291">
        <f t="shared" si="22"/>
        <v>1925.7764841049702</v>
      </c>
      <c r="Z25" s="291">
        <f t="shared" si="22"/>
        <v>6580.3965148363022</v>
      </c>
      <c r="AA25" s="325" t="str">
        <f t="shared" si="5"/>
        <v>n/a</v>
      </c>
      <c r="AB25" s="291">
        <f t="shared" si="22"/>
        <v>4988.4839353268717</v>
      </c>
      <c r="AC25" s="291">
        <f t="shared" si="22"/>
        <v>1962.2693975039933</v>
      </c>
      <c r="AD25" s="291">
        <f t="shared" si="22"/>
        <v>3919.1870186637038</v>
      </c>
      <c r="AE25" s="325" t="str">
        <f t="shared" si="7"/>
        <v>n/a</v>
      </c>
      <c r="AG25" s="278" t="s">
        <v>426</v>
      </c>
      <c r="AH25" s="286">
        <f>'1.2 EDU Factors'!H23</f>
        <v>1</v>
      </c>
      <c r="AI25" s="291">
        <f t="shared" si="8"/>
        <v>1925.7764841049702</v>
      </c>
      <c r="AJ25" s="291">
        <f t="shared" si="9"/>
        <v>6580.3965148363022</v>
      </c>
      <c r="AK25" s="325" t="str">
        <f t="shared" si="23"/>
        <v>n/a</v>
      </c>
      <c r="AL25" s="291">
        <f t="shared" si="10"/>
        <v>4988.4839353268717</v>
      </c>
      <c r="AM25" s="291">
        <f t="shared" si="10"/>
        <v>1962.2693975039933</v>
      </c>
      <c r="AN25" s="291">
        <f t="shared" si="10"/>
        <v>3919.1870186637038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16576.953022374666</v>
      </c>
      <c r="BB25" s="291">
        <f t="shared" si="12"/>
        <v>291314.45641004283</v>
      </c>
      <c r="BC25" s="291"/>
      <c r="BD25" s="291">
        <f t="shared" si="13"/>
        <v>540510.73975777603</v>
      </c>
      <c r="BE25" s="291">
        <f t="shared" si="14"/>
        <v>0</v>
      </c>
      <c r="BF25" s="291">
        <f t="shared" si="15"/>
        <v>0</v>
      </c>
      <c r="BG25" s="291">
        <f t="shared" si="26"/>
        <v>848402.14919019351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16576.953022374666</v>
      </c>
      <c r="BR25" s="291">
        <f t="shared" si="29"/>
        <v>291314.45641004277</v>
      </c>
      <c r="BS25" s="291"/>
      <c r="BT25" s="291">
        <f t="shared" si="16"/>
        <v>540510.73975777626</v>
      </c>
      <c r="BU25" s="291">
        <f t="shared" si="17"/>
        <v>0</v>
      </c>
      <c r="BV25" s="291">
        <f t="shared" si="18"/>
        <v>0</v>
      </c>
      <c r="BW25" s="291">
        <f t="shared" si="30"/>
        <v>848402.14919019374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16576.953022374662</v>
      </c>
      <c r="CI25" s="291">
        <f t="shared" si="34"/>
        <v>291314.45641004277</v>
      </c>
      <c r="CJ25" s="291"/>
      <c r="CK25" s="291">
        <f t="shared" si="35"/>
        <v>540510.73975777626</v>
      </c>
      <c r="CL25" s="291">
        <f t="shared" si="36"/>
        <v>0</v>
      </c>
      <c r="CM25" s="291">
        <f t="shared" si="37"/>
        <v>0</v>
      </c>
      <c r="CN25" s="291">
        <f t="shared" si="38"/>
        <v>848402.14919019374</v>
      </c>
      <c r="CO25" s="97">
        <f t="shared" si="39"/>
        <v>0</v>
      </c>
    </row>
    <row r="26" spans="1:93" x14ac:dyDescent="0.25">
      <c r="A26" s="274" t="s">
        <v>239</v>
      </c>
      <c r="B26" s="274"/>
      <c r="C26" s="278" t="s">
        <v>426</v>
      </c>
      <c r="D26" s="286">
        <f>'1.2 EDU Factors'!E24</f>
        <v>0.52599009900990101</v>
      </c>
      <c r="E26" s="291">
        <f t="shared" si="0"/>
        <v>2046.1375143615312</v>
      </c>
      <c r="F26" s="291">
        <f t="shared" si="0"/>
        <v>6991.6712970135723</v>
      </c>
      <c r="G26" s="325" t="str">
        <f t="shared" si="1"/>
        <v>n/a</v>
      </c>
      <c r="H26" s="291">
        <f t="shared" si="2"/>
        <v>5300.2641812847996</v>
      </c>
      <c r="I26" s="291">
        <f t="shared" si="2"/>
        <v>2084.911234847993</v>
      </c>
      <c r="J26" s="291">
        <f t="shared" si="2"/>
        <v>4164.1362073301852</v>
      </c>
      <c r="K26" s="325" t="str">
        <f t="shared" si="3"/>
        <v>n/a</v>
      </c>
      <c r="M26" s="278" t="s">
        <v>426</v>
      </c>
      <c r="N26" s="286">
        <f>'1.2 EDU Factors'!J24</f>
        <v>2.65625</v>
      </c>
      <c r="O26" s="291">
        <f t="shared" si="19"/>
        <v>2046.137514361531</v>
      </c>
      <c r="P26" s="291">
        <f t="shared" si="4"/>
        <v>6991.6712970135713</v>
      </c>
      <c r="Q26" s="325" t="str">
        <f t="shared" si="20"/>
        <v>n/a</v>
      </c>
      <c r="R26" s="291">
        <f t="shared" si="4"/>
        <v>5300.2641812848015</v>
      </c>
      <c r="S26" s="291">
        <f t="shared" si="4"/>
        <v>2084.911234847993</v>
      </c>
      <c r="T26" s="291">
        <f t="shared" si="4"/>
        <v>4164.1362073301852</v>
      </c>
      <c r="U26" s="325" t="str">
        <f t="shared" si="21"/>
        <v>n/a</v>
      </c>
      <c r="V26" s="325"/>
      <c r="W26" s="278" t="s">
        <v>426</v>
      </c>
      <c r="X26" s="291">
        <f>'1.2 EDU Factors'!D24</f>
        <v>425</v>
      </c>
      <c r="Y26" s="291">
        <f t="shared" si="22"/>
        <v>2046.137514361531</v>
      </c>
      <c r="Z26" s="291">
        <f t="shared" si="22"/>
        <v>6991.6712970135704</v>
      </c>
      <c r="AA26" s="325" t="str">
        <f t="shared" si="5"/>
        <v>n/a</v>
      </c>
      <c r="AB26" s="291">
        <f t="shared" si="22"/>
        <v>5300.2641812848015</v>
      </c>
      <c r="AC26" s="291">
        <f t="shared" si="22"/>
        <v>2084.911234847993</v>
      </c>
      <c r="AD26" s="291">
        <f t="shared" si="22"/>
        <v>4164.1362073301852</v>
      </c>
      <c r="AE26" s="325" t="str">
        <f t="shared" si="7"/>
        <v>n/a</v>
      </c>
      <c r="AG26" s="278" t="s">
        <v>426</v>
      </c>
      <c r="AH26" s="286">
        <f>'1.2 EDU Factors'!H24</f>
        <v>1</v>
      </c>
      <c r="AI26" s="291">
        <f t="shared" si="8"/>
        <v>2046.137514361531</v>
      </c>
      <c r="AJ26" s="291">
        <f t="shared" si="9"/>
        <v>6991.6712970135704</v>
      </c>
      <c r="AK26" s="325" t="str">
        <f t="shared" si="23"/>
        <v>n/a</v>
      </c>
      <c r="AL26" s="291">
        <f t="shared" si="10"/>
        <v>5300.2641812848015</v>
      </c>
      <c r="AM26" s="291">
        <f t="shared" si="10"/>
        <v>2084.911234847993</v>
      </c>
      <c r="AN26" s="291">
        <f t="shared" si="10"/>
        <v>4164.1362073301852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1098921.2218116089</v>
      </c>
      <c r="BC26" s="291"/>
      <c r="BD26" s="291">
        <f t="shared" si="13"/>
        <v>450747.10180626751</v>
      </c>
      <c r="BE26" s="291">
        <f t="shared" si="14"/>
        <v>0</v>
      </c>
      <c r="BF26" s="291">
        <f t="shared" si="15"/>
        <v>0</v>
      </c>
      <c r="BG26" s="291">
        <f t="shared" si="26"/>
        <v>1549668.3236178765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1098921.2218116086</v>
      </c>
      <c r="BS26" s="291"/>
      <c r="BT26" s="291">
        <f t="shared" si="16"/>
        <v>450747.10180626775</v>
      </c>
      <c r="BU26" s="291">
        <f t="shared" si="17"/>
        <v>0</v>
      </c>
      <c r="BV26" s="291">
        <f t="shared" si="18"/>
        <v>0</v>
      </c>
      <c r="BW26" s="291">
        <f t="shared" si="30"/>
        <v>1549668.3236178765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1098921.2218116084</v>
      </c>
      <c r="CJ26" s="291"/>
      <c r="CK26" s="291">
        <f t="shared" si="35"/>
        <v>450747.10180626769</v>
      </c>
      <c r="CL26" s="291">
        <f t="shared" si="36"/>
        <v>0</v>
      </c>
      <c r="CM26" s="291">
        <f t="shared" si="37"/>
        <v>0</v>
      </c>
      <c r="CN26" s="291">
        <f t="shared" si="38"/>
        <v>1549668.323617876</v>
      </c>
      <c r="CO26" s="97">
        <f t="shared" si="39"/>
        <v>0</v>
      </c>
    </row>
    <row r="27" spans="1:93" x14ac:dyDescent="0.25">
      <c r="A27" s="274" t="s">
        <v>240</v>
      </c>
      <c r="B27" s="274"/>
      <c r="C27" s="278" t="s">
        <v>426</v>
      </c>
      <c r="D27" s="286">
        <f>'1.2 EDU Factors'!E25</f>
        <v>0</v>
      </c>
      <c r="E27" s="291">
        <f t="shared" si="0"/>
        <v>0</v>
      </c>
      <c r="F27" s="291">
        <f t="shared" si="0"/>
        <v>0</v>
      </c>
      <c r="G27" s="325" t="str">
        <f t="shared" si="1"/>
        <v>n/a</v>
      </c>
      <c r="H27" s="291">
        <f t="shared" si="2"/>
        <v>0</v>
      </c>
      <c r="I27" s="291">
        <f t="shared" si="2"/>
        <v>0</v>
      </c>
      <c r="J27" s="291">
        <f t="shared" si="2"/>
        <v>0</v>
      </c>
      <c r="K27" s="325" t="str">
        <f t="shared" si="3"/>
        <v>n/a</v>
      </c>
      <c r="M27" s="278" t="s">
        <v>426</v>
      </c>
      <c r="N27" s="286">
        <f>'1.2 EDU Factors'!J25</f>
        <v>0</v>
      </c>
      <c r="O27" s="291">
        <f t="shared" si="19"/>
        <v>0</v>
      </c>
      <c r="P27" s="291">
        <f t="shared" si="4"/>
        <v>0</v>
      </c>
      <c r="Q27" s="325" t="str">
        <f t="shared" si="20"/>
        <v>n/a</v>
      </c>
      <c r="R27" s="291">
        <f t="shared" si="4"/>
        <v>0</v>
      </c>
      <c r="S27" s="291">
        <f t="shared" si="4"/>
        <v>0</v>
      </c>
      <c r="T27" s="291">
        <f t="shared" si="4"/>
        <v>0</v>
      </c>
      <c r="U27" s="325" t="str">
        <f t="shared" si="21"/>
        <v>n/a</v>
      </c>
      <c r="V27" s="325"/>
      <c r="W27" s="278" t="s">
        <v>426</v>
      </c>
      <c r="X27" s="291">
        <f>'1.2 EDU Factors'!D25</f>
        <v>0</v>
      </c>
      <c r="Y27" s="291">
        <f t="shared" si="22"/>
        <v>0</v>
      </c>
      <c r="Z27" s="291">
        <f t="shared" si="22"/>
        <v>0</v>
      </c>
      <c r="AA27" s="325" t="str">
        <f t="shared" si="5"/>
        <v>n/a</v>
      </c>
      <c r="AB27" s="291">
        <f t="shared" si="22"/>
        <v>0</v>
      </c>
      <c r="AC27" s="291">
        <f t="shared" si="22"/>
        <v>0</v>
      </c>
      <c r="AD27" s="291">
        <f t="shared" si="22"/>
        <v>0</v>
      </c>
      <c r="AE27" s="325" t="str">
        <f t="shared" si="7"/>
        <v>n/a</v>
      </c>
      <c r="AG27" s="278" t="s">
        <v>426</v>
      </c>
      <c r="AH27" s="286">
        <f>'1.2 EDU Factors'!H25</f>
        <v>0</v>
      </c>
      <c r="AI27" s="291">
        <f t="shared" si="8"/>
        <v>0</v>
      </c>
      <c r="AJ27" s="291">
        <f t="shared" si="9"/>
        <v>0</v>
      </c>
      <c r="AK27" s="325" t="str">
        <f t="shared" si="23"/>
        <v>n/a</v>
      </c>
      <c r="AL27" s="291">
        <f t="shared" si="10"/>
        <v>0</v>
      </c>
      <c r="AM27" s="291">
        <f t="shared" si="10"/>
        <v>0</v>
      </c>
      <c r="AN27" s="291">
        <f t="shared" si="10"/>
        <v>0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0</v>
      </c>
      <c r="BC27" s="291"/>
      <c r="BD27" s="291">
        <f t="shared" si="13"/>
        <v>0</v>
      </c>
      <c r="BE27" s="291">
        <f t="shared" si="14"/>
        <v>0</v>
      </c>
      <c r="BF27" s="291">
        <f t="shared" si="15"/>
        <v>0</v>
      </c>
      <c r="BG27" s="291">
        <f t="shared" si="26"/>
        <v>0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0</v>
      </c>
      <c r="BL27" s="286">
        <f>SUMIF('1.3 Total EDUs Developed'!$B$70:$B$89,'1.1 Fee Summary By Land use'!$A27,'1.3 Total EDUs Developed'!$O$70:$O$89)</f>
        <v>0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0</v>
      </c>
      <c r="BQ27" s="291">
        <f t="shared" si="28"/>
        <v>0</v>
      </c>
      <c r="BR27" s="291">
        <f t="shared" si="29"/>
        <v>0</v>
      </c>
      <c r="BS27" s="291"/>
      <c r="BT27" s="291">
        <f t="shared" si="16"/>
        <v>0</v>
      </c>
      <c r="BU27" s="291">
        <f t="shared" si="17"/>
        <v>0</v>
      </c>
      <c r="BV27" s="291">
        <f t="shared" si="18"/>
        <v>0</v>
      </c>
      <c r="BW27" s="291">
        <f t="shared" si="30"/>
        <v>0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0</v>
      </c>
      <c r="CB27" s="97"/>
      <c r="CC27" s="291">
        <f>SUMIF('1.3 Total EDUs Developed'!$B$70:$B$89,'1.1 Fee Summary By Land use'!$A27,'1.3 Total EDUs Developed'!$S$70:$S$89)</f>
        <v>0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0</v>
      </c>
      <c r="CH27" s="291">
        <f t="shared" si="33"/>
        <v>0</v>
      </c>
      <c r="CI27" s="291">
        <f t="shared" si="34"/>
        <v>0</v>
      </c>
      <c r="CJ27" s="291"/>
      <c r="CK27" s="291">
        <f t="shared" si="35"/>
        <v>0</v>
      </c>
      <c r="CL27" s="291">
        <f t="shared" si="36"/>
        <v>0</v>
      </c>
      <c r="CM27" s="291">
        <f t="shared" si="37"/>
        <v>0</v>
      </c>
      <c r="CN27" s="291">
        <f t="shared" si="38"/>
        <v>0</v>
      </c>
      <c r="CO27" s="97">
        <f t="shared" si="39"/>
        <v>0</v>
      </c>
    </row>
    <row r="28" spans="1:93" x14ac:dyDescent="0.25">
      <c r="A28" s="274" t="s">
        <v>241</v>
      </c>
      <c r="B28" s="274"/>
      <c r="C28" s="278" t="s">
        <v>426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426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426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str">
        <f t="shared" si="5"/>
        <v>n/a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426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str">
        <f t="shared" si="23"/>
        <v>n/a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5">
      <c r="A29" s="274" t="s">
        <v>253</v>
      </c>
      <c r="B29" s="274"/>
      <c r="C29" s="278" t="s">
        <v>426</v>
      </c>
      <c r="D29" s="286">
        <f>'1.2 EDU Factors'!E27</f>
        <v>1.4851485148514851</v>
      </c>
      <c r="E29" s="291">
        <f t="shared" si="0"/>
        <v>5777.3294523149116</v>
      </c>
      <c r="F29" s="291">
        <f t="shared" si="0"/>
        <v>19741.18954450891</v>
      </c>
      <c r="G29" s="325" t="str">
        <f t="shared" si="1"/>
        <v>n/a</v>
      </c>
      <c r="H29" s="291">
        <f t="shared" si="2"/>
        <v>14965.451805980611</v>
      </c>
      <c r="I29" s="291">
        <f t="shared" si="2"/>
        <v>5886.8081925119805</v>
      </c>
      <c r="J29" s="291">
        <f t="shared" si="2"/>
        <v>11757.561055991109</v>
      </c>
      <c r="K29" s="325" t="str">
        <f t="shared" si="3"/>
        <v>n/a</v>
      </c>
      <c r="M29" s="278" t="s">
        <v>426</v>
      </c>
      <c r="N29" s="286">
        <f>'1.2 EDU Factors'!J27</f>
        <v>7.5</v>
      </c>
      <c r="O29" s="291">
        <f t="shared" si="19"/>
        <v>5777.3294523149107</v>
      </c>
      <c r="P29" s="291">
        <f t="shared" si="4"/>
        <v>19741.189544508907</v>
      </c>
      <c r="Q29" s="325" t="str">
        <f t="shared" si="20"/>
        <v>n/a</v>
      </c>
      <c r="R29" s="291">
        <f t="shared" si="4"/>
        <v>14965.451805980616</v>
      </c>
      <c r="S29" s="291">
        <f t="shared" si="4"/>
        <v>5886.8081925119805</v>
      </c>
      <c r="T29" s="291">
        <f t="shared" si="4"/>
        <v>11757.561055991111</v>
      </c>
      <c r="U29" s="325" t="str">
        <f t="shared" si="21"/>
        <v>n/a</v>
      </c>
      <c r="V29" s="325"/>
      <c r="W29" s="278" t="s">
        <v>426</v>
      </c>
      <c r="X29" s="291">
        <f>'1.2 EDU Factors'!D27</f>
        <v>1200</v>
      </c>
      <c r="Y29" s="291">
        <f t="shared" si="22"/>
        <v>5777.3294523149107</v>
      </c>
      <c r="Z29" s="291">
        <f t="shared" si="22"/>
        <v>19741.189544508907</v>
      </c>
      <c r="AA29" s="325" t="str">
        <f t="shared" si="5"/>
        <v>n/a</v>
      </c>
      <c r="AB29" s="291">
        <f t="shared" si="22"/>
        <v>14965.451805980614</v>
      </c>
      <c r="AC29" s="291">
        <f t="shared" si="22"/>
        <v>5886.8081925119795</v>
      </c>
      <c r="AD29" s="291">
        <f t="shared" si="22"/>
        <v>11757.561055991111</v>
      </c>
      <c r="AE29" s="325" t="str">
        <f t="shared" si="7"/>
        <v>n/a</v>
      </c>
      <c r="AG29" s="278" t="s">
        <v>426</v>
      </c>
      <c r="AH29" s="286">
        <f>'1.2 EDU Factors'!H27</f>
        <v>1</v>
      </c>
      <c r="AI29" s="291">
        <f t="shared" ref="AI29:AI38" si="40">IF($AH29=0,0,Y29/$AH29)</f>
        <v>5777.3294523149107</v>
      </c>
      <c r="AJ29" s="291">
        <f t="shared" ref="AJ29:AJ38" si="41">IF($AH29=0,0,Z29/$AH29)</f>
        <v>19741.189544508907</v>
      </c>
      <c r="AK29" s="325" t="str">
        <f t="shared" si="23"/>
        <v>n/a</v>
      </c>
      <c r="AL29" s="291">
        <f t="shared" si="10"/>
        <v>14965.451805980614</v>
      </c>
      <c r="AM29" s="291">
        <f t="shared" si="10"/>
        <v>5886.8081925119795</v>
      </c>
      <c r="AN29" s="291">
        <f t="shared" si="10"/>
        <v>11757.561055991111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1013753.5246055307</v>
      </c>
      <c r="BE29" s="291">
        <f t="shared" si="14"/>
        <v>82418.578341629647</v>
      </c>
      <c r="BF29" s="291">
        <f t="shared" si="15"/>
        <v>0</v>
      </c>
      <c r="BG29" s="291">
        <f t="shared" si="26"/>
        <v>1096172.1029471604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1013753.5246055311</v>
      </c>
      <c r="BU29" s="291">
        <f t="shared" si="17"/>
        <v>82418.578341629647</v>
      </c>
      <c r="BV29" s="291">
        <f t="shared" si="18"/>
        <v>0</v>
      </c>
      <c r="BW29" s="291">
        <f t="shared" si="30"/>
        <v>1096172.1029471608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1013753.524605531</v>
      </c>
      <c r="CL29" s="291">
        <f t="shared" si="36"/>
        <v>82418.578341629633</v>
      </c>
      <c r="CM29" s="291">
        <f t="shared" si="37"/>
        <v>0</v>
      </c>
      <c r="CN29" s="291">
        <f t="shared" si="38"/>
        <v>1096172.1029471606</v>
      </c>
      <c r="CO29" s="97">
        <f t="shared" si="39"/>
        <v>0</v>
      </c>
    </row>
    <row r="30" spans="1:93" x14ac:dyDescent="0.25">
      <c r="A30" s="274" t="s">
        <v>242</v>
      </c>
      <c r="B30" s="274"/>
      <c r="C30" s="278" t="s">
        <v>426</v>
      </c>
      <c r="D30" s="286">
        <f>'1.2 EDU Factors'!E28</f>
        <v>3.0606435643564356</v>
      </c>
      <c r="E30" s="291">
        <f t="shared" si="0"/>
        <v>11906.113112978979</v>
      </c>
      <c r="F30" s="291">
        <f t="shared" si="0"/>
        <v>40683.301452975444</v>
      </c>
      <c r="G30" s="325" t="str">
        <f t="shared" si="1"/>
        <v>n/a</v>
      </c>
      <c r="H30" s="291">
        <f t="shared" si="2"/>
        <v>30841.301930158374</v>
      </c>
      <c r="I30" s="291">
        <f t="shared" si="2"/>
        <v>12131.730550068438</v>
      </c>
      <c r="J30" s="291">
        <f t="shared" si="2"/>
        <v>24230.373742888347</v>
      </c>
      <c r="K30" s="325" t="str">
        <f t="shared" si="3"/>
        <v>n/a</v>
      </c>
      <c r="M30" s="278" t="s">
        <v>426</v>
      </c>
      <c r="N30" s="286">
        <f>'1.2 EDU Factors'!J28</f>
        <v>15.456250000000001</v>
      </c>
      <c r="O30" s="291">
        <f t="shared" si="19"/>
        <v>11906.113112978979</v>
      </c>
      <c r="P30" s="291">
        <f t="shared" si="19"/>
        <v>40683.301452975444</v>
      </c>
      <c r="Q30" s="325" t="str">
        <f t="shared" si="20"/>
        <v>n/a</v>
      </c>
      <c r="R30" s="291">
        <f t="shared" si="19"/>
        <v>30841.301930158388</v>
      </c>
      <c r="S30" s="291">
        <f t="shared" si="19"/>
        <v>12131.73055006844</v>
      </c>
      <c r="T30" s="291">
        <f t="shared" si="19"/>
        <v>24230.373742888351</v>
      </c>
      <c r="U30" s="325" t="str">
        <f t="shared" si="21"/>
        <v>n/a</v>
      </c>
      <c r="V30" s="325"/>
      <c r="W30" s="278" t="s">
        <v>426</v>
      </c>
      <c r="X30" s="291">
        <f>'1.2 EDU Factors'!D28</f>
        <v>2473</v>
      </c>
      <c r="Y30" s="291">
        <f t="shared" si="22"/>
        <v>11906.113112978979</v>
      </c>
      <c r="Z30" s="291">
        <f t="shared" si="22"/>
        <v>40683.301452975436</v>
      </c>
      <c r="AA30" s="325" t="str">
        <f t="shared" si="5"/>
        <v>n/a</v>
      </c>
      <c r="AB30" s="291">
        <f t="shared" si="22"/>
        <v>30841.301930158384</v>
      </c>
      <c r="AC30" s="291">
        <f t="shared" si="22"/>
        <v>12131.730550068438</v>
      </c>
      <c r="AD30" s="291">
        <f t="shared" si="22"/>
        <v>24230.373742888351</v>
      </c>
      <c r="AE30" s="325" t="str">
        <f t="shared" si="7"/>
        <v>n/a</v>
      </c>
      <c r="AG30" s="278" t="s">
        <v>426</v>
      </c>
      <c r="AH30" s="286">
        <f>'1.2 EDU Factors'!H28</f>
        <v>1</v>
      </c>
      <c r="AI30" s="291">
        <f t="shared" si="40"/>
        <v>11906.113112978979</v>
      </c>
      <c r="AJ30" s="291">
        <f t="shared" si="41"/>
        <v>40683.301452975436</v>
      </c>
      <c r="AK30" s="325" t="str">
        <f t="shared" si="23"/>
        <v>n/a</v>
      </c>
      <c r="AL30" s="291">
        <f t="shared" si="10"/>
        <v>30841.301930158384</v>
      </c>
      <c r="AM30" s="291">
        <f t="shared" si="10"/>
        <v>12131.730550068438</v>
      </c>
      <c r="AN30" s="291">
        <f t="shared" si="10"/>
        <v>24230.373742888351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350346.66705040436</v>
      </c>
      <c r="BC30" s="291"/>
      <c r="BD30" s="291">
        <f t="shared" si="13"/>
        <v>1812003.6224929316</v>
      </c>
      <c r="BE30" s="291">
        <f t="shared" si="14"/>
        <v>239746.78841930715</v>
      </c>
      <c r="BF30" s="291">
        <f t="shared" si="15"/>
        <v>0</v>
      </c>
      <c r="BG30" s="291">
        <f t="shared" si="26"/>
        <v>2402097.077962643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350346.66705040436</v>
      </c>
      <c r="BS30" s="291"/>
      <c r="BT30" s="291">
        <f t="shared" ref="BT30:BT38" si="43">BL30*R$12</f>
        <v>1812003.6224929325</v>
      </c>
      <c r="BU30" s="291">
        <f t="shared" ref="BU30:BU38" si="44">BM30*S$12</f>
        <v>239746.78841930718</v>
      </c>
      <c r="BV30" s="291">
        <f t="shared" ref="BV30:BV38" si="45">BN30*T$12</f>
        <v>0</v>
      </c>
      <c r="BW30" s="291">
        <f t="shared" si="30"/>
        <v>2402097.0779626439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350346.66705040436</v>
      </c>
      <c r="CJ30" s="291"/>
      <c r="CK30" s="291">
        <f t="shared" si="35"/>
        <v>1812003.6224929322</v>
      </c>
      <c r="CL30" s="291">
        <f t="shared" si="36"/>
        <v>239746.78841930718</v>
      </c>
      <c r="CM30" s="291">
        <f t="shared" si="37"/>
        <v>0</v>
      </c>
      <c r="CN30" s="291">
        <f t="shared" si="38"/>
        <v>2402097.0779626439</v>
      </c>
      <c r="CO30" s="97">
        <f t="shared" si="39"/>
        <v>0</v>
      </c>
    </row>
    <row r="31" spans="1:93" x14ac:dyDescent="0.25">
      <c r="A31" s="274" t="s">
        <v>243</v>
      </c>
      <c r="B31" s="274"/>
      <c r="C31" s="278" t="s">
        <v>426</v>
      </c>
      <c r="D31" s="286">
        <f>'1.2 EDU Factors'!E29</f>
        <v>0.92821782178217827</v>
      </c>
      <c r="E31" s="291">
        <f t="shared" si="0"/>
        <v>3610.8309076968198</v>
      </c>
      <c r="F31" s="291">
        <f t="shared" si="0"/>
        <v>12338.24346531807</v>
      </c>
      <c r="G31" s="325" t="str">
        <f t="shared" si="1"/>
        <v>n/a</v>
      </c>
      <c r="H31" s="291">
        <f t="shared" si="2"/>
        <v>9353.407378737882</v>
      </c>
      <c r="I31" s="291">
        <f t="shared" si="2"/>
        <v>3679.2551203199878</v>
      </c>
      <c r="J31" s="291">
        <f t="shared" si="2"/>
        <v>7348.475659994444</v>
      </c>
      <c r="K31" s="325" t="str">
        <f t="shared" si="3"/>
        <v>n/a</v>
      </c>
      <c r="M31" s="278" t="s">
        <v>426</v>
      </c>
      <c r="N31" s="286">
        <f>'1.2 EDU Factors'!J29</f>
        <v>4.6875</v>
      </c>
      <c r="O31" s="291">
        <f t="shared" si="19"/>
        <v>3610.8309076968194</v>
      </c>
      <c r="P31" s="291">
        <f t="shared" si="19"/>
        <v>12338.243465318066</v>
      </c>
      <c r="Q31" s="325" t="str">
        <f t="shared" si="20"/>
        <v>n/a</v>
      </c>
      <c r="R31" s="291">
        <f t="shared" si="19"/>
        <v>9353.4073787378857</v>
      </c>
      <c r="S31" s="291">
        <f t="shared" si="19"/>
        <v>3679.2551203199878</v>
      </c>
      <c r="T31" s="291">
        <f t="shared" si="19"/>
        <v>7348.4756599944449</v>
      </c>
      <c r="U31" s="325" t="str">
        <f t="shared" si="21"/>
        <v>n/a</v>
      </c>
      <c r="V31" s="325"/>
      <c r="W31" s="278" t="s">
        <v>426</v>
      </c>
      <c r="X31" s="291">
        <f>'1.2 EDU Factors'!D29</f>
        <v>750</v>
      </c>
      <c r="Y31" s="291">
        <f t="shared" si="22"/>
        <v>3610.8309076968194</v>
      </c>
      <c r="Z31" s="291">
        <f t="shared" si="22"/>
        <v>12338.243465318066</v>
      </c>
      <c r="AA31" s="325" t="str">
        <f t="shared" si="5"/>
        <v>n/a</v>
      </c>
      <c r="AB31" s="291">
        <f t="shared" si="22"/>
        <v>9353.4073787378838</v>
      </c>
      <c r="AC31" s="291">
        <f t="shared" si="22"/>
        <v>3679.2551203199873</v>
      </c>
      <c r="AD31" s="291">
        <f t="shared" si="22"/>
        <v>7348.4756599944449</v>
      </c>
      <c r="AE31" s="325" t="str">
        <f t="shared" si="7"/>
        <v>n/a</v>
      </c>
      <c r="AG31" s="278" t="s">
        <v>426</v>
      </c>
      <c r="AH31" s="286">
        <f>'1.2 EDU Factors'!H29</f>
        <v>1</v>
      </c>
      <c r="AI31" s="291">
        <f t="shared" si="40"/>
        <v>3610.8309076968194</v>
      </c>
      <c r="AJ31" s="291">
        <f t="shared" si="41"/>
        <v>12338.243465318066</v>
      </c>
      <c r="AK31" s="325" t="str">
        <f t="shared" si="23"/>
        <v>n/a</v>
      </c>
      <c r="AL31" s="291">
        <f t="shared" si="10"/>
        <v>9353.4073787378838</v>
      </c>
      <c r="AM31" s="291">
        <f t="shared" si="10"/>
        <v>3679.2551203199873</v>
      </c>
      <c r="AN31" s="291">
        <f t="shared" si="10"/>
        <v>7348.4756599944449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99778.876438991239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99778.876438991239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99778.87643899121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99778.87643899121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99778.876438991196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99778.876438991196</v>
      </c>
      <c r="CO31" s="97">
        <f t="shared" si="39"/>
        <v>0</v>
      </c>
    </row>
    <row r="32" spans="1:93" x14ac:dyDescent="0.25">
      <c r="A32" s="274" t="s">
        <v>244</v>
      </c>
      <c r="B32" s="274"/>
      <c r="C32" s="278" t="s">
        <v>426</v>
      </c>
      <c r="D32" s="286">
        <f>'1.2 EDU Factors'!E30</f>
        <v>1</v>
      </c>
      <c r="E32" s="291">
        <f t="shared" si="0"/>
        <v>3890.0684978920403</v>
      </c>
      <c r="F32" s="291">
        <f t="shared" si="0"/>
        <v>13292.400959969333</v>
      </c>
      <c r="G32" s="325" t="str">
        <f t="shared" si="1"/>
        <v>n/a</v>
      </c>
      <c r="H32" s="291">
        <f t="shared" si="2"/>
        <v>10076.737549360278</v>
      </c>
      <c r="I32" s="291">
        <f t="shared" si="2"/>
        <v>3963.7841829580666</v>
      </c>
      <c r="J32" s="291">
        <f t="shared" si="2"/>
        <v>7916.7577777006809</v>
      </c>
      <c r="K32" s="325" t="str">
        <f t="shared" si="3"/>
        <v>n/a</v>
      </c>
      <c r="M32" s="278" t="s">
        <v>428</v>
      </c>
      <c r="N32" s="286">
        <f>'1.2 EDU Factors'!J30</f>
        <v>1</v>
      </c>
      <c r="O32" s="291">
        <f t="shared" si="19"/>
        <v>770.31059364198813</v>
      </c>
      <c r="P32" s="291">
        <f t="shared" si="19"/>
        <v>2632.1586059345209</v>
      </c>
      <c r="Q32" s="325" t="str">
        <f t="shared" si="20"/>
        <v>n/a</v>
      </c>
      <c r="R32" s="291">
        <f t="shared" si="19"/>
        <v>1995.3935741307489</v>
      </c>
      <c r="S32" s="291">
        <f t="shared" si="19"/>
        <v>784.90775900159736</v>
      </c>
      <c r="T32" s="291">
        <f t="shared" si="19"/>
        <v>1567.6748074654815</v>
      </c>
      <c r="U32" s="325" t="str">
        <f t="shared" si="21"/>
        <v>n/a</v>
      </c>
      <c r="V32" s="325"/>
      <c r="W32" s="278" t="s">
        <v>426</v>
      </c>
      <c r="X32" s="291">
        <f>'1.2 EDU Factors'!D30</f>
        <v>808</v>
      </c>
      <c r="Y32" s="291">
        <f t="shared" si="22"/>
        <v>3890.0684978920399</v>
      </c>
      <c r="Z32" s="291">
        <f t="shared" si="22"/>
        <v>13292.400959969329</v>
      </c>
      <c r="AA32" s="325" t="str">
        <f t="shared" si="5"/>
        <v>n/a</v>
      </c>
      <c r="AB32" s="291">
        <f t="shared" si="22"/>
        <v>10076.737549360281</v>
      </c>
      <c r="AC32" s="291">
        <f t="shared" si="22"/>
        <v>3963.7841829580666</v>
      </c>
      <c r="AD32" s="291">
        <f t="shared" si="22"/>
        <v>7916.7577777006818</v>
      </c>
      <c r="AE32" s="325" t="str">
        <f t="shared" si="7"/>
        <v>n/a</v>
      </c>
      <c r="AG32" s="278" t="s">
        <v>428</v>
      </c>
      <c r="AH32" s="286">
        <f>'1.2 EDU Factors'!H30</f>
        <v>5.05</v>
      </c>
      <c r="AI32" s="291">
        <f t="shared" si="40"/>
        <v>770.31059364198813</v>
      </c>
      <c r="AJ32" s="291">
        <f t="shared" si="41"/>
        <v>2632.1586059345209</v>
      </c>
      <c r="AK32" s="325" t="str">
        <f t="shared" si="23"/>
        <v>n/a</v>
      </c>
      <c r="AL32" s="291">
        <f t="shared" si="10"/>
        <v>1995.3935741307489</v>
      </c>
      <c r="AM32" s="291">
        <f t="shared" si="10"/>
        <v>784.90775900159736</v>
      </c>
      <c r="AN32" s="291">
        <f t="shared" si="10"/>
        <v>1567.6748074654815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2005490.1520971523</v>
      </c>
      <c r="BC32" s="291"/>
      <c r="BD32" s="291">
        <f t="shared" si="13"/>
        <v>970309.52246651647</v>
      </c>
      <c r="BE32" s="291">
        <f t="shared" si="14"/>
        <v>115361.4920718981</v>
      </c>
      <c r="BF32" s="291">
        <f t="shared" si="15"/>
        <v>0</v>
      </c>
      <c r="BG32" s="291">
        <f t="shared" si="26"/>
        <v>3091161.1666355669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2005490.1520971521</v>
      </c>
      <c r="BS32" s="291"/>
      <c r="BT32" s="291">
        <f t="shared" si="43"/>
        <v>970309.52246651682</v>
      </c>
      <c r="BU32" s="291">
        <f t="shared" si="44"/>
        <v>115361.49207189809</v>
      </c>
      <c r="BV32" s="291">
        <f t="shared" si="45"/>
        <v>0</v>
      </c>
      <c r="BW32" s="291">
        <f t="shared" si="30"/>
        <v>3091161.1666355669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2005490.1520971518</v>
      </c>
      <c r="CJ32" s="291"/>
      <c r="CK32" s="291">
        <f t="shared" si="35"/>
        <v>970309.5224665167</v>
      </c>
      <c r="CL32" s="291">
        <f t="shared" si="36"/>
        <v>115361.4920718981</v>
      </c>
      <c r="CM32" s="291">
        <f t="shared" si="37"/>
        <v>0</v>
      </c>
      <c r="CN32" s="291">
        <f t="shared" si="38"/>
        <v>3091161.1666355669</v>
      </c>
      <c r="CO32" s="97">
        <f t="shared" si="39"/>
        <v>0</v>
      </c>
    </row>
    <row r="33" spans="1:93" x14ac:dyDescent="0.25">
      <c r="A33" s="274" t="s">
        <v>245</v>
      </c>
      <c r="B33" s="274"/>
      <c r="C33" s="278" t="s">
        <v>426</v>
      </c>
      <c r="D33" s="286">
        <f>'1.2 EDU Factors'!E31</f>
        <v>0.74257425742574257</v>
      </c>
      <c r="E33" s="291">
        <f t="shared" si="0"/>
        <v>2888.6647261574558</v>
      </c>
      <c r="F33" s="291">
        <f t="shared" si="0"/>
        <v>9870.5947722544552</v>
      </c>
      <c r="G33" s="325" t="str">
        <f t="shared" si="1"/>
        <v>n/a</v>
      </c>
      <c r="H33" s="291">
        <f t="shared" si="2"/>
        <v>7482.7259029903053</v>
      </c>
      <c r="I33" s="291">
        <f t="shared" si="2"/>
        <v>2943.4040962559902</v>
      </c>
      <c r="J33" s="291">
        <f t="shared" si="2"/>
        <v>5878.7805279955546</v>
      </c>
      <c r="K33" s="325" t="str">
        <f t="shared" si="3"/>
        <v>n/a</v>
      </c>
      <c r="M33" s="278" t="s">
        <v>426</v>
      </c>
      <c r="N33" s="286">
        <f>'1.2 EDU Factors'!J31</f>
        <v>3.75</v>
      </c>
      <c r="O33" s="291">
        <f t="shared" si="19"/>
        <v>2888.6647261574553</v>
      </c>
      <c r="P33" s="291">
        <f t="shared" si="19"/>
        <v>9870.5947722544533</v>
      </c>
      <c r="Q33" s="325" t="str">
        <f t="shared" si="20"/>
        <v>n/a</v>
      </c>
      <c r="R33" s="291">
        <f t="shared" si="19"/>
        <v>7482.725902990308</v>
      </c>
      <c r="S33" s="291">
        <f t="shared" si="19"/>
        <v>2943.4040962559902</v>
      </c>
      <c r="T33" s="291">
        <f t="shared" si="19"/>
        <v>5878.7805279955555</v>
      </c>
      <c r="U33" s="325" t="str">
        <f t="shared" si="21"/>
        <v>n/a</v>
      </c>
      <c r="V33" s="325"/>
      <c r="W33" s="278" t="s">
        <v>426</v>
      </c>
      <c r="X33" s="291">
        <f>'1.2 EDU Factors'!D31</f>
        <v>600</v>
      </c>
      <c r="Y33" s="291">
        <f t="shared" si="22"/>
        <v>2888.6647261574553</v>
      </c>
      <c r="Z33" s="291">
        <f t="shared" si="22"/>
        <v>9870.5947722544533</v>
      </c>
      <c r="AA33" s="325" t="str">
        <f t="shared" si="5"/>
        <v>n/a</v>
      </c>
      <c r="AB33" s="291">
        <f t="shared" si="22"/>
        <v>7482.7259029903071</v>
      </c>
      <c r="AC33" s="291">
        <f t="shared" si="22"/>
        <v>2943.4040962559898</v>
      </c>
      <c r="AD33" s="291">
        <f t="shared" si="22"/>
        <v>5878.7805279955555</v>
      </c>
      <c r="AE33" s="325" t="str">
        <f t="shared" si="7"/>
        <v>n/a</v>
      </c>
      <c r="AG33" s="278" t="s">
        <v>426</v>
      </c>
      <c r="AH33" s="286">
        <f>'1.2 EDU Factors'!H31</f>
        <v>1</v>
      </c>
      <c r="AI33" s="291">
        <f t="shared" si="40"/>
        <v>2888.6647261574553</v>
      </c>
      <c r="AJ33" s="291">
        <f t="shared" si="41"/>
        <v>9870.5947722544533</v>
      </c>
      <c r="AK33" s="325" t="str">
        <f t="shared" si="23"/>
        <v>n/a</v>
      </c>
      <c r="AL33" s="291">
        <f t="shared" si="10"/>
        <v>7482.7259029903071</v>
      </c>
      <c r="AM33" s="291">
        <f t="shared" si="10"/>
        <v>2943.4040962559898</v>
      </c>
      <c r="AN33" s="291">
        <f t="shared" si="10"/>
        <v>5878.7805279955555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225936.86805385863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225936.86805385863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225936.86805385858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225936.86805385858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225936.86805385858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225936.86805385858</v>
      </c>
      <c r="CO33" s="97">
        <f t="shared" si="39"/>
        <v>0</v>
      </c>
    </row>
    <row r="34" spans="1:93" x14ac:dyDescent="0.25">
      <c r="A34" s="274" t="s">
        <v>246</v>
      </c>
      <c r="B34" s="274"/>
      <c r="C34" s="278" t="s">
        <v>426</v>
      </c>
      <c r="D34" s="286">
        <f>'1.2 EDU Factors'!E32</f>
        <v>1.6658415841584158</v>
      </c>
      <c r="E34" s="291">
        <f t="shared" si="0"/>
        <v>6480.2378690132255</v>
      </c>
      <c r="F34" s="291">
        <f t="shared" si="0"/>
        <v>22143.03427242416</v>
      </c>
      <c r="G34" s="325" t="str">
        <f t="shared" si="1"/>
        <v>n/a</v>
      </c>
      <c r="H34" s="291">
        <f t="shared" si="2"/>
        <v>16786.248442374916</v>
      </c>
      <c r="I34" s="291">
        <f t="shared" si="2"/>
        <v>6603.0365226009371</v>
      </c>
      <c r="J34" s="291">
        <f t="shared" si="2"/>
        <v>13188.064317803361</v>
      </c>
      <c r="K34" s="325" t="str">
        <f t="shared" si="3"/>
        <v>n/a</v>
      </c>
      <c r="M34" s="278" t="s">
        <v>428</v>
      </c>
      <c r="N34" s="286">
        <f>'1.2 EDU Factors'!J32</f>
        <v>0.73124999999999996</v>
      </c>
      <c r="O34" s="291">
        <f t="shared" si="19"/>
        <v>563.28962160070375</v>
      </c>
      <c r="P34" s="291">
        <f t="shared" si="19"/>
        <v>1924.7659805896183</v>
      </c>
      <c r="Q34" s="325" t="str">
        <f t="shared" si="20"/>
        <v>n/a</v>
      </c>
      <c r="R34" s="291">
        <f t="shared" si="19"/>
        <v>1459.13155108311</v>
      </c>
      <c r="S34" s="291">
        <f t="shared" si="19"/>
        <v>573.96379876991807</v>
      </c>
      <c r="T34" s="291">
        <f t="shared" si="19"/>
        <v>1146.3622029591334</v>
      </c>
      <c r="U34" s="325" t="str">
        <f t="shared" si="21"/>
        <v>n/a</v>
      </c>
      <c r="V34" s="325"/>
      <c r="W34" s="278" t="s">
        <v>426</v>
      </c>
      <c r="X34" s="291">
        <f>'1.2 EDU Factors'!D32</f>
        <v>1346</v>
      </c>
      <c r="Y34" s="291">
        <f t="shared" si="22"/>
        <v>6480.2378690132246</v>
      </c>
      <c r="Z34" s="291">
        <f t="shared" si="22"/>
        <v>22143.034272424156</v>
      </c>
      <c r="AA34" s="325" t="str">
        <f t="shared" si="5"/>
        <v>n/a</v>
      </c>
      <c r="AB34" s="291">
        <f t="shared" si="22"/>
        <v>16786.248442374923</v>
      </c>
      <c r="AC34" s="291">
        <f t="shared" si="22"/>
        <v>6603.0365226009371</v>
      </c>
      <c r="AD34" s="291">
        <f t="shared" si="22"/>
        <v>13188.064317803364</v>
      </c>
      <c r="AE34" s="325" t="str">
        <f t="shared" si="7"/>
        <v>n/a</v>
      </c>
      <c r="AG34" s="278" t="s">
        <v>428</v>
      </c>
      <c r="AH34" s="286">
        <f>'1.2 EDU Factors'!H32</f>
        <v>11.504273504273504</v>
      </c>
      <c r="AI34" s="291">
        <f t="shared" si="40"/>
        <v>563.28962160070375</v>
      </c>
      <c r="AJ34" s="291">
        <f t="shared" si="41"/>
        <v>1924.7659805896183</v>
      </c>
      <c r="AK34" s="325" t="str">
        <f t="shared" si="23"/>
        <v>n/a</v>
      </c>
      <c r="AL34" s="291">
        <f t="shared" si="10"/>
        <v>1459.13155108311</v>
      </c>
      <c r="AM34" s="291">
        <f t="shared" si="10"/>
        <v>573.96379876991796</v>
      </c>
      <c r="AN34" s="291">
        <f t="shared" si="10"/>
        <v>1146.3622029591334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87403.835172628707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87403.835172628707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87403.835172628678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87403.835172628678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87403.835172628693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87403.835172628693</v>
      </c>
      <c r="CO34" s="97">
        <f t="shared" si="39"/>
        <v>0</v>
      </c>
    </row>
    <row r="35" spans="1:93" x14ac:dyDescent="0.25">
      <c r="A35" s="274" t="s">
        <v>247</v>
      </c>
      <c r="B35" s="274"/>
      <c r="C35" s="278" t="s">
        <v>426</v>
      </c>
      <c r="D35" s="286">
        <f>'1.2 EDU Factors'!E33</f>
        <v>0.49504950495049505</v>
      </c>
      <c r="E35" s="291">
        <f t="shared" si="0"/>
        <v>1925.7764841049705</v>
      </c>
      <c r="F35" s="291">
        <f t="shared" si="0"/>
        <v>6580.3965148363031</v>
      </c>
      <c r="G35" s="325" t="str">
        <f t="shared" si="1"/>
        <v>n/a</v>
      </c>
      <c r="H35" s="291">
        <f t="shared" si="2"/>
        <v>4988.4839353268699</v>
      </c>
      <c r="I35" s="291">
        <f t="shared" si="2"/>
        <v>1962.2693975039933</v>
      </c>
      <c r="J35" s="291">
        <f t="shared" si="2"/>
        <v>3919.1870186637034</v>
      </c>
      <c r="K35" s="325" t="str">
        <f t="shared" si="3"/>
        <v>n/a</v>
      </c>
      <c r="M35" s="278" t="s">
        <v>426</v>
      </c>
      <c r="N35" s="286">
        <f>'1.2 EDU Factors'!J33</f>
        <v>2.5</v>
      </c>
      <c r="O35" s="291">
        <f t="shared" si="19"/>
        <v>1925.7764841049702</v>
      </c>
      <c r="P35" s="291">
        <f t="shared" si="19"/>
        <v>6580.3965148363022</v>
      </c>
      <c r="Q35" s="325" t="str">
        <f t="shared" si="20"/>
        <v>n/a</v>
      </c>
      <c r="R35" s="291">
        <f t="shared" si="19"/>
        <v>4988.4839353268726</v>
      </c>
      <c r="S35" s="291">
        <f t="shared" si="19"/>
        <v>1962.2693975039933</v>
      </c>
      <c r="T35" s="291">
        <f t="shared" si="19"/>
        <v>3919.1870186637038</v>
      </c>
      <c r="U35" s="325" t="str">
        <f t="shared" si="21"/>
        <v>n/a</v>
      </c>
      <c r="V35" s="325"/>
      <c r="W35" s="278" t="s">
        <v>426</v>
      </c>
      <c r="X35" s="291">
        <f>'1.2 EDU Factors'!D33</f>
        <v>400</v>
      </c>
      <c r="Y35" s="291">
        <f t="shared" si="22"/>
        <v>1925.7764841049702</v>
      </c>
      <c r="Z35" s="291">
        <f t="shared" si="22"/>
        <v>6580.3965148363022</v>
      </c>
      <c r="AA35" s="325" t="str">
        <f t="shared" si="5"/>
        <v>n/a</v>
      </c>
      <c r="AB35" s="291">
        <f t="shared" si="22"/>
        <v>4988.4839353268717</v>
      </c>
      <c r="AC35" s="291">
        <f t="shared" si="22"/>
        <v>1962.2693975039933</v>
      </c>
      <c r="AD35" s="291">
        <f t="shared" si="22"/>
        <v>3919.1870186637038</v>
      </c>
      <c r="AE35" s="325" t="str">
        <f t="shared" si="7"/>
        <v>n/a</v>
      </c>
      <c r="AG35" s="278" t="s">
        <v>426</v>
      </c>
      <c r="AH35" s="286">
        <f>'1.2 EDU Factors'!H33</f>
        <v>1</v>
      </c>
      <c r="AI35" s="291">
        <f t="shared" si="40"/>
        <v>1925.7764841049702</v>
      </c>
      <c r="AJ35" s="291">
        <f t="shared" si="41"/>
        <v>6580.3965148363022</v>
      </c>
      <c r="AK35" s="325" t="str">
        <f t="shared" si="23"/>
        <v>n/a</v>
      </c>
      <c r="AL35" s="291">
        <f t="shared" si="10"/>
        <v>4988.4839353268717</v>
      </c>
      <c r="AM35" s="291">
        <f t="shared" si="10"/>
        <v>1962.2693975039933</v>
      </c>
      <c r="AN35" s="291">
        <f t="shared" si="10"/>
        <v>3919.1870186637038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49433.199423422557</v>
      </c>
      <c r="BC35" s="291"/>
      <c r="BD35" s="291">
        <f t="shared" si="13"/>
        <v>29891.41976161311</v>
      </c>
      <c r="BE35" s="291">
        <f t="shared" si="14"/>
        <v>0</v>
      </c>
      <c r="BF35" s="291">
        <f t="shared" si="15"/>
        <v>0</v>
      </c>
      <c r="BG35" s="291">
        <f t="shared" si="26"/>
        <v>79324.61918503567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49433.199423422542</v>
      </c>
      <c r="BS35" s="291"/>
      <c r="BT35" s="291">
        <f t="shared" si="43"/>
        <v>29891.41976161312</v>
      </c>
      <c r="BU35" s="291">
        <f t="shared" si="44"/>
        <v>0</v>
      </c>
      <c r="BV35" s="291">
        <f t="shared" si="45"/>
        <v>0</v>
      </c>
      <c r="BW35" s="291">
        <f t="shared" si="30"/>
        <v>79324.61918503567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49433.199423422542</v>
      </c>
      <c r="CJ35" s="291"/>
      <c r="CK35" s="291">
        <f t="shared" si="35"/>
        <v>29891.41976161312</v>
      </c>
      <c r="CL35" s="291">
        <f t="shared" si="36"/>
        <v>0</v>
      </c>
      <c r="CM35" s="291">
        <f t="shared" si="37"/>
        <v>0</v>
      </c>
      <c r="CN35" s="291">
        <f t="shared" si="38"/>
        <v>79324.61918503567</v>
      </c>
      <c r="CO35" s="97">
        <f t="shared" si="39"/>
        <v>0</v>
      </c>
    </row>
    <row r="36" spans="1:93" x14ac:dyDescent="0.25">
      <c r="A36" s="274" t="s">
        <v>248</v>
      </c>
      <c r="B36" s="274"/>
      <c r="C36" s="278" t="s">
        <v>426</v>
      </c>
      <c r="D36" s="286">
        <f>'1.2 EDU Factors'!E34</f>
        <v>0.52599009900990101</v>
      </c>
      <c r="E36" s="291">
        <f t="shared" si="0"/>
        <v>2046.1375143615312</v>
      </c>
      <c r="F36" s="291">
        <f t="shared" si="0"/>
        <v>6991.6712970135723</v>
      </c>
      <c r="G36" s="325" t="str">
        <f t="shared" si="1"/>
        <v>n/a</v>
      </c>
      <c r="H36" s="291">
        <f t="shared" si="2"/>
        <v>5300.2641812847996</v>
      </c>
      <c r="I36" s="291">
        <f t="shared" si="2"/>
        <v>2084.911234847993</v>
      </c>
      <c r="J36" s="291">
        <f t="shared" si="2"/>
        <v>4164.1362073301852</v>
      </c>
      <c r="K36" s="325" t="str">
        <f t="shared" si="3"/>
        <v>n/a</v>
      </c>
      <c r="M36" s="278" t="s">
        <v>426</v>
      </c>
      <c r="N36" s="286">
        <f>'1.2 EDU Factors'!J34</f>
        <v>2.65625</v>
      </c>
      <c r="O36" s="291">
        <f t="shared" si="19"/>
        <v>2046.137514361531</v>
      </c>
      <c r="P36" s="291">
        <f t="shared" si="19"/>
        <v>6991.6712970135713</v>
      </c>
      <c r="Q36" s="325" t="str">
        <f t="shared" si="20"/>
        <v>n/a</v>
      </c>
      <c r="R36" s="291">
        <f t="shared" si="19"/>
        <v>5300.2641812848015</v>
      </c>
      <c r="S36" s="291">
        <f t="shared" si="19"/>
        <v>2084.911234847993</v>
      </c>
      <c r="T36" s="291">
        <f t="shared" si="19"/>
        <v>4164.1362073301852</v>
      </c>
      <c r="U36" s="325" t="str">
        <f t="shared" si="21"/>
        <v>n/a</v>
      </c>
      <c r="V36" s="325"/>
      <c r="W36" s="278" t="s">
        <v>426</v>
      </c>
      <c r="X36" s="291">
        <f>'1.2 EDU Factors'!D34</f>
        <v>425</v>
      </c>
      <c r="Y36" s="291">
        <f t="shared" si="22"/>
        <v>2046.137514361531</v>
      </c>
      <c r="Z36" s="291">
        <f t="shared" si="22"/>
        <v>6991.6712970135704</v>
      </c>
      <c r="AA36" s="325" t="str">
        <f t="shared" si="5"/>
        <v>n/a</v>
      </c>
      <c r="AB36" s="291">
        <f t="shared" si="22"/>
        <v>5300.2641812848015</v>
      </c>
      <c r="AC36" s="291">
        <f t="shared" si="22"/>
        <v>2084.911234847993</v>
      </c>
      <c r="AD36" s="291">
        <f t="shared" si="22"/>
        <v>4164.1362073301852</v>
      </c>
      <c r="AE36" s="325" t="str">
        <f t="shared" si="7"/>
        <v>n/a</v>
      </c>
      <c r="AG36" s="278" t="s">
        <v>426</v>
      </c>
      <c r="AH36" s="286">
        <f>'1.2 EDU Factors'!H34</f>
        <v>1</v>
      </c>
      <c r="AI36" s="291">
        <f t="shared" si="40"/>
        <v>2046.137514361531</v>
      </c>
      <c r="AJ36" s="291">
        <f t="shared" si="41"/>
        <v>6991.6712970135704</v>
      </c>
      <c r="AK36" s="325" t="str">
        <f t="shared" si="23"/>
        <v>n/a</v>
      </c>
      <c r="AL36" s="291">
        <f t="shared" si="10"/>
        <v>5300.2641812848015</v>
      </c>
      <c r="AM36" s="291">
        <f t="shared" si="10"/>
        <v>2084.911234847993</v>
      </c>
      <c r="AN36" s="291">
        <f t="shared" si="10"/>
        <v>4164.1362073301852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16294.582171349441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16294.582171349441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16294.582171349439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16294.582171349439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16294.582171349437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16294.582171349437</v>
      </c>
      <c r="CO36" s="97">
        <f t="shared" si="39"/>
        <v>0</v>
      </c>
    </row>
    <row r="37" spans="1:93" x14ac:dyDescent="0.25">
      <c r="A37" s="274" t="s">
        <v>249</v>
      </c>
      <c r="B37" s="274"/>
      <c r="C37" s="278" t="s">
        <v>426</v>
      </c>
      <c r="D37" s="286">
        <f>'1.2 EDU Factors'!E35</f>
        <v>0.39603960396039606</v>
      </c>
      <c r="E37" s="291">
        <f t="shared" si="0"/>
        <v>1540.6211872839765</v>
      </c>
      <c r="F37" s="291">
        <f t="shared" si="0"/>
        <v>5264.3172118690427</v>
      </c>
      <c r="G37" s="325" t="str">
        <f t="shared" si="1"/>
        <v>n/a</v>
      </c>
      <c r="H37" s="291">
        <f t="shared" si="2"/>
        <v>3990.7871482614964</v>
      </c>
      <c r="I37" s="291">
        <f t="shared" si="2"/>
        <v>1569.8155180031947</v>
      </c>
      <c r="J37" s="291">
        <f t="shared" si="2"/>
        <v>3135.3496149309631</v>
      </c>
      <c r="K37" s="325" t="str">
        <f t="shared" si="3"/>
        <v>n/a</v>
      </c>
      <c r="M37" s="278" t="s">
        <v>428</v>
      </c>
      <c r="N37" s="286">
        <f>'1.2 EDU Factors'!J35</f>
        <v>1</v>
      </c>
      <c r="O37" s="291">
        <f t="shared" si="19"/>
        <v>770.31059364198813</v>
      </c>
      <c r="P37" s="291">
        <f t="shared" si="19"/>
        <v>2632.1586059345209</v>
      </c>
      <c r="Q37" s="325" t="str">
        <f t="shared" si="20"/>
        <v>n/a</v>
      </c>
      <c r="R37" s="291">
        <f t="shared" si="19"/>
        <v>1995.3935741307489</v>
      </c>
      <c r="S37" s="291">
        <f t="shared" si="19"/>
        <v>784.90775900159736</v>
      </c>
      <c r="T37" s="291">
        <f t="shared" si="19"/>
        <v>1567.6748074654815</v>
      </c>
      <c r="U37" s="325" t="str">
        <f t="shared" si="21"/>
        <v>n/a</v>
      </c>
      <c r="V37" s="325"/>
      <c r="W37" s="278" t="s">
        <v>426</v>
      </c>
      <c r="X37" s="291">
        <f>'1.2 EDU Factors'!D35</f>
        <v>320</v>
      </c>
      <c r="Y37" s="291">
        <f t="shared" si="22"/>
        <v>1540.6211872839763</v>
      </c>
      <c r="Z37" s="291">
        <f t="shared" si="22"/>
        <v>5264.3172118690418</v>
      </c>
      <c r="AA37" s="325" t="str">
        <f t="shared" si="5"/>
        <v>n/a</v>
      </c>
      <c r="AB37" s="291">
        <f t="shared" si="22"/>
        <v>3990.7871482614974</v>
      </c>
      <c r="AC37" s="291">
        <f t="shared" si="22"/>
        <v>1569.8155180031947</v>
      </c>
      <c r="AD37" s="291">
        <f t="shared" si="22"/>
        <v>3135.3496149309631</v>
      </c>
      <c r="AE37" s="325" t="str">
        <f t="shared" si="7"/>
        <v>n/a</v>
      </c>
      <c r="AG37" s="278" t="s">
        <v>428</v>
      </c>
      <c r="AH37" s="286">
        <f>'1.2 EDU Factors'!H35</f>
        <v>2</v>
      </c>
      <c r="AI37" s="291">
        <f t="shared" si="40"/>
        <v>770.31059364198813</v>
      </c>
      <c r="AJ37" s="291">
        <f t="shared" si="41"/>
        <v>2632.1586059345209</v>
      </c>
      <c r="AK37" s="325" t="str">
        <f t="shared" si="23"/>
        <v>n/a</v>
      </c>
      <c r="AL37" s="291">
        <f t="shared" si="10"/>
        <v>1995.3935741307487</v>
      </c>
      <c r="AM37" s="291">
        <f t="shared" si="10"/>
        <v>784.90775900159736</v>
      </c>
      <c r="AN37" s="291">
        <f t="shared" si="10"/>
        <v>1567.6748074654815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371232.62823470769</v>
      </c>
      <c r="BC37" s="291"/>
      <c r="BD37" s="291">
        <f t="shared" si="13"/>
        <v>62844.443319104983</v>
      </c>
      <c r="BE37" s="291">
        <f t="shared" si="14"/>
        <v>61526.848641466968</v>
      </c>
      <c r="BF37" s="291">
        <f t="shared" si="15"/>
        <v>0</v>
      </c>
      <c r="BG37" s="291">
        <f t="shared" si="26"/>
        <v>495603.92019527964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371232.62823470763</v>
      </c>
      <c r="BS37" s="291"/>
      <c r="BT37" s="291">
        <f t="shared" si="43"/>
        <v>62844.443319105005</v>
      </c>
      <c r="BU37" s="291">
        <f t="shared" si="44"/>
        <v>61526.848641466968</v>
      </c>
      <c r="BV37" s="291">
        <f t="shared" si="45"/>
        <v>0</v>
      </c>
      <c r="BW37" s="291">
        <f t="shared" si="30"/>
        <v>495603.92019527964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371232.62823470758</v>
      </c>
      <c r="CJ37" s="291"/>
      <c r="CK37" s="291">
        <f t="shared" si="35"/>
        <v>62844.443319104997</v>
      </c>
      <c r="CL37" s="291">
        <f t="shared" si="36"/>
        <v>61526.848641466968</v>
      </c>
      <c r="CM37" s="291">
        <f t="shared" si="37"/>
        <v>0</v>
      </c>
      <c r="CN37" s="291">
        <f t="shared" si="38"/>
        <v>495603.92019527958</v>
      </c>
      <c r="CO37" s="97">
        <f t="shared" si="39"/>
        <v>0</v>
      </c>
    </row>
    <row r="38" spans="1:93" x14ac:dyDescent="0.25">
      <c r="A38" s="274" t="s">
        <v>234</v>
      </c>
      <c r="B38" s="274"/>
      <c r="C38" s="278" t="s">
        <v>426</v>
      </c>
      <c r="D38" s="286">
        <f>'1.2 EDU Factors'!E36</f>
        <v>0.39603960396039606</v>
      </c>
      <c r="E38" s="291">
        <f t="shared" si="0"/>
        <v>1540.6211872839765</v>
      </c>
      <c r="F38" s="291">
        <f t="shared" si="0"/>
        <v>5264.3172118690427</v>
      </c>
      <c r="G38" s="325" t="str">
        <f t="shared" si="1"/>
        <v>n/a</v>
      </c>
      <c r="H38" s="291">
        <f t="shared" si="2"/>
        <v>3990.7871482614964</v>
      </c>
      <c r="I38" s="291">
        <f t="shared" si="2"/>
        <v>1569.8155180031947</v>
      </c>
      <c r="J38" s="291">
        <f t="shared" si="2"/>
        <v>3135.3496149309631</v>
      </c>
      <c r="K38" s="325" t="str">
        <f t="shared" si="3"/>
        <v>n/a</v>
      </c>
      <c r="M38" s="278" t="s">
        <v>428</v>
      </c>
      <c r="N38" s="286">
        <f>'1.2 EDU Factors'!J36</f>
        <v>1</v>
      </c>
      <c r="O38" s="291">
        <f t="shared" si="19"/>
        <v>770.31059364198813</v>
      </c>
      <c r="P38" s="291">
        <f t="shared" si="19"/>
        <v>2632.1586059345209</v>
      </c>
      <c r="Q38" s="325" t="str">
        <f t="shared" si="20"/>
        <v>n/a</v>
      </c>
      <c r="R38" s="291">
        <f t="shared" si="19"/>
        <v>1995.3935741307489</v>
      </c>
      <c r="S38" s="291">
        <f t="shared" si="19"/>
        <v>784.90775900159736</v>
      </c>
      <c r="T38" s="291">
        <f t="shared" si="19"/>
        <v>1567.6748074654815</v>
      </c>
      <c r="U38" s="325" t="str">
        <f t="shared" si="21"/>
        <v>n/a</v>
      </c>
      <c r="V38" s="325"/>
      <c r="W38" s="278" t="s">
        <v>426</v>
      </c>
      <c r="X38" s="291">
        <f>'1.2 EDU Factors'!D36</f>
        <v>320</v>
      </c>
      <c r="Y38" s="291">
        <f t="shared" si="22"/>
        <v>1540.6211872839763</v>
      </c>
      <c r="Z38" s="291">
        <f t="shared" si="22"/>
        <v>5264.3172118690418</v>
      </c>
      <c r="AA38" s="325" t="str">
        <f t="shared" si="5"/>
        <v>n/a</v>
      </c>
      <c r="AB38" s="291">
        <f t="shared" si="22"/>
        <v>3990.7871482614974</v>
      </c>
      <c r="AC38" s="291">
        <f t="shared" si="22"/>
        <v>1569.8155180031947</v>
      </c>
      <c r="AD38" s="291">
        <f t="shared" si="22"/>
        <v>3135.3496149309631</v>
      </c>
      <c r="AE38" s="325" t="str">
        <f t="shared" si="7"/>
        <v>n/a</v>
      </c>
      <c r="AG38" s="278" t="s">
        <v>428</v>
      </c>
      <c r="AH38" s="286">
        <f>'1.2 EDU Factors'!H36</f>
        <v>2</v>
      </c>
      <c r="AI38" s="291">
        <f t="shared" si="40"/>
        <v>770.31059364198813</v>
      </c>
      <c r="AJ38" s="291">
        <f t="shared" si="41"/>
        <v>2632.1586059345209</v>
      </c>
      <c r="AK38" s="325" t="str">
        <f t="shared" si="23"/>
        <v>n/a</v>
      </c>
      <c r="AL38" s="291">
        <f t="shared" si="10"/>
        <v>1995.3935741307487</v>
      </c>
      <c r="AM38" s="291">
        <f t="shared" si="10"/>
        <v>784.90775900159736</v>
      </c>
      <c r="AN38" s="291">
        <f t="shared" si="10"/>
        <v>1567.6748074654815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10422.240707128611</v>
      </c>
      <c r="BB38" s="291">
        <f t="shared" si="12"/>
        <v>673759.26591615891</v>
      </c>
      <c r="BC38" s="291"/>
      <c r="BD38" s="291">
        <f t="shared" si="13"/>
        <v>2094295.1528720728</v>
      </c>
      <c r="BE38" s="291">
        <f t="shared" si="14"/>
        <v>0</v>
      </c>
      <c r="BF38" s="291">
        <f t="shared" si="15"/>
        <v>0</v>
      </c>
      <c r="BG38" s="291">
        <f t="shared" si="26"/>
        <v>2778476.6594953602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10422.240707128609</v>
      </c>
      <c r="BR38" s="291">
        <f t="shared" si="42"/>
        <v>673759.26591615879</v>
      </c>
      <c r="BS38" s="291"/>
      <c r="BT38" s="291">
        <f t="shared" si="43"/>
        <v>2094295.1528720735</v>
      </c>
      <c r="BU38" s="291">
        <f t="shared" si="44"/>
        <v>0</v>
      </c>
      <c r="BV38" s="291">
        <f t="shared" si="45"/>
        <v>0</v>
      </c>
      <c r="BW38" s="291">
        <f t="shared" si="30"/>
        <v>2778476.6594953611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10422.240707128609</v>
      </c>
      <c r="CI38" s="291">
        <f t="shared" si="34"/>
        <v>673759.26591615879</v>
      </c>
      <c r="CJ38" s="291"/>
      <c r="CK38" s="291">
        <f t="shared" si="35"/>
        <v>2094295.1528720735</v>
      </c>
      <c r="CL38" s="291">
        <f t="shared" si="36"/>
        <v>0</v>
      </c>
      <c r="CM38" s="291">
        <f t="shared" si="37"/>
        <v>0</v>
      </c>
      <c r="CN38" s="291">
        <f t="shared" si="38"/>
        <v>2778476.6594953611</v>
      </c>
      <c r="CO38" s="97">
        <f t="shared" si="39"/>
        <v>0</v>
      </c>
    </row>
    <row r="39" spans="1:93" x14ac:dyDescent="0.25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5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5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3282511.6288431385</v>
      </c>
      <c r="BB41" s="291">
        <f t="shared" ref="BB41:BG41" si="47">SUM(BB13:BB39)</f>
        <v>29187267.718078416</v>
      </c>
      <c r="BC41" s="342">
        <f t="shared" si="47"/>
        <v>0</v>
      </c>
      <c r="BD41" s="291">
        <f t="shared" si="47"/>
        <v>44894140.610396422</v>
      </c>
      <c r="BE41" s="291">
        <f t="shared" si="47"/>
        <v>4286163.0339233112</v>
      </c>
      <c r="BF41" s="291">
        <f t="shared" si="47"/>
        <v>2602992.3331126049</v>
      </c>
      <c r="BG41" s="291">
        <f t="shared" si="47"/>
        <v>84253075.324353874</v>
      </c>
      <c r="BI41" s="286">
        <f>SUM(BI13:BI39)</f>
        <v>4261.283248518751</v>
      </c>
      <c r="BJ41" s="286">
        <f t="shared" ref="BJ41:BO41" si="48">SUM(BJ13:BJ39)</f>
        <v>11088.719217858748</v>
      </c>
      <c r="BK41">
        <f t="shared" si="48"/>
        <v>0</v>
      </c>
      <c r="BL41" s="286">
        <f t="shared" si="48"/>
        <v>22498.890039752496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44970.030463287505</v>
      </c>
      <c r="BQ41" s="291">
        <f>SUM(BQ13:BQ39)</f>
        <v>3282511.6288431385</v>
      </c>
      <c r="BR41" s="291">
        <f t="shared" ref="BR41:BW41" si="49">SUM(BR13:BR39)</f>
        <v>29187267.718078408</v>
      </c>
      <c r="BS41" s="342">
        <f t="shared" si="49"/>
        <v>0</v>
      </c>
      <c r="BT41" s="291">
        <f t="shared" si="49"/>
        <v>44894140.610396437</v>
      </c>
      <c r="BU41" s="291">
        <f t="shared" si="49"/>
        <v>4286163.0339233102</v>
      </c>
      <c r="BV41" s="291">
        <f t="shared" si="49"/>
        <v>2602992.3331126049</v>
      </c>
      <c r="BW41" s="291">
        <f t="shared" si="49"/>
        <v>84253075.324353904</v>
      </c>
      <c r="BZ41" s="291">
        <f>SUM(BZ13:BZ39)</f>
        <v>681805.31976300001</v>
      </c>
      <c r="CA41" s="291">
        <f t="shared" ref="CA41:CF41" si="50">SUM(CA13:CA39)</f>
        <v>1774195.0748574</v>
      </c>
      <c r="CB41" s="97">
        <f t="shared" si="50"/>
        <v>0</v>
      </c>
      <c r="CC41" s="291">
        <f t="shared" si="50"/>
        <v>3599822.4063603999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7195204.8741260003</v>
      </c>
      <c r="CH41" s="291">
        <f>SUM(CH13:CH39)</f>
        <v>3282511.628843138</v>
      </c>
      <c r="CI41" s="291">
        <f t="shared" ref="CI41:CN41" si="51">SUM(CI13:CI39)</f>
        <v>29187267.718078408</v>
      </c>
      <c r="CJ41" s="342">
        <f t="shared" si="51"/>
        <v>0</v>
      </c>
      <c r="CK41" s="291">
        <f t="shared" si="51"/>
        <v>44894140.610396437</v>
      </c>
      <c r="CL41" s="291">
        <f t="shared" si="51"/>
        <v>4286163.0339233102</v>
      </c>
      <c r="CM41" s="291">
        <f t="shared" si="51"/>
        <v>2602992.3331126049</v>
      </c>
      <c r="CN41" s="291">
        <f t="shared" si="51"/>
        <v>84253075.324353904</v>
      </c>
    </row>
    <row r="42" spans="1:93" x14ac:dyDescent="0.25">
      <c r="A42" s="224" t="s">
        <v>11</v>
      </c>
    </row>
    <row r="44" spans="1:93" x14ac:dyDescent="0.25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/>
  </sheetViews>
  <sheetFormatPr defaultRowHeight="13.2" x14ac:dyDescent="0.25"/>
  <cols>
    <col min="4" max="4" width="12.44140625" customWidth="1"/>
    <col min="6" max="6" width="7.6640625" customWidth="1"/>
    <col min="9" max="9" width="11.21875" customWidth="1"/>
    <col min="10" max="10" width="16.109375" bestFit="1" customWidth="1"/>
  </cols>
  <sheetData>
    <row r="1" spans="1:11" x14ac:dyDescent="0.25">
      <c r="A1" s="171" t="s">
        <v>444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5">
      <c r="A4" s="171" t="s">
        <v>437</v>
      </c>
    </row>
    <row r="9" spans="1:11" ht="56.4" customHeight="1" x14ac:dyDescent="0.25">
      <c r="A9" s="302" t="s">
        <v>423</v>
      </c>
      <c r="B9" s="274"/>
      <c r="C9" s="302" t="s">
        <v>429</v>
      </c>
      <c r="D9" s="302" t="s">
        <v>453</v>
      </c>
      <c r="E9" s="302" t="s">
        <v>427</v>
      </c>
      <c r="G9" s="302" t="s">
        <v>429</v>
      </c>
      <c r="H9" s="302" t="s">
        <v>430</v>
      </c>
      <c r="I9" s="302" t="s">
        <v>454</v>
      </c>
      <c r="J9" s="302" t="s">
        <v>431</v>
      </c>
    </row>
    <row r="10" spans="1:11" x14ac:dyDescent="0.25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5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5">
      <c r="A12" s="274" t="s">
        <v>236</v>
      </c>
      <c r="B12" s="274"/>
      <c r="C12" s="278" t="s">
        <v>426</v>
      </c>
      <c r="D12" s="286">
        <v>0</v>
      </c>
      <c r="E12" s="286">
        <f t="shared" ref="E12:E36" si="0">D12/$D$18</f>
        <v>0</v>
      </c>
      <c r="G12" s="278" t="s">
        <v>426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5">
      <c r="A13" s="274" t="s">
        <v>252</v>
      </c>
      <c r="B13" s="274"/>
      <c r="C13" s="278" t="s">
        <v>426</v>
      </c>
      <c r="D13" s="291">
        <v>1200</v>
      </c>
      <c r="E13" s="286">
        <f t="shared" si="0"/>
        <v>1.4851485148514851</v>
      </c>
      <c r="G13" s="278" t="s">
        <v>426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5">
      <c r="A14" s="274" t="s">
        <v>226</v>
      </c>
      <c r="B14" s="274"/>
      <c r="C14" s="278" t="s">
        <v>426</v>
      </c>
      <c r="D14" s="291">
        <v>2473</v>
      </c>
      <c r="E14" s="286">
        <f t="shared" si="0"/>
        <v>3.0606435643564356</v>
      </c>
      <c r="G14" s="278" t="s">
        <v>426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5">
      <c r="A15" s="274" t="s">
        <v>227</v>
      </c>
      <c r="B15" s="274"/>
      <c r="C15" s="278" t="s">
        <v>426</v>
      </c>
      <c r="D15" s="291">
        <v>750</v>
      </c>
      <c r="E15" s="286">
        <f t="shared" si="0"/>
        <v>0.92821782178217827</v>
      </c>
      <c r="G15" s="278" t="s">
        <v>426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5">
      <c r="A16" s="274" t="s">
        <v>228</v>
      </c>
      <c r="B16" s="274"/>
      <c r="C16" s="278" t="s">
        <v>426</v>
      </c>
      <c r="D16" s="291">
        <v>2337</v>
      </c>
      <c r="E16" s="286">
        <f t="shared" si="0"/>
        <v>2.8923267326732671</v>
      </c>
      <c r="G16" s="278" t="s">
        <v>428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5">
      <c r="A17" s="274" t="s">
        <v>237</v>
      </c>
      <c r="B17" s="274"/>
      <c r="C17" s="278" t="s">
        <v>426</v>
      </c>
      <c r="D17" s="291">
        <v>600</v>
      </c>
      <c r="E17" s="286">
        <f t="shared" si="0"/>
        <v>0.74257425742574257</v>
      </c>
      <c r="G17" s="278" t="s">
        <v>426</v>
      </c>
      <c r="H17" s="288">
        <v>1</v>
      </c>
      <c r="I17" s="275">
        <f>D17</f>
        <v>600</v>
      </c>
      <c r="J17" s="286">
        <f t="shared" si="1"/>
        <v>3.75</v>
      </c>
    </row>
    <row r="18" spans="1:10" x14ac:dyDescent="0.25">
      <c r="A18" s="284" t="s">
        <v>229</v>
      </c>
      <c r="B18" s="284"/>
      <c r="C18" s="287" t="s">
        <v>426</v>
      </c>
      <c r="D18" s="301">
        <v>808</v>
      </c>
      <c r="E18" s="285">
        <f t="shared" si="0"/>
        <v>1</v>
      </c>
      <c r="G18" s="287" t="s">
        <v>428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5">
      <c r="A19" s="274" t="s">
        <v>230</v>
      </c>
      <c r="B19" s="274"/>
      <c r="C19" s="278" t="s">
        <v>426</v>
      </c>
      <c r="D19" s="291">
        <v>600</v>
      </c>
      <c r="E19" s="286">
        <f t="shared" si="0"/>
        <v>0.74257425742574257</v>
      </c>
      <c r="G19" s="278" t="s">
        <v>426</v>
      </c>
      <c r="H19" s="288">
        <v>1</v>
      </c>
      <c r="I19" s="275">
        <f>D19</f>
        <v>600</v>
      </c>
      <c r="J19" s="286">
        <f t="shared" si="1"/>
        <v>3.75</v>
      </c>
    </row>
    <row r="20" spans="1:10" x14ac:dyDescent="0.25">
      <c r="A20" s="274" t="s">
        <v>231</v>
      </c>
      <c r="B20" s="274"/>
      <c r="C20" s="278" t="s">
        <v>426</v>
      </c>
      <c r="D20" s="291">
        <v>1346</v>
      </c>
      <c r="E20" s="286">
        <f t="shared" si="0"/>
        <v>1.6658415841584158</v>
      </c>
      <c r="G20" s="278" t="s">
        <v>428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5">
      <c r="A21" s="274" t="s">
        <v>232</v>
      </c>
      <c r="B21" s="274"/>
      <c r="C21" s="278" t="s">
        <v>426</v>
      </c>
      <c r="D21" s="291">
        <v>1120</v>
      </c>
      <c r="E21" s="286">
        <f t="shared" si="0"/>
        <v>1.386138613861386</v>
      </c>
      <c r="G21" s="278" t="s">
        <v>426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5">
      <c r="A22" s="274" t="s">
        <v>238</v>
      </c>
      <c r="B22" s="274"/>
      <c r="C22" s="278" t="s">
        <v>426</v>
      </c>
      <c r="D22" s="291">
        <v>0</v>
      </c>
      <c r="E22" s="286">
        <f t="shared" si="0"/>
        <v>0</v>
      </c>
      <c r="G22" s="278" t="s">
        <v>426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5">
      <c r="A23" s="274" t="s">
        <v>233</v>
      </c>
      <c r="B23" s="274"/>
      <c r="C23" s="278" t="s">
        <v>426</v>
      </c>
      <c r="D23" s="291">
        <v>400</v>
      </c>
      <c r="E23" s="286">
        <f t="shared" si="0"/>
        <v>0.49504950495049505</v>
      </c>
      <c r="G23" s="278" t="s">
        <v>426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5">
      <c r="A24" s="274" t="s">
        <v>239</v>
      </c>
      <c r="B24" s="274"/>
      <c r="C24" s="278" t="s">
        <v>426</v>
      </c>
      <c r="D24" s="291">
        <v>425</v>
      </c>
      <c r="E24" s="286">
        <f t="shared" si="0"/>
        <v>0.52599009900990101</v>
      </c>
      <c r="G24" s="278" t="s">
        <v>426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5">
      <c r="A25" s="274" t="s">
        <v>240</v>
      </c>
      <c r="B25" s="274"/>
      <c r="C25" s="278" t="s">
        <v>426</v>
      </c>
      <c r="D25" s="291">
        <v>0</v>
      </c>
      <c r="E25" s="286">
        <f t="shared" si="0"/>
        <v>0</v>
      </c>
      <c r="G25" s="278" t="s">
        <v>426</v>
      </c>
      <c r="H25" s="288"/>
      <c r="I25" s="275">
        <f t="shared" si="2"/>
        <v>0</v>
      </c>
      <c r="J25" s="286">
        <f t="shared" si="1"/>
        <v>0</v>
      </c>
    </row>
    <row r="26" spans="1:10" x14ac:dyDescent="0.25">
      <c r="A26" s="274" t="s">
        <v>241</v>
      </c>
      <c r="B26" s="274"/>
      <c r="C26" s="278" t="s">
        <v>426</v>
      </c>
      <c r="D26" s="291">
        <v>0</v>
      </c>
      <c r="E26" s="286">
        <f t="shared" si="0"/>
        <v>0</v>
      </c>
      <c r="G26" s="278" t="s">
        <v>426</v>
      </c>
      <c r="H26" s="288"/>
      <c r="I26" s="275">
        <f t="shared" si="2"/>
        <v>0</v>
      </c>
      <c r="J26" s="286">
        <f t="shared" si="1"/>
        <v>0</v>
      </c>
    </row>
    <row r="27" spans="1:10" x14ac:dyDescent="0.25">
      <c r="A27" s="274" t="s">
        <v>253</v>
      </c>
      <c r="B27" s="274"/>
      <c r="C27" s="278" t="s">
        <v>426</v>
      </c>
      <c r="D27" s="291">
        <v>1200</v>
      </c>
      <c r="E27" s="286">
        <f t="shared" si="0"/>
        <v>1.4851485148514851</v>
      </c>
      <c r="G27" s="278" t="s">
        <v>426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5">
      <c r="A28" s="274" t="s">
        <v>242</v>
      </c>
      <c r="B28" s="274"/>
      <c r="C28" s="278" t="s">
        <v>426</v>
      </c>
      <c r="D28" s="291">
        <v>2473</v>
      </c>
      <c r="E28" s="286">
        <f t="shared" si="0"/>
        <v>3.0606435643564356</v>
      </c>
      <c r="G28" s="278" t="s">
        <v>426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5">
      <c r="A29" s="274" t="s">
        <v>243</v>
      </c>
      <c r="B29" s="274"/>
      <c r="C29" s="278" t="s">
        <v>426</v>
      </c>
      <c r="D29" s="291">
        <v>750</v>
      </c>
      <c r="E29" s="286">
        <f t="shared" si="0"/>
        <v>0.92821782178217827</v>
      </c>
      <c r="G29" s="278" t="s">
        <v>426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5">
      <c r="A30" s="274" t="s">
        <v>244</v>
      </c>
      <c r="B30" s="274"/>
      <c r="C30" s="278" t="s">
        <v>426</v>
      </c>
      <c r="D30" s="291">
        <v>808</v>
      </c>
      <c r="E30" s="286">
        <f t="shared" si="0"/>
        <v>1</v>
      </c>
      <c r="G30" s="278" t="s">
        <v>428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5">
      <c r="A31" s="274" t="s">
        <v>245</v>
      </c>
      <c r="B31" s="274"/>
      <c r="C31" s="278" t="s">
        <v>426</v>
      </c>
      <c r="D31" s="291">
        <v>600</v>
      </c>
      <c r="E31" s="286">
        <f t="shared" si="0"/>
        <v>0.74257425742574257</v>
      </c>
      <c r="G31" s="278" t="s">
        <v>426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5">
      <c r="A32" s="274" t="s">
        <v>246</v>
      </c>
      <c r="B32" s="274"/>
      <c r="C32" s="278" t="s">
        <v>426</v>
      </c>
      <c r="D32" s="291">
        <v>1346</v>
      </c>
      <c r="E32" s="286">
        <f t="shared" si="0"/>
        <v>1.6658415841584158</v>
      </c>
      <c r="G32" s="278" t="s">
        <v>428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5">
      <c r="A33" s="274" t="s">
        <v>247</v>
      </c>
      <c r="B33" s="274"/>
      <c r="C33" s="278" t="s">
        <v>426</v>
      </c>
      <c r="D33" s="291">
        <v>400</v>
      </c>
      <c r="E33" s="286">
        <f t="shared" si="0"/>
        <v>0.49504950495049505</v>
      </c>
      <c r="G33" s="278" t="s">
        <v>426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5">
      <c r="A34" s="274" t="s">
        <v>248</v>
      </c>
      <c r="B34" s="274"/>
      <c r="C34" s="278" t="s">
        <v>426</v>
      </c>
      <c r="D34" s="291">
        <v>425</v>
      </c>
      <c r="E34" s="286">
        <f t="shared" si="0"/>
        <v>0.52599009900990101</v>
      </c>
      <c r="G34" s="278" t="s">
        <v>426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5">
      <c r="A35" s="274" t="s">
        <v>249</v>
      </c>
      <c r="B35" s="274"/>
      <c r="C35" s="278" t="s">
        <v>426</v>
      </c>
      <c r="D35" s="291">
        <v>320</v>
      </c>
      <c r="E35" s="286">
        <f t="shared" si="0"/>
        <v>0.39603960396039606</v>
      </c>
      <c r="G35" s="278" t="s">
        <v>428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5">
      <c r="A36" s="274" t="s">
        <v>234</v>
      </c>
      <c r="B36" s="274"/>
      <c r="C36" s="278" t="s">
        <v>426</v>
      </c>
      <c r="D36" s="291">
        <v>320</v>
      </c>
      <c r="E36" s="286">
        <f t="shared" si="0"/>
        <v>0.39603960396039606</v>
      </c>
      <c r="G36" s="278" t="s">
        <v>428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5">
      <c r="A39" s="320" t="s">
        <v>11</v>
      </c>
    </row>
    <row r="40" spans="1:10" x14ac:dyDescent="0.25">
      <c r="A40" s="274"/>
    </row>
    <row r="41" spans="1:10" x14ac:dyDescent="0.25">
      <c r="A41" s="274" t="s">
        <v>425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112" activePane="bottomLeft" state="frozen"/>
      <selection pane="bottomLeft" activeCell="R110" sqref="R110"/>
    </sheetView>
  </sheetViews>
  <sheetFormatPr defaultRowHeight="13.2" x14ac:dyDescent="0.25"/>
  <cols>
    <col min="1" max="1" width="13.6640625" style="279" customWidth="1"/>
    <col min="2" max="2" width="8.88671875" style="274"/>
    <col min="3" max="3" width="9.88671875" style="282" customWidth="1"/>
    <col min="4" max="4" width="8.88671875" style="274"/>
    <col min="5" max="5" width="9.88671875" style="282" customWidth="1"/>
    <col min="6" max="6" width="4.109375" style="282" customWidth="1"/>
    <col min="7" max="7" width="11.33203125" style="274" hidden="1" customWidth="1"/>
    <col min="8" max="8" width="9.88671875" hidden="1" customWidth="1"/>
    <col min="9" max="9" width="11.33203125" hidden="1" customWidth="1"/>
    <col min="10" max="10" width="5.77734375" hidden="1" customWidth="1"/>
    <col min="11" max="11" width="10" hidden="1" customWidth="1"/>
    <col min="12" max="12" width="7" hidden="1" customWidth="1"/>
    <col min="13" max="13" width="9.33203125" hidden="1" customWidth="1"/>
    <col min="14" max="14" width="7.5546875" hidden="1" customWidth="1"/>
    <col min="15" max="15" width="8.33203125" hidden="1" customWidth="1"/>
    <col min="16" max="16" width="5.77734375" customWidth="1"/>
    <col min="17" max="17" width="8.6640625" customWidth="1"/>
    <col min="18" max="18" width="7.5546875" bestFit="1" customWidth="1"/>
    <col min="19" max="19" width="16.21875" customWidth="1"/>
    <col min="20" max="20" width="3.33203125" customWidth="1"/>
    <col min="21" max="21" width="5.88671875" customWidth="1"/>
    <col min="22" max="22" width="10.5546875" bestFit="1" customWidth="1"/>
    <col min="23" max="23" width="9.6640625" customWidth="1"/>
    <col min="24" max="24" width="4.5546875" customWidth="1"/>
    <col min="25" max="25" width="13.88671875" customWidth="1"/>
    <col min="26" max="26" width="9.44140625" customWidth="1"/>
    <col min="27" max="27" width="12.44140625" customWidth="1"/>
    <col min="28" max="28" width="10.6640625" customWidth="1"/>
  </cols>
  <sheetData>
    <row r="1" spans="1:32" x14ac:dyDescent="0.25">
      <c r="A1" s="171" t="s">
        <v>455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v8</v>
      </c>
    </row>
    <row r="3" spans="1:32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41248</v>
      </c>
    </row>
    <row r="4" spans="1:32" x14ac:dyDescent="0.25">
      <c r="A4" s="171" t="s">
        <v>445</v>
      </c>
      <c r="B4"/>
      <c r="C4"/>
      <c r="D4"/>
      <c r="E4"/>
      <c r="F4"/>
      <c r="G4"/>
    </row>
    <row r="8" spans="1:32" ht="34.200000000000003" customHeight="1" x14ac:dyDescent="0.25">
      <c r="A8" s="302" t="s">
        <v>449</v>
      </c>
      <c r="B8" s="302" t="s">
        <v>423</v>
      </c>
      <c r="C8" s="319" t="s">
        <v>438</v>
      </c>
      <c r="D8" s="302" t="s">
        <v>479</v>
      </c>
      <c r="E8" s="319" t="s">
        <v>478</v>
      </c>
      <c r="F8" s="273"/>
      <c r="G8" s="302" t="s">
        <v>429</v>
      </c>
      <c r="H8" s="302" t="s">
        <v>427</v>
      </c>
      <c r="I8" s="302" t="s">
        <v>432</v>
      </c>
      <c r="J8" s="300"/>
      <c r="K8" s="302" t="s">
        <v>429</v>
      </c>
      <c r="L8" s="302" t="s">
        <v>430</v>
      </c>
      <c r="M8" s="302" t="s">
        <v>433</v>
      </c>
      <c r="N8" s="302" t="s">
        <v>431</v>
      </c>
      <c r="O8" s="302" t="s">
        <v>432</v>
      </c>
      <c r="Q8" s="302" t="s">
        <v>429</v>
      </c>
      <c r="R8" s="302" t="s">
        <v>482</v>
      </c>
      <c r="S8" s="302" t="s">
        <v>483</v>
      </c>
    </row>
    <row r="9" spans="1:32" s="199" customFormat="1" x14ac:dyDescent="0.25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5">
      <c r="A10" s="336" t="s">
        <v>473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5">
      <c r="A11" s="276"/>
      <c r="B11" s="330" t="s">
        <v>226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5">
      <c r="A12" s="276"/>
      <c r="B12" s="330" t="s">
        <v>227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5">
      <c r="A13" s="276"/>
      <c r="B13" s="272" t="s">
        <v>228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5">
      <c r="A14" s="276"/>
      <c r="B14" s="330" t="s">
        <v>229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5">
      <c r="A15" s="276"/>
      <c r="B15" s="330" t="s">
        <v>230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0.74257425742574257</v>
      </c>
      <c r="I15" s="291">
        <f t="shared" si="1"/>
        <v>31.568020544554454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3.75</v>
      </c>
      <c r="O15" s="291">
        <f t="shared" si="3"/>
        <v>159.41850374999999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600</v>
      </c>
      <c r="S15" s="291">
        <f t="shared" si="5"/>
        <v>25506.960599999999</v>
      </c>
      <c r="AE15" s="274"/>
      <c r="AF15" s="275"/>
    </row>
    <row r="16" spans="1:32" x14ac:dyDescent="0.25">
      <c r="A16" s="276"/>
      <c r="B16" s="272" t="s">
        <v>231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5">
      <c r="A17" s="276"/>
      <c r="B17" s="272" t="s">
        <v>232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5">
      <c r="A18" s="276"/>
      <c r="B18" s="272" t="s">
        <v>233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5">
      <c r="A19" s="276"/>
      <c r="B19" s="272" t="s">
        <v>234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5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5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5">
      <c r="A22" s="276" t="s">
        <v>440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843.81846505321789</v>
      </c>
      <c r="K22" s="293"/>
      <c r="L22" s="290"/>
      <c r="M22" s="291"/>
      <c r="N22" s="290"/>
      <c r="O22" s="273">
        <f>SUM(O10:O20)</f>
        <v>4261.283248518751</v>
      </c>
      <c r="Q22" s="293"/>
      <c r="R22" s="290"/>
      <c r="S22" s="273">
        <f>SUM(S10:S20)</f>
        <v>681805.31976300001</v>
      </c>
      <c r="AE22" s="274"/>
      <c r="AF22" s="275"/>
    </row>
    <row r="23" spans="1:32" x14ac:dyDescent="0.25">
      <c r="A23" s="279" t="s">
        <v>434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5">
      <c r="A24" s="279" t="s">
        <v>435</v>
      </c>
      <c r="I24" s="291">
        <f>I22*I23</f>
        <v>681805.31976300001</v>
      </c>
      <c r="J24" s="286"/>
      <c r="K24" s="286"/>
      <c r="L24" s="286"/>
      <c r="M24" s="291"/>
      <c r="N24" s="286"/>
      <c r="O24" s="291">
        <f>O22*O23</f>
        <v>681805.31976300012</v>
      </c>
      <c r="Q24" s="274"/>
      <c r="S24" s="291"/>
    </row>
    <row r="25" spans="1:32" x14ac:dyDescent="0.25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5">
      <c r="A26" s="271" t="s">
        <v>475</v>
      </c>
      <c r="B26" s="272" t="s">
        <v>226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5">
      <c r="A27" s="276"/>
      <c r="B27" s="272" t="s">
        <v>227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5">
      <c r="A28" s="276"/>
      <c r="B28" s="272" t="s">
        <v>229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5">
      <c r="A29" s="276"/>
      <c r="B29" s="272" t="s">
        <v>230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0.74257425742574257</v>
      </c>
      <c r="I29" s="291">
        <f>H29*E29</f>
        <v>25.693631435643564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3.75</v>
      </c>
      <c r="O29" s="291">
        <f t="shared" si="6"/>
        <v>129.75283875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0.74257425742574257</v>
      </c>
      <c r="S29" s="291">
        <f>R29*O29</f>
        <v>96.351117883663363</v>
      </c>
    </row>
    <row r="30" spans="1:32" hidden="1" x14ac:dyDescent="0.25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5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5">
      <c r="A32" s="276" t="s">
        <v>442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196.27042523391088</v>
      </c>
      <c r="K32" s="293"/>
      <c r="L32" s="290"/>
      <c r="M32" s="291"/>
      <c r="N32" s="290"/>
      <c r="O32" s="273">
        <f>SUM(O26:O30)</f>
        <v>991.16564743125002</v>
      </c>
      <c r="Q32" s="293"/>
      <c r="R32" s="290"/>
      <c r="S32" s="273">
        <f>SUM(S26:S30)</f>
        <v>2561.429299154448</v>
      </c>
    </row>
    <row r="33" spans="1:32" hidden="1" x14ac:dyDescent="0.25">
      <c r="A33" s="279" t="s">
        <v>434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5">
      <c r="A34" s="279" t="s">
        <v>435</v>
      </c>
      <c r="I34" s="291">
        <f>I32*I33</f>
        <v>158586.503589</v>
      </c>
      <c r="J34" s="286"/>
      <c r="K34" s="286"/>
      <c r="L34" s="286"/>
      <c r="M34" s="291"/>
      <c r="N34" s="286"/>
      <c r="O34" s="291">
        <f>O32*O33</f>
        <v>158586.503589</v>
      </c>
      <c r="Q34" s="274"/>
      <c r="S34" s="291">
        <f>S32*S33</f>
        <v>2069634.873716794</v>
      </c>
    </row>
    <row r="35" spans="1:32" hidden="1" x14ac:dyDescent="0.25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5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5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5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5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5">
      <c r="A40" s="271" t="s">
        <v>235</v>
      </c>
      <c r="B40" s="272" t="s">
        <v>236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5">
      <c r="A41" s="276"/>
      <c r="B41" s="272" t="s">
        <v>226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5">
      <c r="A42" s="276"/>
      <c r="B42" s="272" t="s">
        <v>227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5">
      <c r="A43" s="276"/>
      <c r="B43" s="272" t="s">
        <v>228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5">
      <c r="A44" s="276"/>
      <c r="B44" s="272" t="s">
        <v>237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0.74257425742574257</v>
      </c>
      <c r="I44" s="291">
        <f t="shared" si="9"/>
        <v>130.04545396039606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3.75</v>
      </c>
      <c r="O44" s="291">
        <f t="shared" si="11"/>
        <v>656.72954249999998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600</v>
      </c>
      <c r="S44" s="291">
        <f t="shared" si="12"/>
        <v>105076.7268</v>
      </c>
      <c r="AE44" s="274"/>
      <c r="AF44" s="275"/>
    </row>
    <row r="45" spans="1:32" x14ac:dyDescent="0.25">
      <c r="A45" s="276"/>
      <c r="B45" s="272" t="s">
        <v>229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5">
      <c r="A46" s="276"/>
      <c r="B46" s="272" t="s">
        <v>230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0.74257425742574257</v>
      </c>
      <c r="I46" s="291">
        <f t="shared" si="9"/>
        <v>391.96214777227721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3.75</v>
      </c>
      <c r="O46" s="291">
        <f t="shared" si="11"/>
        <v>1979.4088462499999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600</v>
      </c>
      <c r="S46" s="291">
        <f t="shared" si="12"/>
        <v>316705.4154</v>
      </c>
      <c r="AE46" s="274"/>
      <c r="AF46" s="275"/>
    </row>
    <row r="47" spans="1:32" x14ac:dyDescent="0.25">
      <c r="A47" s="276"/>
      <c r="B47" s="272" t="s">
        <v>231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5">
      <c r="A48" s="276"/>
      <c r="B48" s="272" t="s">
        <v>232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5">
      <c r="A49" s="276"/>
      <c r="B49" s="272" t="s">
        <v>238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5">
      <c r="A50" s="276"/>
      <c r="B50" s="272" t="s">
        <v>233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5">
      <c r="A51" s="276"/>
      <c r="B51" s="272" t="s">
        <v>239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5">
      <c r="A52" s="276"/>
      <c r="B52" s="272" t="s">
        <v>240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</v>
      </c>
      <c r="I52" s="291">
        <f t="shared" si="9"/>
        <v>0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0</v>
      </c>
      <c r="M52" s="291">
        <f t="shared" si="10"/>
        <v>0</v>
      </c>
      <c r="N52" s="290">
        <f>LOOKUP(B52,'1.2 EDU Factors'!$A$12:$A$36, '1.2 EDU Factors'!$J$12:$J$36)</f>
        <v>0</v>
      </c>
      <c r="O52" s="291">
        <f t="shared" si="11"/>
        <v>0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0</v>
      </c>
      <c r="S52" s="291">
        <f t="shared" si="12"/>
        <v>0</v>
      </c>
    </row>
    <row r="53" spans="1:32" x14ac:dyDescent="0.25">
      <c r="A53" s="276"/>
      <c r="B53" s="272" t="s">
        <v>241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5">
      <c r="A54" s="276"/>
      <c r="B54" s="272" t="s">
        <v>242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5">
      <c r="A55" s="276"/>
      <c r="B55" s="272" t="s">
        <v>243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5">
      <c r="A56" s="276"/>
      <c r="B56" s="272" t="s">
        <v>244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5">
      <c r="A57" s="276"/>
      <c r="B57" s="272" t="s">
        <v>245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5">
      <c r="A58" s="276"/>
      <c r="B58" s="272" t="s">
        <v>246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5">
      <c r="A59" s="276"/>
      <c r="B59" s="272" t="s">
        <v>247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5">
      <c r="A60" s="276"/>
      <c r="B60" s="272" t="s">
        <v>248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5">
      <c r="A61" s="276"/>
      <c r="B61" s="272" t="s">
        <v>249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5">
      <c r="A62" s="276"/>
      <c r="B62" s="272" t="s">
        <v>234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5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5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5">
      <c r="A65" s="276" t="s">
        <v>441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2195.7859837344054</v>
      </c>
      <c r="K65" s="293"/>
      <c r="L65" s="290"/>
      <c r="M65" s="291"/>
      <c r="N65" s="290"/>
      <c r="O65" s="273">
        <f>SUM(O40:O63)</f>
        <v>11088.719217858748</v>
      </c>
      <c r="Q65" s="293"/>
      <c r="R65" s="290"/>
      <c r="S65" s="273">
        <f>SUM(S40:S63)</f>
        <v>1774195.0748574</v>
      </c>
    </row>
    <row r="66" spans="1:19" x14ac:dyDescent="0.25">
      <c r="A66" s="279" t="s">
        <v>434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5">
      <c r="A67" s="279" t="s">
        <v>435</v>
      </c>
      <c r="I67" s="291">
        <f>I65*I66</f>
        <v>1774195.0748573996</v>
      </c>
      <c r="J67" s="286"/>
      <c r="K67" s="286"/>
      <c r="L67" s="286"/>
      <c r="M67" s="291"/>
      <c r="N67" s="286"/>
      <c r="O67" s="291">
        <f>O65*O66</f>
        <v>1774195.0748573998</v>
      </c>
      <c r="Q67" s="274"/>
      <c r="S67" s="291"/>
    </row>
    <row r="68" spans="1:19" x14ac:dyDescent="0.25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5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5">
      <c r="A70" s="271" t="s">
        <v>251</v>
      </c>
      <c r="B70" s="272" t="s">
        <v>236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5">
      <c r="A71" s="276"/>
      <c r="B71" s="272" t="s">
        <v>252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5">
      <c r="A72" s="276"/>
      <c r="B72" s="272" t="s">
        <v>226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5">
      <c r="A73" s="276"/>
      <c r="B73" s="272" t="s">
        <v>227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5">
      <c r="A74" s="276"/>
      <c r="B74" s="272" t="s">
        <v>228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5">
      <c r="A75" s="276"/>
      <c r="B75" s="272" t="s">
        <v>237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0.74257425742574257</v>
      </c>
      <c r="I75" s="291">
        <f t="shared" si="15"/>
        <v>418.65757722772275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3.75</v>
      </c>
      <c r="O75" s="291">
        <f t="shared" si="17"/>
        <v>2114.220765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600</v>
      </c>
      <c r="S75" s="291">
        <f t="shared" si="18"/>
        <v>338275.3224</v>
      </c>
    </row>
    <row r="76" spans="1:19" x14ac:dyDescent="0.25">
      <c r="A76" s="276"/>
      <c r="B76" s="272" t="s">
        <v>229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5">
      <c r="A77" s="276"/>
      <c r="B77" s="272" t="s">
        <v>230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0.74257425742574257</v>
      </c>
      <c r="I77" s="291">
        <f t="shared" si="15"/>
        <v>133.67915420792079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3.75</v>
      </c>
      <c r="O77" s="291">
        <f t="shared" si="17"/>
        <v>675.07972875000007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600</v>
      </c>
      <c r="S77" s="291">
        <f t="shared" si="18"/>
        <v>108012.75660000001</v>
      </c>
    </row>
    <row r="78" spans="1:19" x14ac:dyDescent="0.25">
      <c r="A78" s="276"/>
      <c r="B78" s="272" t="s">
        <v>231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5">
      <c r="A79" s="276"/>
      <c r="B79" s="272" t="s">
        <v>232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5">
      <c r="A80" s="276"/>
      <c r="B80" s="272" t="s">
        <v>233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5">
      <c r="A81" s="276"/>
      <c r="B81" s="272" t="s">
        <v>239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5">
      <c r="A82" s="276"/>
      <c r="B82" s="272" t="s">
        <v>240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</v>
      </c>
      <c r="I82" s="291">
        <f t="shared" si="15"/>
        <v>0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0</v>
      </c>
      <c r="M82" s="291">
        <f t="shared" si="16"/>
        <v>0</v>
      </c>
      <c r="N82" s="290">
        <f>LOOKUP(B82,'1.2 EDU Factors'!$A$12:$A$36, '1.2 EDU Factors'!$J$12:$J$36)</f>
        <v>0</v>
      </c>
      <c r="O82" s="291">
        <f t="shared" si="17"/>
        <v>0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0</v>
      </c>
      <c r="S82" s="291">
        <f t="shared" si="18"/>
        <v>0</v>
      </c>
    </row>
    <row r="83" spans="1:19" x14ac:dyDescent="0.25">
      <c r="A83" s="276"/>
      <c r="B83" s="272" t="s">
        <v>241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5">
      <c r="A84" s="276"/>
      <c r="B84" s="272" t="s">
        <v>253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5">
      <c r="A85" s="276"/>
      <c r="B85" s="272" t="s">
        <v>242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5">
      <c r="A86" s="276"/>
      <c r="B86" s="272" t="s">
        <v>244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5">
      <c r="A87" s="276"/>
      <c r="B87" s="272" t="s">
        <v>247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5">
      <c r="A88" s="276"/>
      <c r="B88" s="272" t="s">
        <v>249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5">
      <c r="A89" s="276"/>
      <c r="B89" s="272" t="s">
        <v>234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5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5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5">
      <c r="A92" s="276" t="s">
        <v>443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4455.2257504460404</v>
      </c>
      <c r="K92" s="293"/>
      <c r="L92" s="290"/>
      <c r="M92" s="291"/>
      <c r="N92" s="290"/>
      <c r="O92" s="273">
        <f>SUM(O70:O90)</f>
        <v>22498.890039752496</v>
      </c>
      <c r="Q92" s="293"/>
      <c r="R92" s="290"/>
      <c r="S92" s="273">
        <f>SUM(S70:S90)</f>
        <v>3599822.4063603999</v>
      </c>
    </row>
    <row r="93" spans="1:19" x14ac:dyDescent="0.25">
      <c r="A93" s="279" t="s">
        <v>434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5">
      <c r="A94" s="279" t="s">
        <v>435</v>
      </c>
      <c r="I94" s="291">
        <f>I92*I93</f>
        <v>3599822.4063604008</v>
      </c>
      <c r="J94" s="286"/>
      <c r="K94" s="286"/>
      <c r="L94" s="286"/>
      <c r="M94" s="291"/>
      <c r="N94" s="286"/>
      <c r="O94" s="291">
        <f>O92*O93</f>
        <v>3599822.4063603994</v>
      </c>
      <c r="Q94" s="274"/>
      <c r="S94" s="291"/>
    </row>
    <row r="95" spans="1:19" x14ac:dyDescent="0.25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5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5">
      <c r="A97" s="271" t="s">
        <v>254</v>
      </c>
      <c r="B97" s="272" t="s">
        <v>236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5">
      <c r="A98" s="276"/>
      <c r="B98" s="272" t="s">
        <v>252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5">
      <c r="A99" s="276"/>
      <c r="B99" s="272" t="s">
        <v>227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5">
      <c r="A100" s="276"/>
      <c r="B100" s="272" t="s">
        <v>228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5">
      <c r="A101" s="276"/>
      <c r="B101" s="272" t="s">
        <v>229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5">
      <c r="A102" s="276"/>
      <c r="B102" s="272" t="s">
        <v>231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5">
      <c r="A103" s="276"/>
      <c r="B103" s="272" t="s">
        <v>238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5">
      <c r="A104" s="276"/>
      <c r="B104" s="272" t="s">
        <v>253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5">
      <c r="A105" s="276"/>
      <c r="B105" s="272" t="s">
        <v>242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5">
      <c r="A106" s="276"/>
      <c r="B106" s="272" t="s">
        <v>244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5">
      <c r="A107" s="276"/>
      <c r="B107" s="272" t="s">
        <v>249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5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5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5">
      <c r="A110" s="276" t="s">
        <v>439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5">
      <c r="A111" s="279" t="s">
        <v>434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5">
      <c r="A112" s="279" t="s">
        <v>435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5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5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5">
      <c r="A115" s="271" t="s">
        <v>450</v>
      </c>
      <c r="B115" s="272" t="s">
        <v>227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5">
      <c r="A116" s="276"/>
      <c r="B116" s="272" t="s">
        <v>229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5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5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5">
      <c r="A119" s="276" t="s">
        <v>439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5">
      <c r="A120" s="279" t="s">
        <v>434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5">
      <c r="A121" s="279" t="s">
        <v>435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5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5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8" thickBot="1" x14ac:dyDescent="0.3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8" thickTop="1" x14ac:dyDescent="0.25">
      <c r="A125" s="277" t="s">
        <v>255</v>
      </c>
      <c r="B125" s="277" t="s">
        <v>255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8904.9565273836652</v>
      </c>
      <c r="K125" s="293"/>
      <c r="L125" s="290"/>
      <c r="M125" s="292"/>
      <c r="N125" s="290"/>
      <c r="O125" s="308">
        <f>O110+O92+O65+O22+O119</f>
        <v>44970.030463287498</v>
      </c>
      <c r="Q125" s="293"/>
      <c r="R125" s="290"/>
      <c r="S125" s="308">
        <f>S110+S92+S65+S22+S119</f>
        <v>7195204.8741259994</v>
      </c>
    </row>
    <row r="126" spans="1:19" x14ac:dyDescent="0.25">
      <c r="G126" s="293"/>
      <c r="K126" s="293"/>
      <c r="L126" s="290"/>
      <c r="M126" s="292"/>
      <c r="N126" s="290"/>
      <c r="Q126" s="293"/>
    </row>
    <row r="127" spans="1:19" x14ac:dyDescent="0.25">
      <c r="A127" s="279" t="s">
        <v>434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5">
      <c r="A128" s="279" t="s">
        <v>435</v>
      </c>
      <c r="I128" s="291">
        <f>I127*I125</f>
        <v>7195204.8741260013</v>
      </c>
      <c r="J128" s="286"/>
      <c r="K128" s="286"/>
      <c r="L128" s="286"/>
      <c r="M128" s="286"/>
      <c r="N128" s="286"/>
      <c r="O128" s="291">
        <f>O127*O125</f>
        <v>7195204.8741259994</v>
      </c>
      <c r="Q128" s="274"/>
      <c r="S128" s="291"/>
    </row>
    <row r="129" spans="1:33" x14ac:dyDescent="0.25">
      <c r="I129" s="286"/>
      <c r="J129" s="286"/>
      <c r="K129" s="286"/>
      <c r="L129" s="286"/>
      <c r="M129" s="286"/>
      <c r="N129" s="286"/>
      <c r="O129" s="286"/>
    </row>
    <row r="132" spans="1:33" x14ac:dyDescent="0.25">
      <c r="A132" s="303" t="s">
        <v>11</v>
      </c>
    </row>
    <row r="133" spans="1:33" s="274" customFormat="1" x14ac:dyDescent="0.25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281" t="s">
        <v>474</v>
      </c>
    </row>
    <row r="135" spans="1:33" x14ac:dyDescent="0.25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3.2" x14ac:dyDescent="0.25"/>
  <cols>
    <col min="1" max="1" width="13.6640625" style="279" customWidth="1"/>
    <col min="2" max="2" width="8.88671875" style="274"/>
    <col min="3" max="3" width="9.88671875" style="282" customWidth="1"/>
    <col min="4" max="4" width="4.109375" style="282" customWidth="1"/>
    <col min="5" max="5" width="11.33203125" style="274" customWidth="1"/>
    <col min="6" max="6" width="9.88671875" customWidth="1"/>
    <col min="7" max="7" width="11.33203125" customWidth="1"/>
    <col min="8" max="8" width="5.77734375" customWidth="1"/>
    <col min="9" max="9" width="10" bestFit="1" customWidth="1"/>
    <col min="10" max="10" width="7" customWidth="1"/>
    <col min="11" max="11" width="9.33203125" customWidth="1"/>
    <col min="12" max="12" width="7.5546875" bestFit="1" customWidth="1"/>
    <col min="13" max="13" width="16.109375" bestFit="1" customWidth="1"/>
    <col min="14" max="14" width="5.77734375" customWidth="1"/>
    <col min="15" max="15" width="8.6640625" customWidth="1"/>
    <col min="16" max="16" width="6.44140625" customWidth="1"/>
    <col min="17" max="17" width="14.33203125" customWidth="1"/>
    <col min="18" max="18" width="3.33203125" customWidth="1"/>
    <col min="19" max="19" width="5.88671875" customWidth="1"/>
    <col min="20" max="20" width="10.5546875" bestFit="1" customWidth="1"/>
    <col min="21" max="21" width="9.6640625" customWidth="1"/>
    <col min="22" max="22" width="4.5546875" customWidth="1"/>
    <col min="23" max="23" width="13.88671875" customWidth="1"/>
    <col min="24" max="24" width="9.44140625" customWidth="1"/>
    <col min="25" max="25" width="12.44140625" customWidth="1"/>
    <col min="26" max="26" width="10.6640625" customWidth="1"/>
  </cols>
  <sheetData>
    <row r="1" spans="1:30" x14ac:dyDescent="0.25">
      <c r="A1" s="171" t="s">
        <v>455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5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v8</v>
      </c>
    </row>
    <row r="3" spans="1:30" x14ac:dyDescent="0.25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41248</v>
      </c>
    </row>
    <row r="4" spans="1:30" x14ac:dyDescent="0.25">
      <c r="A4" s="171" t="s">
        <v>445</v>
      </c>
      <c r="B4"/>
      <c r="C4"/>
      <c r="D4"/>
      <c r="E4"/>
    </row>
    <row r="8" spans="1:30" ht="34.200000000000003" customHeight="1" x14ac:dyDescent="0.25">
      <c r="A8" s="302" t="s">
        <v>449</v>
      </c>
      <c r="B8" s="302" t="s">
        <v>423</v>
      </c>
      <c r="C8" s="319" t="s">
        <v>438</v>
      </c>
      <c r="D8" s="273"/>
      <c r="E8" s="302" t="s">
        <v>429</v>
      </c>
      <c r="F8" s="302" t="s">
        <v>427</v>
      </c>
      <c r="G8" s="302" t="s">
        <v>432</v>
      </c>
      <c r="H8" s="300"/>
      <c r="I8" s="302" t="s">
        <v>429</v>
      </c>
      <c r="J8" s="302" t="s">
        <v>430</v>
      </c>
      <c r="K8" s="302" t="s">
        <v>433</v>
      </c>
      <c r="L8" s="302" t="s">
        <v>431</v>
      </c>
      <c r="M8" s="302" t="s">
        <v>432</v>
      </c>
      <c r="P8" s="270"/>
    </row>
    <row r="9" spans="1:30" s="199" customFormat="1" x14ac:dyDescent="0.25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5">
      <c r="A10" s="271" t="s">
        <v>224</v>
      </c>
      <c r="B10" s="272"/>
      <c r="C10" s="273"/>
      <c r="D10" s="273"/>
      <c r="E10" s="272"/>
      <c r="AC10" s="274"/>
      <c r="AD10" s="275"/>
    </row>
    <row r="11" spans="1:30" x14ac:dyDescent="0.25">
      <c r="A11" s="276"/>
      <c r="B11" s="272" t="s">
        <v>226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5">
      <c r="A12" s="276"/>
      <c r="B12" s="272" t="s">
        <v>227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5">
      <c r="A13" s="276"/>
      <c r="B13" s="272" t="s">
        <v>228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5">
      <c r="A14" s="276"/>
      <c r="B14" s="272" t="s">
        <v>229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5">
      <c r="A15" s="276"/>
      <c r="B15" s="272" t="s">
        <v>230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0.74257425742574257</v>
      </c>
      <c r="G15" s="291">
        <f t="shared" si="0"/>
        <v>5.8743891089108908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3.75</v>
      </c>
      <c r="M15" s="291">
        <f t="shared" si="2"/>
        <v>29.665665000000001</v>
      </c>
      <c r="AC15" s="274"/>
      <c r="AD15" s="275"/>
    </row>
    <row r="16" spans="1:30" x14ac:dyDescent="0.25">
      <c r="A16" s="276"/>
      <c r="B16" s="272" t="s">
        <v>231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5">
      <c r="A17" s="276"/>
      <c r="B17" s="272" t="s">
        <v>232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5">
      <c r="A18" s="276"/>
      <c r="B18" s="272" t="s">
        <v>233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5">
      <c r="A19" s="276"/>
      <c r="B19" s="272" t="s">
        <v>234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5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5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5">
      <c r="A22" s="276" t="s">
        <v>440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647.54803981930695</v>
      </c>
      <c r="I22" s="293"/>
      <c r="J22" s="290"/>
      <c r="K22" s="291"/>
      <c r="L22" s="290"/>
      <c r="M22" s="273">
        <f>SUM(M10:M20)</f>
        <v>3270.1176010875006</v>
      </c>
      <c r="AC22" s="274"/>
      <c r="AD22" s="275"/>
    </row>
    <row r="23" spans="1:30" x14ac:dyDescent="0.25">
      <c r="A23" s="279" t="s">
        <v>434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5">
      <c r="A24" s="279" t="s">
        <v>435</v>
      </c>
      <c r="G24" s="291">
        <f>G22*G23</f>
        <v>523218.81617400004</v>
      </c>
      <c r="H24" s="286"/>
      <c r="I24" s="286"/>
      <c r="J24" s="286"/>
      <c r="K24" s="291"/>
      <c r="L24" s="286"/>
      <c r="M24" s="291">
        <f>M22*M23</f>
        <v>523218.81617400009</v>
      </c>
    </row>
    <row r="25" spans="1:30" x14ac:dyDescent="0.25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5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5">
      <c r="A27" s="271" t="s">
        <v>235</v>
      </c>
      <c r="B27" s="272" t="s">
        <v>236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5">
      <c r="A28" s="276"/>
      <c r="B28" s="272" t="s">
        <v>226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5">
      <c r="A29" s="276"/>
      <c r="B29" s="272" t="s">
        <v>227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5">
      <c r="A30" s="276"/>
      <c r="B30" s="272" t="s">
        <v>228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5">
      <c r="A31" s="276"/>
      <c r="B31" s="272" t="s">
        <v>237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0.74257425742574257</v>
      </c>
      <c r="G31" s="291">
        <f t="shared" si="3"/>
        <v>130.04545396039606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3.75</v>
      </c>
      <c r="M31" s="291">
        <f t="shared" si="5"/>
        <v>656.72954249999998</v>
      </c>
      <c r="AC31" s="274"/>
      <c r="AD31" s="275"/>
    </row>
    <row r="32" spans="1:30" x14ac:dyDescent="0.25">
      <c r="A32" s="276"/>
      <c r="B32" s="272" t="s">
        <v>229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5">
      <c r="A33" s="276"/>
      <c r="B33" s="272" t="s">
        <v>230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0.74257425742574257</v>
      </c>
      <c r="G33" s="291">
        <f t="shared" si="3"/>
        <v>391.96214777227721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3.75</v>
      </c>
      <c r="M33" s="291">
        <f t="shared" si="5"/>
        <v>1979.4088462499999</v>
      </c>
      <c r="AC33" s="274"/>
      <c r="AD33" s="275"/>
    </row>
    <row r="34" spans="1:30" x14ac:dyDescent="0.25">
      <c r="A34" s="276"/>
      <c r="B34" s="272" t="s">
        <v>231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5">
      <c r="A35" s="276"/>
      <c r="B35" s="272" t="s">
        <v>232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5">
      <c r="A36" s="276"/>
      <c r="B36" s="272" t="s">
        <v>238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5">
      <c r="A37" s="276"/>
      <c r="B37" s="272" t="s">
        <v>233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5">
      <c r="A38" s="276"/>
      <c r="B38" s="272" t="s">
        <v>239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5">
      <c r="A39" s="276"/>
      <c r="B39" s="272" t="s">
        <v>240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</v>
      </c>
      <c r="G39" s="291">
        <f t="shared" si="3"/>
        <v>0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0</v>
      </c>
      <c r="K39" s="291">
        <f t="shared" si="4"/>
        <v>0</v>
      </c>
      <c r="L39" s="290">
        <f>LOOKUP(B39,'1.2 EDU Factors'!$A$12:$A$36, '1.2 EDU Factors'!$J$12:$J$36)</f>
        <v>0</v>
      </c>
      <c r="M39" s="291">
        <f t="shared" si="5"/>
        <v>0</v>
      </c>
    </row>
    <row r="40" spans="1:30" x14ac:dyDescent="0.25">
      <c r="A40" s="276"/>
      <c r="B40" s="272" t="s">
        <v>241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5">
      <c r="A41" s="276"/>
      <c r="B41" s="272" t="s">
        <v>242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5">
      <c r="A42" s="276"/>
      <c r="B42" s="272" t="s">
        <v>243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5">
      <c r="A43" s="276"/>
      <c r="B43" s="272" t="s">
        <v>244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5">
      <c r="A44" s="276"/>
      <c r="B44" s="272" t="s">
        <v>245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5">
      <c r="A45" s="276"/>
      <c r="B45" s="272" t="s">
        <v>246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5">
      <c r="A46" s="276"/>
      <c r="B46" s="272" t="s">
        <v>247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5">
      <c r="A47" s="276"/>
      <c r="B47" s="272" t="s">
        <v>248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5">
      <c r="A48" s="276"/>
      <c r="B48" s="272" t="s">
        <v>249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5">
      <c r="A49" s="276"/>
      <c r="B49" s="272" t="s">
        <v>234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5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5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5">
      <c r="A52" s="276" t="s">
        <v>441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3160.5226985829208</v>
      </c>
      <c r="I52" s="293"/>
      <c r="J52" s="290"/>
      <c r="K52" s="291"/>
      <c r="L52" s="290"/>
      <c r="M52" s="273">
        <f>SUM(M27:M50)</f>
        <v>15960.639627843748</v>
      </c>
    </row>
    <row r="53" spans="1:13" x14ac:dyDescent="0.25">
      <c r="A53" s="279" t="s">
        <v>434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5">
      <c r="A54" s="279" t="s">
        <v>435</v>
      </c>
      <c r="G54" s="291">
        <f>G52*G53</f>
        <v>2553702.3404549998</v>
      </c>
      <c r="H54" s="286"/>
      <c r="I54" s="286"/>
      <c r="J54" s="286"/>
      <c r="K54" s="291"/>
      <c r="L54" s="286"/>
      <c r="M54" s="291">
        <f>M52*M53</f>
        <v>2553702.3404549998</v>
      </c>
    </row>
    <row r="55" spans="1:13" x14ac:dyDescent="0.25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5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5">
      <c r="A57" s="271" t="s">
        <v>250</v>
      </c>
      <c r="B57" s="272" t="s">
        <v>226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5">
      <c r="A58" s="276"/>
      <c r="B58" s="272" t="s">
        <v>227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5">
      <c r="A59" s="276"/>
      <c r="B59" s="272" t="s">
        <v>229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5">
      <c r="A60" s="276"/>
      <c r="B60" s="272" t="s">
        <v>230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0.74257425742574257</v>
      </c>
      <c r="G60" s="291">
        <f>F60*C60</f>
        <v>25.693631435643564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3.75</v>
      </c>
      <c r="M60" s="291">
        <f t="shared" si="6"/>
        <v>129.75283875</v>
      </c>
    </row>
    <row r="61" spans="1:13" x14ac:dyDescent="0.25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5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5">
      <c r="A63" s="276" t="s">
        <v>442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196.27042523391088</v>
      </c>
      <c r="I63" s="293"/>
      <c r="J63" s="290"/>
      <c r="K63" s="291"/>
      <c r="L63" s="290"/>
      <c r="M63" s="273">
        <f>SUM(M57:M61)</f>
        <v>991.16564743125002</v>
      </c>
    </row>
    <row r="64" spans="1:13" x14ac:dyDescent="0.25">
      <c r="A64" s="279" t="s">
        <v>434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5">
      <c r="A65" s="279" t="s">
        <v>435</v>
      </c>
      <c r="G65" s="291">
        <f>G63*G64</f>
        <v>158586.503589</v>
      </c>
      <c r="H65" s="286"/>
      <c r="I65" s="286"/>
      <c r="J65" s="286"/>
      <c r="K65" s="291"/>
      <c r="L65" s="286"/>
      <c r="M65" s="291">
        <f>M63*M64</f>
        <v>158586.503589</v>
      </c>
    </row>
    <row r="66" spans="1:13" x14ac:dyDescent="0.25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5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5">
      <c r="A68" s="271" t="s">
        <v>251</v>
      </c>
      <c r="B68" s="272" t="s">
        <v>236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5">
      <c r="A69" s="276"/>
      <c r="B69" s="272" t="s">
        <v>252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5">
      <c r="A70" s="276"/>
      <c r="B70" s="272" t="s">
        <v>226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5">
      <c r="A71" s="276"/>
      <c r="B71" s="272" t="s">
        <v>227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5">
      <c r="A72" s="276"/>
      <c r="B72" s="272" t="s">
        <v>228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5">
      <c r="A73" s="276"/>
      <c r="B73" s="272" t="s">
        <v>237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0.74257425742574257</v>
      </c>
      <c r="G73" s="291">
        <f t="shared" si="7"/>
        <v>418.65757722772275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3.75</v>
      </c>
      <c r="M73" s="291">
        <f t="shared" si="9"/>
        <v>2114.220765</v>
      </c>
    </row>
    <row r="74" spans="1:13" x14ac:dyDescent="0.25">
      <c r="A74" s="276"/>
      <c r="B74" s="272" t="s">
        <v>229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5">
      <c r="A75" s="276"/>
      <c r="B75" s="272" t="s">
        <v>230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0.74257425742574257</v>
      </c>
      <c r="G75" s="291">
        <f t="shared" si="7"/>
        <v>133.67915420792079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3.75</v>
      </c>
      <c r="M75" s="291">
        <f t="shared" si="9"/>
        <v>675.07972875000007</v>
      </c>
    </row>
    <row r="76" spans="1:13" x14ac:dyDescent="0.25">
      <c r="A76" s="276"/>
      <c r="B76" s="272" t="s">
        <v>231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5">
      <c r="A77" s="276"/>
      <c r="B77" s="272" t="s">
        <v>232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5">
      <c r="A78" s="276"/>
      <c r="B78" s="272" t="s">
        <v>233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5">
      <c r="A79" s="276"/>
      <c r="B79" s="272" t="s">
        <v>239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5">
      <c r="A80" s="276"/>
      <c r="B80" s="272" t="s">
        <v>240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</v>
      </c>
      <c r="G80" s="291">
        <f t="shared" si="7"/>
        <v>0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0</v>
      </c>
      <c r="K80" s="291">
        <f t="shared" si="8"/>
        <v>0</v>
      </c>
      <c r="L80" s="290">
        <f>LOOKUP(B80,'1.2 EDU Factors'!$A$12:$A$36, '1.2 EDU Factors'!$J$12:$J$36)</f>
        <v>0</v>
      </c>
      <c r="M80" s="291">
        <f t="shared" si="9"/>
        <v>0</v>
      </c>
    </row>
    <row r="81" spans="1:13" x14ac:dyDescent="0.25">
      <c r="A81" s="276"/>
      <c r="B81" s="272" t="s">
        <v>241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5">
      <c r="A82" s="276"/>
      <c r="B82" s="272" t="s">
        <v>253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5">
      <c r="A83" s="276"/>
      <c r="B83" s="272" t="s">
        <v>242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5">
      <c r="A84" s="276"/>
      <c r="B84" s="272" t="s">
        <v>244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5">
      <c r="A85" s="276"/>
      <c r="B85" s="272" t="s">
        <v>247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5">
      <c r="A86" s="276"/>
      <c r="B86" s="272" t="s">
        <v>249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5">
      <c r="A87" s="276"/>
      <c r="B87" s="272" t="s">
        <v>234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5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5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5">
      <c r="A90" s="276" t="s">
        <v>443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5998.900978106436</v>
      </c>
      <c r="I90" s="293"/>
      <c r="J90" s="290"/>
      <c r="K90" s="291"/>
      <c r="L90" s="290"/>
      <c r="M90" s="273">
        <f>SUM(M68:M88)</f>
        <v>30294.449939437498</v>
      </c>
    </row>
    <row r="91" spans="1:13" x14ac:dyDescent="0.25">
      <c r="A91" s="279" t="s">
        <v>434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5">
      <c r="A92" s="279" t="s">
        <v>435</v>
      </c>
      <c r="G92" s="291">
        <f>G90*G91</f>
        <v>4847111.9903100003</v>
      </c>
      <c r="H92" s="286"/>
      <c r="I92" s="286"/>
      <c r="J92" s="286"/>
      <c r="K92" s="291"/>
      <c r="L92" s="286"/>
      <c r="M92" s="291">
        <f>M90*M91</f>
        <v>4847111.9903099993</v>
      </c>
    </row>
    <row r="93" spans="1:13" x14ac:dyDescent="0.25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5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5">
      <c r="A95" s="271" t="s">
        <v>254</v>
      </c>
      <c r="B95" s="272" t="s">
        <v>236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5">
      <c r="A96" s="276"/>
      <c r="B96" s="272" t="s">
        <v>252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5">
      <c r="A97" s="276"/>
      <c r="B97" s="272" t="s">
        <v>227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5">
      <c r="A98" s="276"/>
      <c r="B98" s="272" t="s">
        <v>228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5">
      <c r="A99" s="276"/>
      <c r="B99" s="272" t="s">
        <v>229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5">
      <c r="A100" s="276"/>
      <c r="B100" s="272" t="s">
        <v>231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5">
      <c r="A101" s="276"/>
      <c r="B101" s="272" t="s">
        <v>238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5">
      <c r="A102" s="276"/>
      <c r="B102" s="272" t="s">
        <v>253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5">
      <c r="A103" s="276"/>
      <c r="B103" s="272" t="s">
        <v>242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5">
      <c r="A104" s="276"/>
      <c r="B104" s="272" t="s">
        <v>244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5">
      <c r="A105" s="276"/>
      <c r="B105" s="272" t="s">
        <v>249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5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5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5">
      <c r="A108" s="276" t="s">
        <v>439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5">
      <c r="A109" s="279" t="s">
        <v>434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5">
      <c r="A110" s="279" t="s">
        <v>435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5">
      <c r="G111" s="291"/>
      <c r="H111" s="286"/>
      <c r="I111" s="286"/>
      <c r="J111" s="286"/>
      <c r="K111" s="286"/>
      <c r="L111" s="286"/>
      <c r="M111" s="291"/>
    </row>
    <row r="112" spans="1:13" x14ac:dyDescent="0.25">
      <c r="G112" s="291"/>
      <c r="H112" s="286"/>
      <c r="I112" s="286"/>
      <c r="J112" s="286"/>
      <c r="K112" s="286"/>
      <c r="L112" s="286"/>
      <c r="M112" s="291"/>
    </row>
    <row r="113" spans="1:13" x14ac:dyDescent="0.25">
      <c r="A113" s="271" t="s">
        <v>450</v>
      </c>
      <c r="B113" s="272" t="s">
        <v>227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5">
      <c r="A114" s="276"/>
      <c r="B114" s="272" t="s">
        <v>229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5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5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5">
      <c r="A117" s="276" t="s">
        <v>439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5">
      <c r="A118" s="279" t="s">
        <v>434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5">
      <c r="A119" s="279" t="s">
        <v>435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5">
      <c r="G120" s="291"/>
      <c r="H120" s="286"/>
      <c r="I120" s="286"/>
      <c r="J120" s="286"/>
      <c r="K120" s="286"/>
      <c r="L120" s="286"/>
      <c r="M120" s="291"/>
    </row>
    <row r="121" spans="1:13" x14ac:dyDescent="0.25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8" thickBot="1" x14ac:dyDescent="0.3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8" thickTop="1" x14ac:dyDescent="0.25">
      <c r="A123" s="277" t="s">
        <v>255</v>
      </c>
      <c r="B123" s="277" t="s">
        <v>255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11916.981870056932</v>
      </c>
      <c r="I123" s="293"/>
      <c r="J123" s="290"/>
      <c r="K123" s="292"/>
      <c r="L123" s="290"/>
      <c r="M123" s="308">
        <f>M108+M90+M63+M52+M22+M117</f>
        <v>60180.75844378749</v>
      </c>
    </row>
    <row r="124" spans="1:13" x14ac:dyDescent="0.25">
      <c r="E124" s="293"/>
      <c r="I124" s="293"/>
      <c r="J124" s="290"/>
      <c r="K124" s="292"/>
      <c r="L124" s="290"/>
    </row>
    <row r="125" spans="1:13" x14ac:dyDescent="0.25">
      <c r="A125" s="279" t="s">
        <v>434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5">
      <c r="A126" s="279" t="s">
        <v>435</v>
      </c>
      <c r="G126" s="291">
        <f>G125*G123</f>
        <v>9628921.3510060012</v>
      </c>
      <c r="H126" s="286"/>
      <c r="I126" s="286"/>
      <c r="J126" s="286"/>
      <c r="K126" s="286"/>
      <c r="L126" s="286"/>
      <c r="M126" s="291">
        <f>M125*M123</f>
        <v>9628921.3510059975</v>
      </c>
    </row>
    <row r="127" spans="1:13" x14ac:dyDescent="0.25">
      <c r="G127" s="286"/>
      <c r="H127" s="286"/>
      <c r="I127" s="286"/>
      <c r="J127" s="286"/>
      <c r="K127" s="286"/>
      <c r="L127" s="286"/>
      <c r="M127" s="286"/>
    </row>
    <row r="130" spans="1:31" x14ac:dyDescent="0.25">
      <c r="A130" s="303" t="s">
        <v>11</v>
      </c>
    </row>
    <row r="131" spans="1:31" s="274" customFormat="1" x14ac:dyDescent="0.25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5">
      <c r="A132" s="281" t="s">
        <v>424</v>
      </c>
    </row>
    <row r="133" spans="1:31" x14ac:dyDescent="0.25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111" activePane="bottomRight" state="frozen"/>
      <selection pane="topRight" activeCell="D1" sqref="D1"/>
      <selection pane="bottomLeft" activeCell="A10" sqref="A10"/>
      <selection pane="bottomRight" activeCell="G130" sqref="G130"/>
    </sheetView>
  </sheetViews>
  <sheetFormatPr defaultRowHeight="13.2" x14ac:dyDescent="0.25"/>
  <cols>
    <col min="1" max="1" width="6.109375" customWidth="1"/>
    <col min="2" max="2" width="30.6640625" customWidth="1"/>
    <col min="3" max="3" width="14.33203125" bestFit="1" customWidth="1"/>
    <col min="4" max="5" width="14.109375" bestFit="1" customWidth="1"/>
    <col min="6" max="6" width="14.33203125" bestFit="1" customWidth="1"/>
    <col min="7" max="7" width="14.109375" customWidth="1"/>
    <col min="8" max="9" width="14.109375" bestFit="1" customWidth="1"/>
    <col min="10" max="10" width="10.44140625" bestFit="1" customWidth="1"/>
    <col min="11" max="11" width="14.109375" customWidth="1"/>
    <col min="12" max="12" width="13.109375" customWidth="1"/>
    <col min="13" max="13" width="16.33203125" bestFit="1" customWidth="1"/>
    <col min="14" max="14" width="14.109375" bestFit="1" customWidth="1"/>
  </cols>
  <sheetData>
    <row r="1" spans="1:14" x14ac:dyDescent="0.25">
      <c r="A1" s="171" t="s">
        <v>77</v>
      </c>
      <c r="M1" s="51" t="str">
        <f>Assumptions!$B$12</f>
        <v>Internal</v>
      </c>
    </row>
    <row r="2" spans="1:14" x14ac:dyDescent="0.25">
      <c r="A2" s="171" t="str">
        <f>Assumptions!B10</f>
        <v>City of Manteca</v>
      </c>
      <c r="M2" s="52" t="str">
        <f>Assumptions!$B$13</f>
        <v>Working Draft - v8</v>
      </c>
    </row>
    <row r="3" spans="1:14" x14ac:dyDescent="0.25">
      <c r="A3" s="171" t="str">
        <f>Assumptions!B18</f>
        <v>PFF Sewer Collection Fee</v>
      </c>
      <c r="M3" s="53">
        <f>Assumptions!$B$14</f>
        <v>41248</v>
      </c>
    </row>
    <row r="4" spans="1:14" x14ac:dyDescent="0.25">
      <c r="A4" s="171" t="s">
        <v>369</v>
      </c>
    </row>
    <row r="7" spans="1:14" x14ac:dyDescent="0.25">
      <c r="C7" s="223" t="s">
        <v>47</v>
      </c>
      <c r="D7" s="223" t="s">
        <v>379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299</v>
      </c>
      <c r="K7" s="322" t="s">
        <v>335</v>
      </c>
      <c r="L7" s="223" t="s">
        <v>47</v>
      </c>
      <c r="M7" s="223"/>
    </row>
    <row r="8" spans="1:14" x14ac:dyDescent="0.25">
      <c r="C8" s="223" t="s">
        <v>301</v>
      </c>
      <c r="D8" s="223" t="s">
        <v>380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363</v>
      </c>
      <c r="M8" s="223"/>
    </row>
    <row r="9" spans="1:14" x14ac:dyDescent="0.25">
      <c r="B9" s="224" t="s">
        <v>302</v>
      </c>
      <c r="C9" s="225" t="s">
        <v>5</v>
      </c>
      <c r="D9" s="225" t="s">
        <v>364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364</v>
      </c>
      <c r="M9" s="225" t="s">
        <v>9</v>
      </c>
      <c r="N9" s="243" t="s">
        <v>61</v>
      </c>
    </row>
    <row r="12" spans="1:14" x14ac:dyDescent="0.25">
      <c r="A12" s="7" t="s">
        <v>378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5">
      <c r="B13" s="171" t="s">
        <v>491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5">
      <c r="B14" s="171" t="s">
        <v>458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5">
      <c r="B15" s="171" t="s">
        <v>346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5">
      <c r="B16" s="171" t="s">
        <v>345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5">
      <c r="B17" s="171" t="s">
        <v>348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5">
      <c r="B18" s="171" t="s">
        <v>333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5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5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5">
      <c r="B21" s="171" t="s">
        <v>462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5">
      <c r="B22" s="171" t="s">
        <v>464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5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5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5">
      <c r="B25" s="171" t="s">
        <v>465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5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5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5">
      <c r="A28" s="7" t="s">
        <v>377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5">
      <c r="B29" s="171" t="s">
        <v>357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5">
      <c r="B30" s="171" t="s">
        <v>313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5">
      <c r="B31" s="171" t="s">
        <v>349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5">
      <c r="B32" s="171" t="s">
        <v>493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5">
      <c r="B33" s="171" t="s">
        <v>341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5">
      <c r="B34" s="171" t="s">
        <v>342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5">
      <c r="B35" s="171" t="s">
        <v>456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5">
      <c r="B36" s="171" t="s">
        <v>457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5">
      <c r="B37" s="171" t="s">
        <v>494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5">
      <c r="B38" s="171" t="s">
        <v>343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5">
      <c r="B39" s="171" t="s">
        <v>354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5">
      <c r="B40" s="171" t="s">
        <v>361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5">
      <c r="B41" s="171" t="s">
        <v>355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5">
      <c r="B42" s="171" t="s">
        <v>356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5">
      <c r="B43" s="171" t="s">
        <v>337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5">
      <c r="B44" s="171" t="s">
        <v>338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5">
      <c r="B45" s="171" t="s">
        <v>339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5">
      <c r="B46" s="171" t="s">
        <v>334</v>
      </c>
      <c r="C46" s="357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5">
      <c r="B47" s="171" t="s">
        <v>336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5">
      <c r="B48" s="171" t="s">
        <v>330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5">
      <c r="B49" s="171" t="s">
        <v>331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5">
      <c r="B50" s="171" t="s">
        <v>332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5">
      <c r="B51" s="171" t="s">
        <v>328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5">
      <c r="B52" s="171" t="s">
        <v>329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5">
      <c r="B53" s="171" t="s">
        <v>322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5">
      <c r="B54" s="171" t="s">
        <v>323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5">
      <c r="B55" s="171" t="s">
        <v>324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5">
      <c r="B56" s="171" t="s">
        <v>325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5">
      <c r="B57" s="171" t="s">
        <v>326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5">
      <c r="B58" s="171" t="s">
        <v>319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5">
      <c r="B59" s="171" t="s">
        <v>320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5">
      <c r="B60" s="171" t="s">
        <v>321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5">
      <c r="B61" s="171" t="s">
        <v>317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5">
      <c r="B62" s="171" t="s">
        <v>318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5">
      <c r="B63" s="171" t="s">
        <v>315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5">
      <c r="B64" s="171" t="s">
        <v>316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5">
      <c r="B65" s="171" t="s">
        <v>352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5">
      <c r="B66" s="171" t="s">
        <v>303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5">
      <c r="B67" s="171" t="s">
        <v>304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5">
      <c r="B68" s="171" t="s">
        <v>305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5">
      <c r="B69" s="171" t="s">
        <v>306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5">
      <c r="B70" s="171" t="s">
        <v>314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5">
      <c r="B71" s="171" t="s">
        <v>307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5">
      <c r="B72" s="171" t="s">
        <v>308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5">
      <c r="B73" s="171" t="s">
        <v>309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5">
      <c r="B74" s="171" t="s">
        <v>310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5">
      <c r="B75" s="171" t="s">
        <v>311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5">
      <c r="B76" s="171" t="s">
        <v>312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5">
      <c r="B77" s="171" t="s">
        <v>351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5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5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5">
      <c r="B80" s="171" t="s">
        <v>381</v>
      </c>
      <c r="C80" s="97">
        <f>SUM(C28:C79)</f>
        <v>42114000</v>
      </c>
      <c r="D80" s="97">
        <f>SUM(D28:D79)</f>
        <v>5949320</v>
      </c>
      <c r="E80" s="97">
        <f>SUM(E28:E79)</f>
        <v>2085337</v>
      </c>
      <c r="F80" s="97">
        <f>SUM(F28:F79)</f>
        <v>14007343</v>
      </c>
      <c r="G80" s="97">
        <f>SUM(G28:G79)</f>
        <v>0</v>
      </c>
      <c r="H80" s="97">
        <f>SUM(H28:H79)</f>
        <v>18078950</v>
      </c>
      <c r="I80" s="97">
        <f>SUM(I28:I79)</f>
        <v>1458490</v>
      </c>
      <c r="J80" s="97">
        <f>SUM(J28:J79)</f>
        <v>534560</v>
      </c>
      <c r="K80" s="97">
        <f>SUM(K28:K79)</f>
        <v>0</v>
      </c>
      <c r="L80" s="97">
        <f>SUM(L28:L79)</f>
        <v>36164680</v>
      </c>
      <c r="M80" s="97">
        <f>SUM(M28:M79)</f>
        <v>42114000</v>
      </c>
      <c r="N80" s="97">
        <f>SUM(N28:N79)</f>
        <v>0</v>
      </c>
    </row>
    <row r="81" spans="1:14" x14ac:dyDescent="0.25">
      <c r="B81" s="171" t="s">
        <v>464</v>
      </c>
      <c r="C81" s="97">
        <f>C80*0.08</f>
        <v>3369120</v>
      </c>
      <c r="D81" s="97">
        <f t="shared" ref="D81" si="18">D80*0.08</f>
        <v>475945.60000000003</v>
      </c>
      <c r="E81" s="97">
        <f t="shared" ref="E81" si="19">E80*0.08</f>
        <v>166826.96</v>
      </c>
      <c r="F81" s="97">
        <f t="shared" ref="F81" si="20">F80*0.08</f>
        <v>1120587.44</v>
      </c>
      <c r="G81" s="97">
        <f t="shared" ref="G81" si="21">G80*0.08</f>
        <v>0</v>
      </c>
      <c r="H81" s="97">
        <f t="shared" ref="H81" si="22">H80*0.08</f>
        <v>1446316</v>
      </c>
      <c r="I81" s="97">
        <f t="shared" ref="I81" si="23">I80*0.08</f>
        <v>116679.2</v>
      </c>
      <c r="J81" s="97">
        <f t="shared" ref="J81" si="24">J80*0.08</f>
        <v>42764.800000000003</v>
      </c>
      <c r="K81" s="97">
        <f t="shared" ref="K81" si="25">K80*0.08</f>
        <v>0</v>
      </c>
      <c r="L81" s="97">
        <f t="shared" ref="L81" si="26">L80*0.08</f>
        <v>2893174.4</v>
      </c>
      <c r="M81" s="97">
        <f t="shared" ref="M81" si="27">M80*0.08</f>
        <v>3369120</v>
      </c>
      <c r="N81" s="97">
        <f t="shared" ref="N81" si="28">N80*0.08</f>
        <v>0</v>
      </c>
    </row>
    <row r="82" spans="1:14" x14ac:dyDescent="0.25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5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5">
      <c r="B84" s="171" t="s">
        <v>466</v>
      </c>
      <c r="C84" s="97">
        <f>C80+C81</f>
        <v>45483120</v>
      </c>
      <c r="D84" s="97">
        <f t="shared" ref="D84:N84" si="29">D80+D81</f>
        <v>6425265.5999999996</v>
      </c>
      <c r="E84" s="97">
        <f t="shared" si="29"/>
        <v>2252163.96</v>
      </c>
      <c r="F84" s="97">
        <f t="shared" si="29"/>
        <v>15127930.439999999</v>
      </c>
      <c r="G84" s="97">
        <f t="shared" si="29"/>
        <v>0</v>
      </c>
      <c r="H84" s="97">
        <f t="shared" si="29"/>
        <v>19525266</v>
      </c>
      <c r="I84" s="97">
        <f t="shared" si="29"/>
        <v>1575169.2</v>
      </c>
      <c r="J84" s="97">
        <f t="shared" si="29"/>
        <v>577324.80000000005</v>
      </c>
      <c r="K84" s="97">
        <f t="shared" si="29"/>
        <v>0</v>
      </c>
      <c r="L84" s="97">
        <f t="shared" si="29"/>
        <v>39057854.399999999</v>
      </c>
      <c r="M84" s="97">
        <f t="shared" si="29"/>
        <v>45483120</v>
      </c>
      <c r="N84" s="97">
        <f t="shared" si="29"/>
        <v>0</v>
      </c>
    </row>
    <row r="85" spans="1:14" x14ac:dyDescent="0.25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5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5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5">
      <c r="A88" s="7" t="s">
        <v>382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5">
      <c r="B89" s="171" t="s">
        <v>490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0">SUM(E89:K89)</f>
        <v>1145000</v>
      </c>
      <c r="M89" s="97">
        <f t="shared" ref="M89:M98" si="31">L89+D89</f>
        <v>1145000</v>
      </c>
      <c r="N89" s="321">
        <f t="shared" ref="N89:N98" si="32">M89-C89</f>
        <v>0</v>
      </c>
    </row>
    <row r="90" spans="1:14" x14ac:dyDescent="0.25">
      <c r="B90" s="171" t="s">
        <v>350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0"/>
        <v>780000</v>
      </c>
      <c r="M90" s="97">
        <f t="shared" si="31"/>
        <v>780000</v>
      </c>
      <c r="N90" s="321">
        <f t="shared" si="32"/>
        <v>0</v>
      </c>
    </row>
    <row r="91" spans="1:14" x14ac:dyDescent="0.25">
      <c r="B91" s="171" t="s">
        <v>327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0"/>
        <v>1145000</v>
      </c>
      <c r="M91" s="97">
        <f t="shared" si="31"/>
        <v>1145000</v>
      </c>
      <c r="N91" s="321">
        <f t="shared" si="32"/>
        <v>0</v>
      </c>
    </row>
    <row r="92" spans="1:14" x14ac:dyDescent="0.25">
      <c r="B92" s="171" t="s">
        <v>362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0"/>
        <v>1145000</v>
      </c>
      <c r="M92" s="97">
        <f t="shared" si="31"/>
        <v>1145000</v>
      </c>
      <c r="N92" s="321">
        <f t="shared" si="32"/>
        <v>0</v>
      </c>
    </row>
    <row r="93" spans="1:14" x14ac:dyDescent="0.25">
      <c r="B93" s="171" t="s">
        <v>347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0"/>
        <v>1145000</v>
      </c>
      <c r="M93" s="97">
        <f t="shared" si="31"/>
        <v>1145000</v>
      </c>
      <c r="N93" s="321">
        <f t="shared" si="32"/>
        <v>0</v>
      </c>
    </row>
    <row r="94" spans="1:14" x14ac:dyDescent="0.25">
      <c r="B94" s="171" t="s">
        <v>344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0"/>
        <v>1145000</v>
      </c>
      <c r="M94" s="97">
        <f t="shared" si="31"/>
        <v>1145000</v>
      </c>
      <c r="N94" s="321">
        <f t="shared" si="32"/>
        <v>0</v>
      </c>
    </row>
    <row r="95" spans="1:14" x14ac:dyDescent="0.25">
      <c r="B95" s="171" t="s">
        <v>340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0"/>
        <v>780000</v>
      </c>
      <c r="M95" s="97">
        <f t="shared" si="31"/>
        <v>780000</v>
      </c>
      <c r="N95" s="321">
        <f t="shared" si="32"/>
        <v>0</v>
      </c>
    </row>
    <row r="96" spans="1:14" x14ac:dyDescent="0.25">
      <c r="B96" s="171" t="s">
        <v>359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0"/>
        <v>100000</v>
      </c>
      <c r="M96" s="97">
        <f t="shared" si="31"/>
        <v>100000</v>
      </c>
      <c r="N96" s="321">
        <f t="shared" si="32"/>
        <v>0</v>
      </c>
    </row>
    <row r="97" spans="2:14" x14ac:dyDescent="0.25">
      <c r="B97" s="171" t="s">
        <v>360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0"/>
        <v>100000</v>
      </c>
      <c r="M97" s="97">
        <f t="shared" si="31"/>
        <v>100000</v>
      </c>
      <c r="N97" s="321">
        <f t="shared" si="32"/>
        <v>0</v>
      </c>
    </row>
    <row r="98" spans="2:14" x14ac:dyDescent="0.25">
      <c r="B98" s="171" t="s">
        <v>358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0"/>
        <v>100000</v>
      </c>
      <c r="M98" s="97">
        <f t="shared" si="31"/>
        <v>100000</v>
      </c>
      <c r="N98" s="321">
        <f t="shared" si="32"/>
        <v>0</v>
      </c>
    </row>
    <row r="99" spans="2:14" x14ac:dyDescent="0.25">
      <c r="B99" s="171" t="s">
        <v>492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3">SUM(E99:K99)</f>
        <v>780000</v>
      </c>
      <c r="M99" s="97">
        <f t="shared" ref="M99" si="34">L99+D99</f>
        <v>780000</v>
      </c>
      <c r="N99" s="321">
        <f t="shared" ref="N99" si="35">M99-C99</f>
        <v>0</v>
      </c>
    </row>
    <row r="100" spans="2:14" x14ac:dyDescent="0.25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5">
      <c r="B101" s="171" t="s">
        <v>489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6">SUM(E101:K101)</f>
        <v>780000</v>
      </c>
      <c r="M101" s="97">
        <f t="shared" ref="M101" si="37">L101+D101</f>
        <v>780000</v>
      </c>
      <c r="N101" s="321">
        <f t="shared" ref="N101" si="38">M101-C101</f>
        <v>0</v>
      </c>
    </row>
    <row r="102" spans="2:14" x14ac:dyDescent="0.25">
      <c r="B102" s="171" t="s">
        <v>353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39">SUM(E102:K102)</f>
        <v>780000</v>
      </c>
      <c r="M102" s="97">
        <f t="shared" ref="M102" si="40">L102+D102</f>
        <v>780000</v>
      </c>
      <c r="N102" s="321">
        <f t="shared" ref="N102" si="41">M102-C102</f>
        <v>0</v>
      </c>
    </row>
    <row r="103" spans="2:14" x14ac:dyDescent="0.25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5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5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5">
      <c r="B106" s="171" t="s">
        <v>384</v>
      </c>
      <c r="C106" s="97">
        <f>SUM(C88:C105)</f>
        <v>9925000</v>
      </c>
      <c r="D106" s="97">
        <f>SUM(D88:D105)</f>
        <v>0</v>
      </c>
      <c r="E106" s="97">
        <f>SUM(E88:E105)</f>
        <v>0</v>
      </c>
      <c r="F106" s="97">
        <f>SUM(F88:F105)</f>
        <v>2705000</v>
      </c>
      <c r="G106" s="97">
        <f>SUM(G88:G105)</f>
        <v>0</v>
      </c>
      <c r="H106" s="97">
        <f>SUM(H88:H105)</f>
        <v>5239000</v>
      </c>
      <c r="I106" s="97">
        <f>SUM(I88:I105)</f>
        <v>1185000</v>
      </c>
      <c r="J106" s="97">
        <f>SUM(J88:J105)</f>
        <v>796000</v>
      </c>
      <c r="K106" s="97">
        <f>SUM(K88:K105)</f>
        <v>0</v>
      </c>
      <c r="L106" s="97">
        <f>SUM(L88:L105)</f>
        <v>9925000</v>
      </c>
      <c r="M106" s="97">
        <f>SUM(M88:M105)</f>
        <v>9925000</v>
      </c>
      <c r="N106" s="97">
        <f>SUM(N88:N105)</f>
        <v>0</v>
      </c>
    </row>
    <row r="107" spans="2:14" x14ac:dyDescent="0.25">
      <c r="B107" s="171" t="s">
        <v>467</v>
      </c>
      <c r="C107" s="97">
        <f>C106*0.12</f>
        <v>1191000</v>
      </c>
      <c r="D107" s="97">
        <f t="shared" ref="D107:N107" si="42">D106*0.12</f>
        <v>0</v>
      </c>
      <c r="E107" s="97">
        <f t="shared" si="42"/>
        <v>0</v>
      </c>
      <c r="F107" s="97">
        <f t="shared" si="42"/>
        <v>324600</v>
      </c>
      <c r="G107" s="97">
        <f t="shared" si="42"/>
        <v>0</v>
      </c>
      <c r="H107" s="97">
        <f t="shared" si="42"/>
        <v>628680</v>
      </c>
      <c r="I107" s="97">
        <f t="shared" si="42"/>
        <v>142200</v>
      </c>
      <c r="J107" s="97">
        <f t="shared" si="42"/>
        <v>95520</v>
      </c>
      <c r="K107" s="97">
        <f t="shared" si="42"/>
        <v>0</v>
      </c>
      <c r="L107" s="97">
        <f t="shared" si="42"/>
        <v>1191000</v>
      </c>
      <c r="M107" s="97">
        <f t="shared" si="42"/>
        <v>1191000</v>
      </c>
      <c r="N107" s="97">
        <f t="shared" si="42"/>
        <v>0</v>
      </c>
    </row>
    <row r="108" spans="2:14" x14ac:dyDescent="0.25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5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5">
      <c r="B110" s="171" t="s">
        <v>468</v>
      </c>
      <c r="C110" s="97">
        <f>C106+C107</f>
        <v>11116000</v>
      </c>
      <c r="D110" s="97">
        <f t="shared" ref="D110:N110" si="43">D106+D107</f>
        <v>0</v>
      </c>
      <c r="E110" s="97">
        <f t="shared" si="43"/>
        <v>0</v>
      </c>
      <c r="F110" s="97">
        <f t="shared" si="43"/>
        <v>3029600</v>
      </c>
      <c r="G110" s="97">
        <f t="shared" si="43"/>
        <v>0</v>
      </c>
      <c r="H110" s="97">
        <f t="shared" si="43"/>
        <v>5867680</v>
      </c>
      <c r="I110" s="97">
        <f t="shared" si="43"/>
        <v>1327200</v>
      </c>
      <c r="J110" s="97">
        <f t="shared" si="43"/>
        <v>891520</v>
      </c>
      <c r="K110" s="97">
        <f t="shared" si="43"/>
        <v>0</v>
      </c>
      <c r="L110" s="97">
        <f t="shared" si="43"/>
        <v>11116000</v>
      </c>
      <c r="M110" s="97">
        <f t="shared" si="43"/>
        <v>11116000</v>
      </c>
      <c r="N110" s="97">
        <f t="shared" si="43"/>
        <v>0</v>
      </c>
    </row>
    <row r="111" spans="2:14" x14ac:dyDescent="0.25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5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5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5">
      <c r="A114" s="7" t="s">
        <v>383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5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5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5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5">
      <c r="B118" s="171" t="s">
        <v>385</v>
      </c>
      <c r="C118" s="97">
        <f t="shared" ref="C118:N118" si="44">SUM(C114:C117)</f>
        <v>0</v>
      </c>
      <c r="D118" s="97">
        <f t="shared" si="44"/>
        <v>0</v>
      </c>
      <c r="E118" s="97">
        <f t="shared" si="44"/>
        <v>0</v>
      </c>
      <c r="F118" s="97">
        <f t="shared" si="44"/>
        <v>0</v>
      </c>
      <c r="G118" s="97">
        <f t="shared" si="44"/>
        <v>0</v>
      </c>
      <c r="H118" s="97">
        <f t="shared" si="44"/>
        <v>0</v>
      </c>
      <c r="I118" s="97">
        <f t="shared" si="44"/>
        <v>0</v>
      </c>
      <c r="J118" s="97">
        <f t="shared" si="44"/>
        <v>0</v>
      </c>
      <c r="K118" s="97">
        <f t="shared" si="44"/>
        <v>0</v>
      </c>
      <c r="L118" s="97">
        <f t="shared" si="44"/>
        <v>0</v>
      </c>
      <c r="M118" s="97">
        <f t="shared" si="44"/>
        <v>0</v>
      </c>
      <c r="N118" s="97">
        <f t="shared" si="44"/>
        <v>0</v>
      </c>
    </row>
    <row r="119" spans="1:14" x14ac:dyDescent="0.25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5"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</row>
    <row r="121" spans="1:14" x14ac:dyDescent="0.25">
      <c r="C121" s="359"/>
      <c r="D121" s="360"/>
      <c r="E121" s="360"/>
      <c r="F121" s="360"/>
      <c r="G121" s="360"/>
      <c r="H121" s="360"/>
      <c r="I121" s="360"/>
      <c r="J121" s="360"/>
      <c r="K121" s="360"/>
      <c r="L121" s="360"/>
      <c r="M121" s="360"/>
      <c r="N121" s="361"/>
    </row>
    <row r="122" spans="1:14" x14ac:dyDescent="0.25">
      <c r="A122" s="7" t="s">
        <v>461</v>
      </c>
      <c r="C122" s="334">
        <f>C118+C106+C80+C21</f>
        <v>54936000</v>
      </c>
      <c r="D122" s="332">
        <f>D118+D106+D80+D21</f>
        <v>5949320</v>
      </c>
      <c r="E122" s="332">
        <f>E118+E106+E80+E21</f>
        <v>2085337</v>
      </c>
      <c r="F122" s="332">
        <f>F118+F106+F80+F21</f>
        <v>17048343</v>
      </c>
      <c r="G122" s="332">
        <f>G118+G106+G80+G21</f>
        <v>0</v>
      </c>
      <c r="H122" s="332">
        <f>H118+H106+H80+H21</f>
        <v>25602950</v>
      </c>
      <c r="I122" s="332">
        <f>I118+I106+I80+I21</f>
        <v>2643490</v>
      </c>
      <c r="J122" s="332">
        <f>J118+J106+J80+J21</f>
        <v>1606560</v>
      </c>
      <c r="K122" s="332">
        <f>K118+K106+K80+K21</f>
        <v>0</v>
      </c>
      <c r="L122" s="332">
        <f>L118+L106+L80+L21</f>
        <v>48986680</v>
      </c>
      <c r="M122" s="332">
        <f>M118+M106+M80+M21</f>
        <v>54936000</v>
      </c>
      <c r="N122" s="335">
        <f>N118+N106+N80+N21</f>
        <v>0</v>
      </c>
    </row>
    <row r="123" spans="1:14" x14ac:dyDescent="0.25">
      <c r="A123" s="7" t="s">
        <v>67</v>
      </c>
      <c r="C123" s="334">
        <f>C119+C107+C81+C22</f>
        <v>4791880</v>
      </c>
      <c r="D123" s="332">
        <f>D119+D107+D81+D22</f>
        <v>475945.60000000003</v>
      </c>
      <c r="E123" s="332">
        <f>E119+E107+E81+E22</f>
        <v>166826.96</v>
      </c>
      <c r="F123" s="332">
        <f>F119+F107+F81+F22</f>
        <v>1472067.44</v>
      </c>
      <c r="G123" s="332">
        <f>G119+G107+G81+G22</f>
        <v>0</v>
      </c>
      <c r="H123" s="332">
        <f>H119+H107+H81+H22</f>
        <v>2257796</v>
      </c>
      <c r="I123" s="332">
        <f>I119+I107+I81+I22</f>
        <v>258879.2</v>
      </c>
      <c r="J123" s="332">
        <f>J119+J107+J81+J22</f>
        <v>160364.79999999999</v>
      </c>
      <c r="K123" s="332">
        <f>K119+K107+K81+K22</f>
        <v>0</v>
      </c>
      <c r="L123" s="332">
        <f>L119+L107+L81+L22</f>
        <v>4315934.4000000004</v>
      </c>
      <c r="M123" s="332">
        <f>M119+M107+M81+M22</f>
        <v>4791880</v>
      </c>
      <c r="N123" s="335">
        <f>N119+N107+N81+N22</f>
        <v>0</v>
      </c>
    </row>
    <row r="124" spans="1:14" x14ac:dyDescent="0.25">
      <c r="C124" s="362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63"/>
    </row>
    <row r="125" spans="1:14" x14ac:dyDescent="0.25">
      <c r="C125" s="364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65"/>
    </row>
    <row r="126" spans="1:14" x14ac:dyDescent="0.25">
      <c r="A126" s="7" t="s">
        <v>495</v>
      </c>
      <c r="C126" s="334">
        <f>C122+C123</f>
        <v>59727880</v>
      </c>
      <c r="D126" s="332">
        <f t="shared" ref="D126:N126" si="45">D122+D123</f>
        <v>6425265.5999999996</v>
      </c>
      <c r="E126" s="332">
        <f t="shared" si="45"/>
        <v>2252163.96</v>
      </c>
      <c r="F126" s="332">
        <f t="shared" si="45"/>
        <v>18520410.440000001</v>
      </c>
      <c r="G126" s="332">
        <f t="shared" si="45"/>
        <v>0</v>
      </c>
      <c r="H126" s="332">
        <f t="shared" si="45"/>
        <v>27860746</v>
      </c>
      <c r="I126" s="332">
        <f t="shared" si="45"/>
        <v>2902369.2</v>
      </c>
      <c r="J126" s="332">
        <f t="shared" si="45"/>
        <v>1766924.8</v>
      </c>
      <c r="K126" s="332">
        <f t="shared" si="45"/>
        <v>0</v>
      </c>
      <c r="L126" s="332">
        <f t="shared" si="45"/>
        <v>53302614.399999999</v>
      </c>
      <c r="M126" s="332">
        <f t="shared" si="45"/>
        <v>59727880</v>
      </c>
      <c r="N126" s="335">
        <f t="shared" si="45"/>
        <v>0</v>
      </c>
    </row>
    <row r="127" spans="1:14" x14ac:dyDescent="0.25">
      <c r="C127" s="362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63"/>
    </row>
    <row r="128" spans="1:14" x14ac:dyDescent="0.25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5">
      <c r="B133" s="171" t="s">
        <v>368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3.2" x14ac:dyDescent="0.25"/>
  <cols>
    <col min="1" max="1" width="2.109375" customWidth="1"/>
    <col min="2" max="2" width="3.33203125" customWidth="1"/>
    <col min="3" max="3" width="42.109375" customWidth="1"/>
    <col min="4" max="4" width="5.5546875" customWidth="1"/>
    <col min="5" max="5" width="15.6640625" bestFit="1" customWidth="1"/>
    <col min="6" max="6" width="16.109375" bestFit="1" customWidth="1"/>
    <col min="12" max="12" width="30" customWidth="1"/>
    <col min="13" max="13" width="14.5546875" customWidth="1"/>
    <col min="14" max="14" width="15.33203125" customWidth="1"/>
  </cols>
  <sheetData>
    <row r="1" spans="1:6" x14ac:dyDescent="0.25">
      <c r="A1" s="7" t="s">
        <v>77</v>
      </c>
      <c r="F1" s="1" t="str">
        <f>Assumptions!$B$12</f>
        <v>Internal</v>
      </c>
    </row>
    <row r="2" spans="1:6" x14ac:dyDescent="0.25">
      <c r="A2" s="7" t="str">
        <f>Assumptions!$B$10</f>
        <v>City of Manteca</v>
      </c>
      <c r="F2" s="2" t="str">
        <f>Assumptions!$B$13</f>
        <v>Working Draft - v8</v>
      </c>
    </row>
    <row r="3" spans="1:6" x14ac:dyDescent="0.25">
      <c r="A3" s="7" t="str">
        <f>Assumptions!$B$18</f>
        <v>PFF Sewer Collection Fee</v>
      </c>
      <c r="F3" s="3">
        <f>Assumptions!$B$14</f>
        <v>41248</v>
      </c>
    </row>
    <row r="4" spans="1:6" x14ac:dyDescent="0.25">
      <c r="A4" s="7" t="s">
        <v>83</v>
      </c>
    </row>
    <row r="8" spans="1:6" x14ac:dyDescent="0.25">
      <c r="A8" s="8"/>
      <c r="B8" s="8"/>
      <c r="C8" s="8"/>
      <c r="D8" s="8"/>
      <c r="E8" s="353" t="s">
        <v>14</v>
      </c>
      <c r="F8" s="353"/>
    </row>
    <row r="9" spans="1:6" x14ac:dyDescent="0.25">
      <c r="A9" s="9"/>
      <c r="B9" s="9"/>
      <c r="C9" s="9"/>
      <c r="D9" s="9"/>
      <c r="E9" s="9" t="s">
        <v>15</v>
      </c>
      <c r="F9" s="10" t="s">
        <v>16</v>
      </c>
    </row>
    <row r="10" spans="1:6" x14ac:dyDescent="0.25">
      <c r="A10" s="48"/>
      <c r="B10" s="48"/>
      <c r="C10" s="48"/>
      <c r="D10" s="48"/>
      <c r="E10" s="48"/>
      <c r="F10" s="49"/>
    </row>
    <row r="11" spans="1:6" x14ac:dyDescent="0.25">
      <c r="A11" s="7" t="s">
        <v>81</v>
      </c>
      <c r="B11" s="11"/>
      <c r="C11" s="11"/>
      <c r="D11" s="11"/>
      <c r="E11" s="11"/>
      <c r="F11" s="12"/>
    </row>
    <row r="12" spans="1:6" x14ac:dyDescent="0.25">
      <c r="A12" s="7"/>
      <c r="B12" s="11" t="s">
        <v>17</v>
      </c>
      <c r="C12" s="11"/>
      <c r="D12" s="11"/>
      <c r="E12" s="11"/>
      <c r="F12" s="13"/>
    </row>
    <row r="13" spans="1:6" x14ac:dyDescent="0.25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5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5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5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5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5">
      <c r="A18" s="7"/>
      <c r="B18" s="11"/>
      <c r="C18" s="11"/>
      <c r="D18" s="11"/>
      <c r="E18" s="11"/>
      <c r="F18" s="14"/>
    </row>
    <row r="19" spans="1:6" x14ac:dyDescent="0.25">
      <c r="A19" s="7"/>
      <c r="B19" s="11" t="s">
        <v>23</v>
      </c>
      <c r="C19" s="11"/>
      <c r="D19" s="11"/>
      <c r="E19" s="11"/>
      <c r="F19" s="14"/>
    </row>
    <row r="20" spans="1:6" x14ac:dyDescent="0.25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5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5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5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5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5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5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5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5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5">
      <c r="A29" s="7"/>
      <c r="B29" s="11"/>
      <c r="C29" s="11"/>
      <c r="D29" s="11"/>
      <c r="E29" s="14"/>
      <c r="F29" s="14"/>
    </row>
    <row r="30" spans="1:6" x14ac:dyDescent="0.25">
      <c r="A30" s="7" t="s">
        <v>82</v>
      </c>
      <c r="B30" s="11"/>
      <c r="C30" s="11"/>
      <c r="D30" s="11"/>
      <c r="E30" s="11"/>
      <c r="F30" s="14"/>
    </row>
    <row r="31" spans="1:6" x14ac:dyDescent="0.25">
      <c r="A31" s="7"/>
      <c r="B31" s="11" t="s">
        <v>32</v>
      </c>
      <c r="C31" s="11"/>
      <c r="D31" s="11"/>
      <c r="E31" s="11"/>
      <c r="F31" s="14"/>
    </row>
    <row r="32" spans="1:6" x14ac:dyDescent="0.25">
      <c r="A32" s="7"/>
      <c r="C32" s="11" t="s">
        <v>33</v>
      </c>
      <c r="D32" s="11"/>
      <c r="E32" s="11"/>
      <c r="F32" s="14">
        <v>750000</v>
      </c>
    </row>
    <row r="33" spans="1:6" x14ac:dyDescent="0.25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5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5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5">
      <c r="A36" s="7"/>
      <c r="B36" s="11"/>
      <c r="C36" s="11"/>
      <c r="D36" s="11"/>
      <c r="E36" s="11"/>
      <c r="F36" s="14"/>
    </row>
    <row r="37" spans="1:6" x14ac:dyDescent="0.25">
      <c r="A37" s="7"/>
      <c r="B37" s="11" t="s">
        <v>37</v>
      </c>
      <c r="C37" s="11"/>
      <c r="D37" s="11"/>
      <c r="E37" s="11"/>
      <c r="F37" s="14"/>
    </row>
    <row r="38" spans="1:6" x14ac:dyDescent="0.25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5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5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5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5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5">
      <c r="A43" s="11"/>
      <c r="B43" s="11"/>
      <c r="C43" s="11"/>
      <c r="D43" s="11"/>
      <c r="E43" s="28"/>
      <c r="F43" s="28"/>
    </row>
    <row r="44" spans="1:6" x14ac:dyDescent="0.25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5">
      <c r="A45" s="11"/>
      <c r="B45" s="7"/>
      <c r="C45" s="7"/>
      <c r="D45" s="7"/>
      <c r="E45" s="15"/>
      <c r="F45" s="15"/>
    </row>
    <row r="46" spans="1:6" x14ac:dyDescent="0.25">
      <c r="A46" s="11"/>
      <c r="B46" s="7"/>
      <c r="C46" s="7"/>
      <c r="D46" s="7"/>
      <c r="E46" s="15"/>
      <c r="F46" s="15"/>
    </row>
    <row r="47" spans="1:6" x14ac:dyDescent="0.25">
      <c r="A47" s="7" t="s">
        <v>71</v>
      </c>
      <c r="B47" s="11"/>
      <c r="C47" s="11"/>
      <c r="D47" s="11"/>
      <c r="E47" s="11"/>
      <c r="F47" s="11"/>
    </row>
    <row r="48" spans="1:6" x14ac:dyDescent="0.25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5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5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5">
      <c r="A51" s="11"/>
      <c r="B51" s="7"/>
      <c r="C51" s="11"/>
      <c r="D51" s="16"/>
      <c r="E51" s="17"/>
      <c r="F51" s="17"/>
    </row>
    <row r="52" spans="1:6" x14ac:dyDescent="0.25">
      <c r="A52" s="11"/>
      <c r="B52" s="11"/>
      <c r="C52" s="11"/>
      <c r="D52" s="11"/>
      <c r="E52" s="11"/>
      <c r="F52" s="11"/>
    </row>
    <row r="53" spans="1:6" ht="23.25" customHeight="1" x14ac:dyDescent="0.25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5"/>
    <row r="55" spans="1:6" x14ac:dyDescent="0.25">
      <c r="A55" s="20" t="s">
        <v>45</v>
      </c>
    </row>
    <row r="58" spans="1:6" x14ac:dyDescent="0.25">
      <c r="B58" t="s">
        <v>11</v>
      </c>
    </row>
    <row r="59" spans="1:6" x14ac:dyDescent="0.25">
      <c r="B59" t="s">
        <v>78</v>
      </c>
    </row>
    <row r="61" spans="1:6" x14ac:dyDescent="0.25">
      <c r="B61" s="171" t="s">
        <v>220</v>
      </c>
    </row>
    <row r="69" ht="18.75" customHeight="1" x14ac:dyDescent="0.25"/>
    <row r="72" ht="4.5" customHeight="1" x14ac:dyDescent="0.25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RowHeight="13.2" x14ac:dyDescent="0.25"/>
  <cols>
    <col min="1" max="1" width="38.44140625" style="50" bestFit="1" customWidth="1"/>
    <col min="2" max="2" width="2.6640625" style="50" customWidth="1"/>
    <col min="3" max="3" width="10.5546875" style="50" bestFit="1" customWidth="1"/>
    <col min="4" max="4" width="9.44140625" style="50" bestFit="1" customWidth="1"/>
    <col min="5" max="5" width="12.6640625" style="50" bestFit="1" customWidth="1"/>
    <col min="6" max="6" width="12" style="50" bestFit="1" customWidth="1"/>
    <col min="7" max="8" width="12.33203125" style="50" bestFit="1" customWidth="1"/>
    <col min="9" max="10" width="12.6640625" style="50" bestFit="1" customWidth="1"/>
    <col min="11" max="11" width="8.88671875" style="50"/>
    <col min="12" max="12" width="6.33203125" style="50" bestFit="1" customWidth="1"/>
    <col min="13" max="13" width="12.6640625" style="50" hidden="1" customWidth="1"/>
    <col min="14" max="14" width="16.109375" style="50" bestFit="1" customWidth="1"/>
    <col min="15" max="15" width="8.88671875" style="50"/>
    <col min="16" max="16" width="12.6640625" style="50" hidden="1" customWidth="1"/>
    <col min="17" max="17" width="10.88671875" style="50" bestFit="1" customWidth="1"/>
    <col min="18" max="16384" width="8.88671875" style="50"/>
  </cols>
  <sheetData>
    <row r="1" spans="1:16" x14ac:dyDescent="0.25">
      <c r="A1" s="209" t="s">
        <v>88</v>
      </c>
      <c r="N1" s="51" t="str">
        <f>Assumptions!$B$12</f>
        <v>Internal</v>
      </c>
    </row>
    <row r="2" spans="1:16" x14ac:dyDescent="0.25">
      <c r="A2" s="50" t="str">
        <f>Assumptions!B10</f>
        <v>City of Manteca</v>
      </c>
      <c r="N2" s="52" t="str">
        <f>Assumptions!$B$13</f>
        <v>Working Draft - v8</v>
      </c>
    </row>
    <row r="3" spans="1:16" x14ac:dyDescent="0.25">
      <c r="A3" s="50" t="str">
        <f>Assumptions!B18</f>
        <v>PFF Sewer Collection Fee</v>
      </c>
      <c r="N3" s="53">
        <f>Assumptions!$B$14</f>
        <v>41248</v>
      </c>
    </row>
    <row r="4" spans="1:16" x14ac:dyDescent="0.25">
      <c r="A4" s="50" t="s">
        <v>132</v>
      </c>
      <c r="N4" s="95"/>
    </row>
    <row r="5" spans="1:16" x14ac:dyDescent="0.25">
      <c r="N5" s="95"/>
    </row>
    <row r="6" spans="1:16" x14ac:dyDescent="0.25">
      <c r="N6" s="95"/>
    </row>
    <row r="9" spans="1:16" x14ac:dyDescent="0.25">
      <c r="C9" s="354" t="s">
        <v>89</v>
      </c>
      <c r="D9" s="355"/>
      <c r="E9" s="355"/>
      <c r="F9" s="355"/>
      <c r="G9" s="355"/>
      <c r="H9" s="355"/>
      <c r="I9" s="355"/>
      <c r="J9" s="355"/>
      <c r="K9" s="355"/>
      <c r="L9" s="356"/>
      <c r="M9" s="54"/>
    </row>
    <row r="10" spans="1:16" x14ac:dyDescent="0.25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5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5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5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5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5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5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5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5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5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5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5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5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5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5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5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5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5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5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5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5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5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5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5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5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5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5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5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5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5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5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5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5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5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5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5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5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5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8" thickBot="1" x14ac:dyDescent="0.3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8" thickTop="1" x14ac:dyDescent="0.25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5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5">
      <c r="N53" s="61"/>
    </row>
    <row r="54" spans="1:16" x14ac:dyDescent="0.25">
      <c r="A54" s="92" t="s">
        <v>124</v>
      </c>
      <c r="N54" s="61"/>
    </row>
    <row r="55" spans="1:16" x14ac:dyDescent="0.25">
      <c r="A55" s="50" t="s">
        <v>125</v>
      </c>
      <c r="N55" s="61">
        <f t="shared" ref="N55:N65" si="8">SUM(C55:M55)</f>
        <v>0</v>
      </c>
    </row>
    <row r="56" spans="1:16" x14ac:dyDescent="0.25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5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5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5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5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5">
      <c r="A61" s="50" t="s">
        <v>127</v>
      </c>
      <c r="N61" s="61">
        <f t="shared" si="8"/>
        <v>0</v>
      </c>
    </row>
    <row r="62" spans="1:16" x14ac:dyDescent="0.25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5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5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5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5">
      <c r="A67" s="92" t="s">
        <v>131</v>
      </c>
      <c r="N67" s="61"/>
    </row>
    <row r="68" spans="1:14" x14ac:dyDescent="0.25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5">
      <c r="A69" s="50" t="s">
        <v>0</v>
      </c>
      <c r="D69" s="62"/>
      <c r="N69" s="61">
        <f t="shared" si="10"/>
        <v>0</v>
      </c>
    </row>
    <row r="70" spans="1:14" x14ac:dyDescent="0.25">
      <c r="A70" s="50" t="s">
        <v>1</v>
      </c>
      <c r="E70" s="62"/>
      <c r="N70" s="61">
        <f t="shared" si="10"/>
        <v>0</v>
      </c>
    </row>
    <row r="71" spans="1:14" x14ac:dyDescent="0.25">
      <c r="A71" s="50" t="s">
        <v>2</v>
      </c>
      <c r="F71" s="62"/>
      <c r="N71" s="61">
        <f t="shared" si="10"/>
        <v>0</v>
      </c>
    </row>
    <row r="72" spans="1:14" x14ac:dyDescent="0.25">
      <c r="A72" s="50" t="s">
        <v>3</v>
      </c>
      <c r="G72" s="62"/>
      <c r="N72" s="61">
        <f t="shared" si="10"/>
        <v>0</v>
      </c>
    </row>
    <row r="73" spans="1:14" x14ac:dyDescent="0.25">
      <c r="A73" s="50" t="s">
        <v>126</v>
      </c>
      <c r="G73" s="62"/>
      <c r="N73" s="61">
        <f t="shared" si="10"/>
        <v>0</v>
      </c>
    </row>
    <row r="74" spans="1:14" x14ac:dyDescent="0.25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5">
      <c r="A75" s="50" t="s">
        <v>128</v>
      </c>
      <c r="G75" s="62"/>
      <c r="N75" s="61">
        <f t="shared" si="10"/>
        <v>0</v>
      </c>
    </row>
    <row r="76" spans="1:14" x14ac:dyDescent="0.25">
      <c r="A76" s="50" t="s">
        <v>4</v>
      </c>
      <c r="K76" s="62">
        <f>K64</f>
        <v>0</v>
      </c>
      <c r="N76" s="61">
        <f t="shared" si="10"/>
        <v>0</v>
      </c>
    </row>
    <row r="77" spans="1:14" x14ac:dyDescent="0.25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5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5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QD2UCF5UJE4V-699202894-400</_dlc_DocId>
    <_dlc_DocIdUrl xmlns="7184055b-e5ea-4162-8b19-ace5c644b73a">
      <Url>http://intranet2/pw/_layouts/15/DocIdRedir.aspx?ID=QD2UCF5UJE4V-699202894-400</Url>
      <Description>QD2UCF5UJE4V-699202894-400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27370C-0927-42DE-8DBD-F2036547E5A8}"/>
</file>

<file path=customXml/itemProps2.xml><?xml version="1.0" encoding="utf-8"?>
<ds:datastoreItem xmlns:ds="http://schemas.openxmlformats.org/officeDocument/2006/customXml" ds:itemID="{2EB18F94-469E-4B52-AD37-7C5E3ABE76EE}"/>
</file>

<file path=customXml/itemProps3.xml><?xml version="1.0" encoding="utf-8"?>
<ds:datastoreItem xmlns:ds="http://schemas.openxmlformats.org/officeDocument/2006/customXml" ds:itemID="{6796C65D-48E3-40E4-A827-0BE3554B6CB0}"/>
</file>

<file path=customXml/itemProps4.xml><?xml version="1.0" encoding="utf-8"?>
<ds:datastoreItem xmlns:ds="http://schemas.openxmlformats.org/officeDocument/2006/customXml" ds:itemID="{9C28B295-65DA-4544-834F-956A94ADA09A}"/>
</file>

<file path=customXml/itemProps5.xml><?xml version="1.0" encoding="utf-8"?>
<ds:datastoreItem xmlns:ds="http://schemas.openxmlformats.org/officeDocument/2006/customXml" ds:itemID="{1EBF1360-69CC-49F6-B781-AEBD8576DE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BT</cp:lastModifiedBy>
  <cp:lastPrinted>2012-12-05T21:47:15Z</cp:lastPrinted>
  <dcterms:created xsi:type="dcterms:W3CDTF">2012-01-03T01:48:06Z</dcterms:created>
  <dcterms:modified xsi:type="dcterms:W3CDTF">2012-12-06T04:12:45Z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d2cc468f-445d-45a4-b78c-c1383141717a</vt:lpwstr>
  </property>
  <property fmtid="{D5CDD505-2E9C-101B-9397-08002B2CF9AE}" pid="4" name="Order">
    <vt:r8>12400</vt:r8>
  </property>
  <property fmtid="{D5CDD505-2E9C-101B-9397-08002B2CF9AE}" pid="5" name="TemplateUrl">
    <vt:lpwstr/>
  </property>
  <property fmtid="{D5CDD505-2E9C-101B-9397-08002B2CF9AE}" pid="6" name="_dlc_DocId">
    <vt:lpwstr>DS6S4WKU732Q-3-124</vt:lpwstr>
  </property>
  <property fmtid="{D5CDD505-2E9C-101B-9397-08002B2CF9AE}" pid="7" name="_dlc_DocIdUrl">
    <vt:lpwstr>http://intranet:12013/_layouts/DocIdRedir.aspx?ID=DS6S4WKU732Q-3-124, DS6S4WKU732Q-3-124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