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1640" tabRatio="692" firstSheet="5" activeTab="6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" sheetId="12" r:id="rId7"/>
    <sheet name="A-7 Peaking Costs" sheetId="13" r:id="rId8"/>
    <sheet name="A-8 Dist Summary" sheetId="16" r:id="rId9"/>
    <sheet name="A-9 Dist Costs" sheetId="17" r:id="rId10"/>
    <sheet name="A10" sheetId="5" state="hidden" r:id="rId11"/>
    <sheet name="A-10 Finance Assumptions" sheetId="15" r:id="rId12"/>
    <sheet name="PFIP" sheetId="6" r:id="rId13"/>
    <sheet name="3.6" sheetId="7" r:id="rId14"/>
  </sheets>
  <externalReferences>
    <externalReference r:id="rId15"/>
  </externalReferences>
  <definedNames>
    <definedName name="_FIN_ASSUM_03">'A-10 Finance Assumptions'!$A$1</definedName>
    <definedName name="_ISSUANCE_COST">'A-10 Finance Assumptions'!$A$50</definedName>
    <definedName name="_Order1" hidden="1">255</definedName>
    <definedName name="P_FINANCE_ASSUM">'A-10 Finance Assumptions'!$A$4:$F$46</definedName>
    <definedName name="_xlnm.Print_Area" localSheetId="2">'A-2 Groundwater Sup Fee'!$A$1:$D$38</definedName>
    <definedName name="VARIABLE">'A-10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/>
</workbook>
</file>

<file path=xl/calcChain.xml><?xml version="1.0" encoding="utf-8"?>
<calcChain xmlns="http://schemas.openxmlformats.org/spreadsheetml/2006/main">
  <c r="C14" i="12" l="1"/>
  <c r="C11" i="8"/>
  <c r="C10" i="8"/>
  <c r="C16" i="12" l="1"/>
  <c r="C18" i="12"/>
  <c r="C6" i="12"/>
  <c r="C8" i="12" s="1"/>
  <c r="C20" i="12" l="1"/>
  <c r="C44" i="14" s="1"/>
  <c r="E19" i="1"/>
  <c r="D33" i="14" l="1"/>
  <c r="C18" i="13" l="1"/>
  <c r="H22" i="12" l="1"/>
  <c r="H20" i="12"/>
  <c r="D44" i="14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73" i="15"/>
  <c r="B71" i="15"/>
  <c r="B73" i="15" s="1"/>
  <c r="B77" i="15" s="1"/>
  <c r="B14" i="15"/>
  <c r="B16" i="15" s="1"/>
  <c r="E40" i="14"/>
  <c r="D40" i="14"/>
  <c r="C40" i="14"/>
  <c r="B40" i="14"/>
  <c r="F39" i="14"/>
  <c r="F38" i="14"/>
  <c r="F40" i="14" s="1"/>
  <c r="F21" i="14"/>
  <c r="E16" i="14"/>
  <c r="E19" i="14" s="1"/>
  <c r="F14" i="14"/>
  <c r="H24" i="12" l="1"/>
  <c r="B10" i="16"/>
  <c r="D17" i="17"/>
  <c r="D18" i="17" s="1"/>
  <c r="D26" i="17"/>
  <c r="D27" i="17" s="1"/>
  <c r="C10" i="16" s="1"/>
  <c r="D10" i="16" s="1"/>
  <c r="D35" i="17"/>
  <c r="D36" i="17" s="1"/>
  <c r="C9" i="16" s="1"/>
  <c r="C8" i="16"/>
  <c r="D8" i="16" s="1"/>
  <c r="D9" i="16"/>
  <c r="E18" i="14"/>
  <c r="E24" i="14" s="1"/>
  <c r="E28" i="14" s="1"/>
  <c r="D13" i="16" l="1"/>
  <c r="E30" i="14"/>
  <c r="E34" i="14"/>
  <c r="E29" i="14"/>
  <c r="D15" i="16" l="1"/>
  <c r="D15" i="14"/>
  <c r="D16" i="14" l="1"/>
  <c r="D18" i="16"/>
  <c r="D22" i="16" s="1"/>
  <c r="D24" i="16" s="1"/>
  <c r="D24" i="14" l="1"/>
  <c r="D34" i="14" s="1"/>
  <c r="D28" i="14" l="1"/>
  <c r="D35" i="14" l="1"/>
  <c r="D29" i="14"/>
  <c r="D30" i="14" l="1"/>
  <c r="D42" i="14"/>
  <c r="D46" i="14" s="1"/>
  <c r="E11" i="1" l="1"/>
  <c r="E10" i="1" s="1"/>
  <c r="E4" i="12"/>
  <c r="M4" i="7" s="1"/>
  <c r="M6" i="7" s="1"/>
  <c r="P6" i="7" s="1"/>
  <c r="E16" i="12"/>
  <c r="H16" i="12" s="1"/>
  <c r="E22" i="12"/>
  <c r="C16" i="13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B44" i="14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E20" i="12" l="1"/>
  <c r="E24" i="12" s="1"/>
  <c r="C21" i="13"/>
  <c r="F44" i="14"/>
  <c r="C20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22" i="13" l="1"/>
  <c r="C15" i="14" s="1"/>
  <c r="C16" i="14" s="1"/>
  <c r="C27" i="13"/>
  <c r="C25" i="13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26" i="13" l="1"/>
  <c r="C28" i="13" s="1"/>
  <c r="K5" i="7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B16" i="14" l="1"/>
  <c r="F15" i="14"/>
  <c r="C30" i="13"/>
  <c r="C22" i="12" s="1"/>
  <c r="C24" i="12" s="1"/>
  <c r="C18" i="14"/>
  <c r="C22" i="8"/>
  <c r="C23" i="8"/>
  <c r="C24" i="8"/>
  <c r="J6" i="7"/>
  <c r="D7" i="7"/>
  <c r="E13" i="1"/>
  <c r="D43" i="5"/>
  <c r="F7" i="6"/>
  <c r="F16" i="14" l="1"/>
  <c r="C24" i="14"/>
  <c r="C19" i="14"/>
  <c r="C26" i="8"/>
  <c r="K6" i="7"/>
  <c r="I7" i="7" s="1"/>
  <c r="E7" i="7"/>
  <c r="C8" i="7" s="1"/>
  <c r="F9" i="6"/>
  <c r="F10" i="6" s="1"/>
  <c r="E16" i="1"/>
  <c r="E12" i="1"/>
  <c r="E18" i="1"/>
  <c r="E14" i="1"/>
  <c r="E17" i="1"/>
  <c r="E15" i="1"/>
  <c r="C28" i="8" l="1"/>
  <c r="C30" i="8" s="1"/>
  <c r="C32" i="8" s="1"/>
  <c r="B18" i="14"/>
  <c r="C28" i="14"/>
  <c r="C34" i="14"/>
  <c r="J7" i="7"/>
  <c r="D8" i="7"/>
  <c r="B24" i="14" l="1"/>
  <c r="F18" i="14"/>
  <c r="F19" i="14" s="1"/>
  <c r="B19" i="14"/>
  <c r="C35" i="14"/>
  <c r="C29" i="14"/>
  <c r="K7" i="7"/>
  <c r="I8" i="7" s="1"/>
  <c r="E8" i="7"/>
  <c r="C9" i="7" s="1"/>
  <c r="B28" i="14" l="1"/>
  <c r="B34" i="14"/>
  <c r="F24" i="14"/>
  <c r="B25" i="14" s="1"/>
  <c r="C42" i="14"/>
  <c r="C46" i="14" s="1"/>
  <c r="D11" i="1" s="1"/>
  <c r="C30" i="14"/>
  <c r="J8" i="7"/>
  <c r="K8" i="7" s="1"/>
  <c r="I9" i="7" s="1"/>
  <c r="D9" i="7"/>
  <c r="E9" i="7" s="1"/>
  <c r="C10" i="7" s="1"/>
  <c r="D10" i="1" l="1"/>
  <c r="D19" i="1"/>
  <c r="B29" i="14"/>
  <c r="F28" i="14"/>
  <c r="C25" i="14"/>
  <c r="D25" i="14"/>
  <c r="E25" i="14"/>
  <c r="F25" i="14"/>
  <c r="B35" i="14"/>
  <c r="B42" i="14" s="1"/>
  <c r="F34" i="14"/>
  <c r="D12" i="1"/>
  <c r="D14" i="1"/>
  <c r="D16" i="1"/>
  <c r="D13" i="1"/>
  <c r="D15" i="1"/>
  <c r="D17" i="1"/>
  <c r="D18" i="1"/>
  <c r="J9" i="7"/>
  <c r="K9" i="7" s="1"/>
  <c r="I10" i="7" s="1"/>
  <c r="D10" i="7"/>
  <c r="E10" i="7" s="1"/>
  <c r="C11" i="7" s="1"/>
  <c r="D11" i="7" s="1"/>
  <c r="E11" i="7" s="1"/>
  <c r="C12" i="7" s="1"/>
  <c r="B20" i="15" l="1"/>
  <c r="B22" i="15" s="1"/>
  <c r="B46" i="14"/>
  <c r="F29" i="14"/>
  <c r="F30" i="14" s="1"/>
  <c r="B30" i="14"/>
  <c r="J10" i="7"/>
  <c r="K10" i="7" s="1"/>
  <c r="I11" i="7" s="1"/>
  <c r="D12" i="7"/>
  <c r="E12" i="7" s="1"/>
  <c r="C13" i="7" s="1"/>
  <c r="C11" i="1" l="1"/>
  <c r="C16" i="1" s="1"/>
  <c r="F16" i="1" s="1"/>
  <c r="F46" i="14"/>
  <c r="B76" i="15"/>
  <c r="B34" i="15"/>
  <c r="C22" i="15" s="1"/>
  <c r="J11" i="7"/>
  <c r="K11" i="7" s="1"/>
  <c r="I12" i="7" s="1"/>
  <c r="D13" i="7"/>
  <c r="E13" i="7" s="1"/>
  <c r="C14" i="7" s="1"/>
  <c r="C13" i="1" l="1"/>
  <c r="F13" i="1" s="1"/>
  <c r="C15" i="1"/>
  <c r="F15" i="1" s="1"/>
  <c r="C18" i="1"/>
  <c r="F18" i="1" s="1"/>
  <c r="C12" i="1"/>
  <c r="F12" i="1" s="1"/>
  <c r="F11" i="1"/>
  <c r="C17" i="1"/>
  <c r="F17" i="1" s="1"/>
  <c r="C14" i="1"/>
  <c r="F14" i="1" s="1"/>
  <c r="C10" i="1"/>
  <c r="F10" i="1" s="1"/>
  <c r="C19" i="1"/>
  <c r="F19" i="1" s="1"/>
  <c r="B15" i="15"/>
  <c r="B25" i="15"/>
  <c r="B26" i="15"/>
  <c r="C26" i="15" s="1"/>
  <c r="B28" i="15"/>
  <c r="B27" i="15"/>
  <c r="B30" i="15"/>
  <c r="B29" i="15"/>
  <c r="B38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77" i="15" l="1"/>
  <c r="C76" i="15"/>
  <c r="C78" i="15"/>
  <c r="C32" i="15"/>
  <c r="C34" i="15" s="1"/>
  <c r="B36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F33" i="14" l="1"/>
  <c r="F35" i="14" s="1"/>
  <c r="F42" i="14" s="1"/>
  <c r="E35" i="14"/>
  <c r="E42" i="14" s="1"/>
  <c r="E46" i="14" s="1"/>
</calcChain>
</file>

<file path=xl/sharedStrings.xml><?xml version="1.0" encoding="utf-8"?>
<sst xmlns="http://schemas.openxmlformats.org/spreadsheetml/2006/main" count="471" uniqueCount="400">
  <si>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</si>
  <si>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</si>
  <si>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</si>
  <si>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</si>
  <si>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</si>
  <si>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</si>
  <si>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</si>
  <si>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</si>
  <si>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</si>
  <si>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</si>
  <si>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</si>
  <si>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</si>
  <si>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</si>
  <si>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</si>
  <si>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</si>
  <si>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</si>
  <si>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</si>
  <si>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</si>
  <si>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</si>
  <si>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</si>
  <si>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</si>
  <si>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</si>
  <si>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</si>
  <si>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</si>
  <si>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</si>
  <si>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</si>
  <si>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</si>
  <si>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</si>
  <si>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</si>
  <si>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</si>
  <si>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</si>
  <si>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</si>
  <si>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</si>
  <si>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</si>
  <si>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</si>
  <si>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</si>
  <si>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</si>
  <si>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</si>
  <si>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</si>
  <si>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</si>
  <si>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</si>
  <si>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</si>
  <si>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</si>
  <si>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</si>
  <si>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</si>
  <si>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</si>
  <si>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</si>
  <si>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Hydraulic Capacity Factor</t>
  </si>
  <si>
    <t>Abandonment</t>
  </si>
  <si>
    <t>Subtotal Soft Costs</t>
  </si>
  <si>
    <t>Treatment Cost</t>
  </si>
  <si>
    <t>Contingency</t>
  </si>
  <si>
    <t>Design</t>
  </si>
  <si>
    <t>Calculated Groundwater Fee</t>
  </si>
  <si>
    <t>Site Acquisition</t>
  </si>
  <si>
    <t>Environmental/Planning</t>
  </si>
  <si>
    <t>Construction Management/Engineering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</si>
  <si>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</si>
  <si>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</si>
  <si>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</si>
  <si>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</si>
  <si>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</si>
  <si>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</si>
  <si>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</si>
  <si>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</si>
  <si>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</si>
  <si>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</si>
  <si>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</si>
  <si>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</si>
  <si>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</si>
  <si>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</si>
  <si>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</si>
  <si>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</si>
  <si>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TOTAL TANK AND BOOSTER PUMP</t>
  </si>
  <si>
    <t>1.0 mg Storage Tank and Booster Pump Cost</t>
  </si>
  <si>
    <t>TABLE A-5</t>
  </si>
  <si>
    <t>TABLE A-6</t>
  </si>
  <si>
    <t>TABLE A-7</t>
  </si>
  <si>
    <t>TABLE A-8</t>
  </si>
  <si>
    <t>TABLE A-9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</si>
  <si>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</si>
  <si>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</si>
  <si>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</si>
  <si>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</si>
  <si>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</si>
  <si>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</si>
  <si>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</si>
  <si>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</si>
  <si>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</si>
  <si>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</si>
  <si>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</si>
  <si>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</si>
  <si>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</si>
  <si>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</si>
  <si>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 xml:space="preserve">Total number of EDUs supported  </t>
  </si>
  <si>
    <t>PFF Fees</t>
  </si>
  <si>
    <t>Total</t>
  </si>
  <si>
    <t>Main - one mile grid - 100% Reimbursement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</si>
  <si>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</si>
  <si>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</si>
  <si>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</si>
  <si>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</si>
  <si>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</si>
  <si>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</si>
  <si>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</si>
  <si>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</si>
  <si>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</si>
  <si>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</si>
  <si>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</si>
  <si>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</si>
  <si>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</si>
  <si>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</si>
  <si>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</si>
  <si>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</si>
  <si>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</si>
  <si>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</si>
  <si>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</si>
  <si>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</si>
  <si>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</si>
  <si>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</si>
  <si>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</si>
  <si>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</si>
  <si>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</si>
  <si>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</si>
  <si>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</si>
  <si>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</si>
  <si>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</si>
  <si>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</si>
  <si>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</si>
  <si>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</si>
  <si>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</si>
  <si>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</si>
  <si>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PEAKING    COSTS</t>
  </si>
  <si>
    <t>DISTRIBUTION SYSTEM COSTS</t>
  </si>
  <si>
    <t>TABLE A - 4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</si>
  <si>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</si>
  <si>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</si>
  <si>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</si>
  <si>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</si>
  <si>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</si>
  <si>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</si>
  <si>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</si>
  <si>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</si>
  <si>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</si>
  <si>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</si>
  <si>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</si>
  <si>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</si>
  <si>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</si>
  <si>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</si>
  <si>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</si>
  <si>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</si>
  <si>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</si>
  <si>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</si>
  <si>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</si>
  <si>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</si>
  <si>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</si>
  <si>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</si>
  <si>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</si>
  <si>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</si>
  <si>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</si>
  <si>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</si>
  <si>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</si>
  <si>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</si>
  <si>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</si>
  <si>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</si>
  <si>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</si>
  <si>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</si>
  <si>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</si>
  <si>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</si>
  <si>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</si>
  <si>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</si>
  <si>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</si>
  <si>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</si>
  <si>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</si>
  <si>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</si>
  <si>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</si>
  <si>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</si>
  <si>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</si>
  <si>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</si>
  <si>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</si>
  <si>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</si>
  <si>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</si>
  <si>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</si>
  <si>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</si>
  <si>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</si>
  <si>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</si>
  <si>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</si>
  <si>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</si>
  <si>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</si>
  <si>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</si>
  <si>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</si>
  <si>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</si>
  <si>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</si>
  <si>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</si>
  <si>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</si>
  <si>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</si>
  <si>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</si>
  <si>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</si>
  <si>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</si>
  <si>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</si>
  <si>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</si>
  <si>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</si>
  <si>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</si>
  <si>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</si>
  <si>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</si>
  <si>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</si>
  <si>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</si>
  <si>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</si>
  <si>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</si>
  <si>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</si>
  <si>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</si>
  <si>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</si>
  <si>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</si>
  <si>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</si>
  <si>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</si>
  <si>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</si>
  <si>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</si>
  <si>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</si>
  <si>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</si>
  <si>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</si>
  <si>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</si>
  <si>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</si>
  <si>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</si>
  <si>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</si>
  <si>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</si>
  <si>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</si>
  <si>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</si>
  <si>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</si>
  <si>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</si>
  <si>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</si>
  <si>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</si>
  <si>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</si>
  <si>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</si>
  <si>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</si>
  <si>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</si>
  <si>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</si>
  <si>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</si>
  <si>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</si>
  <si>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</si>
  <si>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</si>
  <si>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</si>
  <si>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</si>
  <si>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</si>
  <si>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</si>
  <si>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Table 1</t>
  </si>
  <si>
    <t>Internal</t>
  </si>
  <si>
    <t>City of Manteca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</si>
  <si>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</si>
  <si>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</si>
  <si>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</si>
  <si>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</si>
  <si>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</si>
  <si>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</si>
  <si>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</si>
  <si>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</si>
  <si>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</si>
  <si>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</si>
  <si>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(4)</t>
  </si>
  <si>
    <t>Additional CIP Costs - 2012/13 Budget</t>
  </si>
  <si>
    <t>Forthcoming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</si>
  <si>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</si>
  <si>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</si>
  <si>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</si>
  <si>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</si>
  <si>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</si>
  <si>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</si>
  <si>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</si>
  <si>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</si>
  <si>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</si>
  <si>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</si>
  <si>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Fees From Remaining PFIP Development</t>
  </si>
  <si>
    <t xml:space="preserve">     Total Fund Balances</t>
  </si>
  <si>
    <t>Net Costs Funded From PFF Fee</t>
  </si>
  <si>
    <t>Fee Per EDU</t>
  </si>
  <si>
    <t>Notes:</t>
  </si>
  <si>
    <t>(2) Assumes entire cost of current projects funded by 30 year debt service with 2.0% interest.</t>
  </si>
  <si>
    <t>(3) Assumes 100% of PFF CIP costs are financed, see Table 6 for financing assumptions.</t>
  </si>
  <si>
    <t>(5) City Admistrative Costs assumed to by 2% of PFF CIP costs.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</si>
  <si>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</si>
  <si>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</si>
  <si>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</si>
  <si>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</si>
  <si>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</si>
  <si>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</si>
  <si>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</si>
  <si>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</si>
  <si>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Table 6</t>
  </si>
  <si>
    <t>|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</si>
  <si>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</si>
  <si>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</si>
  <si>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</si>
  <si>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</si>
  <si>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</si>
  <si>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</si>
  <si>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</si>
  <si>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</si>
  <si>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</si>
  <si>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</si>
  <si>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</si>
  <si>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</si>
  <si>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</si>
  <si>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</si>
  <si>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</si>
  <si>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</si>
  <si>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</si>
  <si>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</si>
  <si>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</si>
  <si>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</si>
  <si>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</si>
  <si>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</si>
  <si>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</si>
  <si>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</si>
  <si>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</si>
  <si>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</si>
  <si>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</si>
  <si>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</si>
  <si>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</si>
  <si>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</si>
  <si>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</si>
  <si>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</si>
  <si>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</si>
  <si>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</si>
  <si>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</si>
  <si>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</si>
  <si>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</si>
  <si>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</si>
  <si>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</si>
  <si>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</si>
  <si>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</si>
  <si>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</si>
  <si>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</si>
  <si>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</si>
  <si>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</si>
  <si>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</si>
  <si>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</si>
  <si>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</si>
  <si>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</si>
  <si>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</si>
  <si>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</si>
  <si>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</si>
  <si>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</si>
  <si>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</si>
  <si>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</si>
  <si>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</si>
  <si>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</si>
  <si>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</si>
  <si>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</si>
  <si>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</si>
  <si>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</si>
  <si>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</si>
  <si>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</si>
  <si>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</si>
  <si>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</si>
  <si>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</si>
  <si>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</si>
  <si>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</si>
  <si>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</si>
  <si>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</si>
  <si>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</si>
  <si>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</si>
  <si>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</si>
  <si>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(4) Soft cost estimates shown in Tables A2-A9.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</si>
  <si>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</si>
  <si>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</si>
  <si>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</si>
  <si>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</si>
  <si>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</si>
  <si>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</si>
  <si>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City Administrative Costs - Variable</t>
  </si>
  <si>
    <t>(7) EDU = 660 gpd (200 per capita x 3.3 persons per household)</t>
  </si>
  <si>
    <t>Working Draft - v2</t>
  </si>
  <si>
    <t>Table ___ - Forthcoming</t>
  </si>
  <si>
    <t>Program Updates and On-Going Admin</t>
  </si>
  <si>
    <t>included</t>
  </si>
  <si>
    <t>DRAFT - SUMMARY OF  REVISED PFIP  WATER FEES - DRAFT</t>
  </si>
  <si>
    <t>DRAFT - TABLE A-1 - DRAFT</t>
  </si>
  <si>
    <t>Note: Assumes $2.5 million in current debt.</t>
  </si>
  <si>
    <t>3/4"</t>
  </si>
  <si>
    <t>Note 2:  Added 3/4" Meter and 10" meter  9/6/12</t>
  </si>
  <si>
    <t>10"</t>
  </si>
  <si>
    <t>GPM</t>
  </si>
  <si>
    <t>Average Well Capacity</t>
  </si>
  <si>
    <t>gpm</t>
  </si>
  <si>
    <t>Average Day Demand</t>
  </si>
  <si>
    <t>Peak Hour Factor</t>
  </si>
  <si>
    <t>Tank Capacity</t>
  </si>
  <si>
    <t>Gallons</t>
  </si>
  <si>
    <t>Emergancy Storage</t>
  </si>
  <si>
    <t>Water available for Peak Hour Demand</t>
  </si>
  <si>
    <t>Peak Hour Demand</t>
  </si>
  <si>
    <t>Peak Hour Duration</t>
  </si>
  <si>
    <t>Minutes</t>
  </si>
  <si>
    <t>Total Peak Hour Demand per EDU</t>
  </si>
  <si>
    <t xml:space="preserve">EDU's served </t>
  </si>
  <si>
    <t>1.5 mg Storage Tank and Booster Pump</t>
  </si>
  <si>
    <t>Max Day Demand - Groundwater Only</t>
  </si>
  <si>
    <t>Source: Max Day Demand per Table 2-6 of 2005 Water Master Plan</t>
  </si>
  <si>
    <t>gpm/edu</t>
  </si>
  <si>
    <t xml:space="preserve">Total Groundwater Demand </t>
  </si>
  <si>
    <t>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</si>
</sst>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66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0" xfId="5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167" fontId="1" fillId="0" borderId="0" xfId="0" applyNumberFormat="1" applyFont="1"/>
    <xf numFmtId="9" fontId="2" fillId="0" borderId="0" xfId="3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43" fontId="5" fillId="0" borderId="0" xfId="1" applyFont="1"/>
    <xf numFmtId="166" fontId="3" fillId="0" borderId="0" xfId="1" applyNumberFormat="1" applyFont="1"/>
    <xf numFmtId="43" fontId="12" fillId="0" borderId="0" xfId="1" applyNumberFormat="1" applyFont="1"/>
    <xf numFmtId="43" fontId="12" fillId="0" borderId="0" xfId="1" applyNumberFormat="1" applyFont="1" applyFill="1"/>
    <xf numFmtId="43" fontId="0" fillId="0" borderId="0" xfId="0" applyNumberFormat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hma_g\Documents\INS%20Files\GMR%20Record%20Files\Proposals\Manteca%202011\Work%20Files\Fee%20Cals\Sewer%20Fee%20Calcs%20v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0">
          <cell r="E30">
            <v>6981250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6"/>
  <sheetViews>
    <sheetView topLeftCell="A8" zoomScale="90" zoomScaleNormal="90" workbookViewId="0">
      <selection activeCell="C11" sqref="C11"/>
    </sheetView>
  </sheetViews>
  <sheetFormatPr defaultColWidth="9.140625" defaultRowHeight="12.75" x14ac:dyDescent="0.2"/>
  <cols>
    <col min="1" max="1" width="10.42578125" style="5" customWidth="1"/>
    <col min="2" max="2" width="12.140625" style="5" customWidth="1"/>
    <col min="3" max="3" width="15.7109375" style="5" customWidth="1"/>
    <col min="4" max="4" width="13.85546875" style="5" customWidth="1"/>
    <col min="5" max="5" width="14.85546875" style="5" customWidth="1"/>
    <col min="6" max="6" width="17" style="5" customWidth="1"/>
    <col min="7" max="16384" width="9.140625" style="5"/>
  </cols>
  <sheetData>
    <row r="2" spans="1:9" ht="18" x14ac:dyDescent="0.25">
      <c r="A2" s="255" t="s">
        <v>375</v>
      </c>
      <c r="B2" s="255"/>
      <c r="C2" s="255"/>
      <c r="D2" s="255"/>
      <c r="E2" s="255"/>
      <c r="F2" s="255"/>
    </row>
    <row r="3" spans="1:9" ht="15.75" x14ac:dyDescent="0.25">
      <c r="A3" s="56"/>
      <c r="B3" s="56"/>
      <c r="C3" s="56"/>
      <c r="D3" s="56"/>
      <c r="E3" s="56"/>
      <c r="F3" s="56"/>
    </row>
    <row r="4" spans="1:9" ht="20.25" x14ac:dyDescent="0.3">
      <c r="A4" s="256" t="s">
        <v>374</v>
      </c>
      <c r="B4" s="256"/>
      <c r="C4" s="256"/>
      <c r="D4" s="256"/>
      <c r="E4" s="256"/>
      <c r="F4" s="256"/>
    </row>
    <row r="5" spans="1:9" ht="20.25" x14ac:dyDescent="0.3">
      <c r="A5" s="245"/>
      <c r="B5" s="245"/>
      <c r="C5" s="245"/>
      <c r="D5" s="245"/>
      <c r="E5" s="245"/>
      <c r="F5" s="245"/>
    </row>
    <row r="6" spans="1:9" ht="20.25" x14ac:dyDescent="0.3">
      <c r="A6" s="64"/>
      <c r="B6" s="64"/>
      <c r="C6" s="64"/>
      <c r="D6" s="64"/>
      <c r="E6" s="64"/>
      <c r="F6" s="64"/>
    </row>
    <row r="7" spans="1:9" ht="13.5" thickBot="1" x14ac:dyDescent="0.25"/>
    <row r="8" spans="1:9" ht="35.450000000000003" customHeight="1" thickTop="1" x14ac:dyDescent="0.25">
      <c r="A8" s="53"/>
      <c r="B8" s="17"/>
      <c r="C8" s="257" t="s">
        <v>95</v>
      </c>
      <c r="D8" s="258"/>
      <c r="E8" s="258"/>
      <c r="F8" s="259"/>
    </row>
    <row r="9" spans="1:9" ht="76.5" customHeight="1" x14ac:dyDescent="0.2">
      <c r="A9" s="126" t="s">
        <v>0</v>
      </c>
      <c r="B9" s="127" t="s">
        <v>47</v>
      </c>
      <c r="C9" s="243" t="s">
        <v>1</v>
      </c>
      <c r="D9" s="127" t="s">
        <v>2</v>
      </c>
      <c r="E9" s="127" t="s">
        <v>90</v>
      </c>
      <c r="F9" s="239" t="s">
        <v>96</v>
      </c>
    </row>
    <row r="10" spans="1:9" s="8" customFormat="1" ht="19.5" customHeight="1" x14ac:dyDescent="0.2">
      <c r="A10" s="54" t="s">
        <v>3</v>
      </c>
      <c r="B10" s="237">
        <v>0.67</v>
      </c>
      <c r="C10" s="128">
        <f>+C$11*B10</f>
        <v>665.33568047559243</v>
      </c>
      <c r="D10" s="129">
        <f>+D$11*B10</f>
        <v>786.7029546424119</v>
      </c>
      <c r="E10" s="129">
        <f>+E$11*B10</f>
        <v>461.44479742268214</v>
      </c>
      <c r="F10" s="240">
        <f t="shared" ref="F10" si="0">+C10+D10+E10</f>
        <v>1913.4834325406864</v>
      </c>
      <c r="I10" s="69"/>
    </row>
    <row r="11" spans="1:9" s="8" customFormat="1" ht="19.5" customHeight="1" x14ac:dyDescent="0.2">
      <c r="A11" s="54" t="s">
        <v>377</v>
      </c>
      <c r="B11" s="237">
        <v>1</v>
      </c>
      <c r="C11" s="128">
        <f>'A-1.1 Water Fee Calc Sum'!$B$46*B11</f>
        <v>993.03832906804837</v>
      </c>
      <c r="D11" s="129">
        <f>'A-1.1 Water Fee Calc Sum'!$C$46*B11</f>
        <v>1174.1835143916594</v>
      </c>
      <c r="E11" s="129">
        <f>'A-1.1 Water Fee Calc Sum'!$D$46*B11</f>
        <v>688.72357824280914</v>
      </c>
      <c r="F11" s="240">
        <f>+C11+D11+E11</f>
        <v>2855.9454217025173</v>
      </c>
      <c r="I11" s="69"/>
    </row>
    <row r="12" spans="1:9" s="8" customFormat="1" ht="19.5" customHeight="1" x14ac:dyDescent="0.2">
      <c r="A12" s="54" t="s">
        <v>4</v>
      </c>
      <c r="B12" s="237">
        <v>1.67</v>
      </c>
      <c r="C12" s="128">
        <f t="shared" ref="C12:C19" si="1">+C$11*B12</f>
        <v>1658.3740095436408</v>
      </c>
      <c r="D12" s="129">
        <f t="shared" ref="D12:D19" si="2">+D$11*B12</f>
        <v>1960.8864690340711</v>
      </c>
      <c r="E12" s="129">
        <f t="shared" ref="E12:E19" si="3">+E$11*B12</f>
        <v>1150.1683756654911</v>
      </c>
      <c r="F12" s="240">
        <f t="shared" ref="F12:F18" si="4">+C12+D12+E12</f>
        <v>4769.4288542432032</v>
      </c>
    </row>
    <row r="13" spans="1:9" s="8" customFormat="1" ht="19.5" customHeight="1" x14ac:dyDescent="0.2">
      <c r="A13" s="54" t="s">
        <v>5</v>
      </c>
      <c r="B13" s="237">
        <v>3.33</v>
      </c>
      <c r="C13" s="128">
        <f t="shared" si="1"/>
        <v>3306.8176357966013</v>
      </c>
      <c r="D13" s="129">
        <f t="shared" si="2"/>
        <v>3910.0311029242257</v>
      </c>
      <c r="E13" s="129">
        <f t="shared" si="3"/>
        <v>2293.4495155485547</v>
      </c>
      <c r="F13" s="240">
        <f t="shared" si="4"/>
        <v>9510.2982542693826</v>
      </c>
    </row>
    <row r="14" spans="1:9" s="8" customFormat="1" ht="19.5" customHeight="1" x14ac:dyDescent="0.2">
      <c r="A14" s="54" t="s">
        <v>6</v>
      </c>
      <c r="B14" s="237">
        <v>5.33</v>
      </c>
      <c r="C14" s="128">
        <f t="shared" si="1"/>
        <v>5292.894293932698</v>
      </c>
      <c r="D14" s="129">
        <f t="shared" si="2"/>
        <v>6258.398131707545</v>
      </c>
      <c r="E14" s="129">
        <f t="shared" si="3"/>
        <v>3670.8966720341728</v>
      </c>
      <c r="F14" s="240">
        <f t="shared" si="4"/>
        <v>15222.189097674416</v>
      </c>
    </row>
    <row r="15" spans="1:9" s="8" customFormat="1" ht="19.5" customHeight="1" x14ac:dyDescent="0.2">
      <c r="A15" s="54" t="s">
        <v>7</v>
      </c>
      <c r="B15" s="237">
        <v>10</v>
      </c>
      <c r="C15" s="128">
        <f t="shared" si="1"/>
        <v>9930.3832906804837</v>
      </c>
      <c r="D15" s="129">
        <f t="shared" si="2"/>
        <v>11741.835143916594</v>
      </c>
      <c r="E15" s="129">
        <f t="shared" si="3"/>
        <v>6887.2357824280916</v>
      </c>
      <c r="F15" s="240">
        <f t="shared" si="4"/>
        <v>28559.45421702517</v>
      </c>
    </row>
    <row r="16" spans="1:9" s="8" customFormat="1" ht="19.5" customHeight="1" x14ac:dyDescent="0.2">
      <c r="A16" s="54" t="s">
        <v>8</v>
      </c>
      <c r="B16" s="237">
        <v>16.670000000000002</v>
      </c>
      <c r="C16" s="128">
        <f t="shared" si="1"/>
        <v>16553.948945564367</v>
      </c>
      <c r="D16" s="129">
        <f t="shared" si="2"/>
        <v>19573.639184908963</v>
      </c>
      <c r="E16" s="129">
        <f t="shared" si="3"/>
        <v>11481.02204930763</v>
      </c>
      <c r="F16" s="240">
        <f t="shared" si="4"/>
        <v>47608.610179780968</v>
      </c>
    </row>
    <row r="17" spans="1:6" s="8" customFormat="1" ht="19.5" customHeight="1" x14ac:dyDescent="0.2">
      <c r="A17" s="54" t="s">
        <v>9</v>
      </c>
      <c r="B17" s="237">
        <v>33.33</v>
      </c>
      <c r="C17" s="128">
        <f t="shared" si="1"/>
        <v>33097.967507838053</v>
      </c>
      <c r="D17" s="129">
        <f t="shared" si="2"/>
        <v>39135.536534674007</v>
      </c>
      <c r="E17" s="129">
        <f t="shared" si="3"/>
        <v>22955.156862832828</v>
      </c>
      <c r="F17" s="240">
        <f t="shared" si="4"/>
        <v>95188.660905344892</v>
      </c>
    </row>
    <row r="18" spans="1:6" s="8" customFormat="1" ht="19.5" customHeight="1" x14ac:dyDescent="0.2">
      <c r="A18" s="54" t="s">
        <v>10</v>
      </c>
      <c r="B18" s="237">
        <v>53.33</v>
      </c>
      <c r="C18" s="128">
        <f t="shared" si="1"/>
        <v>52958.734089199017</v>
      </c>
      <c r="D18" s="129">
        <f t="shared" si="2"/>
        <v>62619.206822507193</v>
      </c>
      <c r="E18" s="129">
        <f t="shared" si="3"/>
        <v>36729.628427689007</v>
      </c>
      <c r="F18" s="240">
        <f t="shared" si="4"/>
        <v>152307.56933939521</v>
      </c>
    </row>
    <row r="19" spans="1:6" s="8" customFormat="1" ht="19.5" customHeight="1" thickBot="1" x14ac:dyDescent="0.25">
      <c r="A19" s="55" t="s">
        <v>379</v>
      </c>
      <c r="B19" s="238">
        <v>76.67</v>
      </c>
      <c r="C19" s="130">
        <f t="shared" si="1"/>
        <v>76136.248689647269</v>
      </c>
      <c r="D19" s="131">
        <f t="shared" si="2"/>
        <v>90024.650048408526</v>
      </c>
      <c r="E19" s="131">
        <f t="shared" si="3"/>
        <v>52804.436743876176</v>
      </c>
      <c r="F19" s="244">
        <f t="shared" ref="F19" si="5">+C19+D19+E19</f>
        <v>218965.33548193195</v>
      </c>
    </row>
    <row r="20" spans="1:6" ht="13.5" thickTop="1" x14ac:dyDescent="0.2">
      <c r="A20" s="7"/>
    </row>
    <row r="21" spans="1:6" x14ac:dyDescent="0.2">
      <c r="A21" s="16"/>
    </row>
    <row r="22" spans="1:6" x14ac:dyDescent="0.2">
      <c r="A22" s="248" t="s">
        <v>376</v>
      </c>
    </row>
    <row r="24" spans="1:6" x14ac:dyDescent="0.2">
      <c r="A24" s="248" t="s">
        <v>378</v>
      </c>
    </row>
    <row r="25" spans="1:6" x14ac:dyDescent="0.2">
      <c r="C25" s="6"/>
    </row>
    <row r="26" spans="1:6" x14ac:dyDescent="0.2">
      <c r="D26" s="52"/>
      <c r="E26" s="52"/>
      <c r="F26" s="52"/>
    </row>
  </sheetData>
  <mergeCells count="3">
    <mergeCell ref="A2:F2"/>
    <mergeCell ref="A4:F4"/>
    <mergeCell ref="C8:F8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2" workbookViewId="0">
      <selection activeCell="A12" sqref="A12"/>
    </sheetView>
  </sheetViews>
  <sheetFormatPr defaultRowHeight="12.75" x14ac:dyDescent="0.2"/>
  <cols>
    <col min="1" max="1" width="57.5703125" bestFit="1" customWidth="1"/>
    <col min="2" max="2" width="7.140625" bestFit="1" customWidth="1"/>
    <col min="3" max="3" width="9" bestFit="1" customWidth="1"/>
    <col min="4" max="4" width="10.140625" customWidth="1"/>
    <col min="5" max="5" width="5.140625" bestFit="1" customWidth="1"/>
  </cols>
  <sheetData>
    <row r="1" spans="1:5" ht="18" x14ac:dyDescent="0.25">
      <c r="A1" s="260" t="s">
        <v>79</v>
      </c>
      <c r="B1" s="260"/>
      <c r="C1" s="260"/>
      <c r="D1" s="260"/>
      <c r="E1" s="260"/>
    </row>
    <row r="2" spans="1:5" ht="15.75" x14ac:dyDescent="0.25">
      <c r="A2" s="47"/>
      <c r="D2" s="61"/>
    </row>
    <row r="3" spans="1:5" ht="20.25" x14ac:dyDescent="0.3">
      <c r="A3" s="261" t="s">
        <v>133</v>
      </c>
      <c r="B3" s="261"/>
      <c r="C3" s="261"/>
      <c r="D3" s="261"/>
      <c r="E3" s="261"/>
    </row>
    <row r="5" spans="1:5" x14ac:dyDescent="0.2">
      <c r="A5" s="3" t="s">
        <v>89</v>
      </c>
      <c r="D5" s="31" t="s">
        <v>92</v>
      </c>
      <c r="E5" s="45" t="s">
        <v>114</v>
      </c>
    </row>
    <row r="6" spans="1:5" x14ac:dyDescent="0.2">
      <c r="A6" s="15" t="s">
        <v>93</v>
      </c>
      <c r="D6" s="20">
        <v>450000</v>
      </c>
      <c r="E6" s="20">
        <f>+D6/5280</f>
        <v>85.227272727272734</v>
      </c>
    </row>
    <row r="7" spans="1:5" x14ac:dyDescent="0.2">
      <c r="A7" s="15" t="s">
        <v>97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">
      <c r="A8" s="15" t="s">
        <v>98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">
      <c r="A9" s="15"/>
      <c r="C9" s="32"/>
      <c r="D9" s="20"/>
      <c r="E9" s="20"/>
    </row>
    <row r="10" spans="1:5" s="52" customFormat="1" x14ac:dyDescent="0.2">
      <c r="A10" s="15"/>
      <c r="C10" s="32"/>
      <c r="D10" s="20"/>
      <c r="E10" s="20"/>
    </row>
    <row r="12" spans="1:5" ht="27" customHeight="1" x14ac:dyDescent="0.2">
      <c r="A12" s="3" t="s">
        <v>115</v>
      </c>
      <c r="B12" t="s">
        <v>101</v>
      </c>
      <c r="C12" s="242" t="s">
        <v>103</v>
      </c>
      <c r="D12" s="10" t="s">
        <v>106</v>
      </c>
    </row>
    <row r="13" spans="1:5" x14ac:dyDescent="0.2">
      <c r="A13" s="27" t="s">
        <v>108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">
      <c r="A14" s="12" t="s">
        <v>102</v>
      </c>
      <c r="B14" s="25">
        <v>3</v>
      </c>
      <c r="C14" s="20">
        <v>1500</v>
      </c>
      <c r="D14" s="37">
        <f>+B14*C14</f>
        <v>4500</v>
      </c>
    </row>
    <row r="15" spans="1:5" x14ac:dyDescent="0.2">
      <c r="A15" s="12" t="s">
        <v>104</v>
      </c>
      <c r="B15" s="25">
        <v>3</v>
      </c>
      <c r="C15" s="20">
        <v>3500</v>
      </c>
      <c r="D15" s="37">
        <f>+B15*C15</f>
        <v>10500</v>
      </c>
    </row>
    <row r="16" spans="1:5" x14ac:dyDescent="0.2">
      <c r="A16" s="12" t="s">
        <v>105</v>
      </c>
      <c r="B16" s="38">
        <v>1</v>
      </c>
      <c r="C16" s="39">
        <v>3000</v>
      </c>
      <c r="D16" s="40">
        <f>+B16*C16</f>
        <v>3000</v>
      </c>
    </row>
    <row r="17" spans="1:5" x14ac:dyDescent="0.2">
      <c r="A17" s="12"/>
      <c r="B17" s="25"/>
      <c r="D17" s="37">
        <f>+D13+D14+D15+D16</f>
        <v>36000</v>
      </c>
    </row>
    <row r="18" spans="1:5" x14ac:dyDescent="0.2">
      <c r="A18" s="41" t="s">
        <v>110</v>
      </c>
      <c r="B18" s="21"/>
      <c r="D18" s="51">
        <f>1.15*D17/1000</f>
        <v>41.4</v>
      </c>
    </row>
    <row r="19" spans="1:5" s="52" customFormat="1" x14ac:dyDescent="0.2">
      <c r="A19" s="12"/>
      <c r="B19" s="21"/>
      <c r="C19" s="41"/>
      <c r="D19" s="51"/>
    </row>
    <row r="21" spans="1:5" ht="32.450000000000003" customHeight="1" x14ac:dyDescent="0.2">
      <c r="A21" s="3" t="s">
        <v>99</v>
      </c>
      <c r="B21" t="s">
        <v>101</v>
      </c>
      <c r="C21" s="242" t="s">
        <v>103</v>
      </c>
      <c r="D21" s="10" t="s">
        <v>106</v>
      </c>
    </row>
    <row r="22" spans="1:5" x14ac:dyDescent="0.2">
      <c r="A22" s="27" t="s">
        <v>100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">
      <c r="A23" s="12" t="s">
        <v>102</v>
      </c>
      <c r="B23" s="25">
        <v>3</v>
      </c>
      <c r="C23" s="20">
        <v>2500</v>
      </c>
      <c r="D23" s="37">
        <f>+B23*C23</f>
        <v>7500</v>
      </c>
    </row>
    <row r="24" spans="1:5" x14ac:dyDescent="0.2">
      <c r="A24" s="12" t="s">
        <v>104</v>
      </c>
      <c r="B24" s="25">
        <v>3</v>
      </c>
      <c r="C24" s="20">
        <v>3500</v>
      </c>
      <c r="D24" s="37">
        <f>+B24*C24</f>
        <v>10500</v>
      </c>
    </row>
    <row r="25" spans="1:5" x14ac:dyDescent="0.2">
      <c r="A25" s="12" t="s">
        <v>105</v>
      </c>
      <c r="B25" s="38">
        <v>1</v>
      </c>
      <c r="C25" s="39">
        <v>3000</v>
      </c>
      <c r="D25" s="40">
        <f>+B25*C25</f>
        <v>3000</v>
      </c>
    </row>
    <row r="26" spans="1:5" x14ac:dyDescent="0.2">
      <c r="A26" s="12"/>
      <c r="B26" s="25"/>
      <c r="D26" s="37">
        <f>+D22+D23+D24+D25</f>
        <v>51000</v>
      </c>
    </row>
    <row r="27" spans="1:5" x14ac:dyDescent="0.2">
      <c r="A27" s="41" t="s">
        <v>110</v>
      </c>
      <c r="D27" s="51">
        <f>1.15*D26/1000</f>
        <v>58.649999999999991</v>
      </c>
    </row>
    <row r="28" spans="1:5" s="52" customFormat="1" x14ac:dyDescent="0.2">
      <c r="C28" s="41"/>
      <c r="D28" s="51"/>
    </row>
    <row r="30" spans="1:5" ht="32.450000000000003" customHeight="1" x14ac:dyDescent="0.2">
      <c r="A30" s="3" t="s">
        <v>116</v>
      </c>
      <c r="B30" t="s">
        <v>101</v>
      </c>
      <c r="C30" s="242" t="s">
        <v>103</v>
      </c>
      <c r="D30" s="10" t="s">
        <v>106</v>
      </c>
    </row>
    <row r="31" spans="1:5" x14ac:dyDescent="0.2">
      <c r="A31" s="27" t="s">
        <v>109</v>
      </c>
      <c r="B31" s="35">
        <v>1000</v>
      </c>
      <c r="C31" s="36">
        <v>46</v>
      </c>
      <c r="D31" s="37">
        <f>+B31*C31</f>
        <v>46000</v>
      </c>
    </row>
    <row r="32" spans="1:5" x14ac:dyDescent="0.2">
      <c r="A32" s="12" t="s">
        <v>107</v>
      </c>
      <c r="B32" s="25">
        <v>3</v>
      </c>
      <c r="C32" s="20">
        <v>3000</v>
      </c>
      <c r="D32" s="37">
        <f>+B32*C32</f>
        <v>9000</v>
      </c>
    </row>
    <row r="33" spans="1:4" x14ac:dyDescent="0.2">
      <c r="A33" s="12" t="s">
        <v>104</v>
      </c>
      <c r="B33" s="25">
        <v>3</v>
      </c>
      <c r="C33" s="20">
        <v>3500</v>
      </c>
      <c r="D33" s="37">
        <f>+B33*C33</f>
        <v>10500</v>
      </c>
    </row>
    <row r="34" spans="1:4" x14ac:dyDescent="0.2">
      <c r="A34" s="12" t="s">
        <v>105</v>
      </c>
      <c r="B34" s="38">
        <v>1</v>
      </c>
      <c r="C34" s="39">
        <v>3000</v>
      </c>
      <c r="D34" s="40">
        <f>+B34*C34</f>
        <v>3000</v>
      </c>
    </row>
    <row r="35" spans="1:4" x14ac:dyDescent="0.2">
      <c r="A35" s="12"/>
      <c r="B35" s="25"/>
      <c r="D35" s="37">
        <f>+D31+D32+D33+D34</f>
        <v>68500</v>
      </c>
    </row>
    <row r="36" spans="1:4" x14ac:dyDescent="0.2">
      <c r="A36" s="41" t="s">
        <v>113</v>
      </c>
      <c r="B36" s="21"/>
      <c r="D36" s="51">
        <f>1.2*D35/1000</f>
        <v>82.2</v>
      </c>
    </row>
    <row r="37" spans="1:4" x14ac:dyDescent="0.2">
      <c r="A37" s="21"/>
      <c r="C37" s="10"/>
      <c r="D37" s="19"/>
    </row>
    <row r="38" spans="1:4" x14ac:dyDescent="0.2">
      <c r="A38" s="42" t="s">
        <v>119</v>
      </c>
      <c r="C38" s="9"/>
      <c r="D38" s="2">
        <f>0.02+0.04+0.04</f>
        <v>0.1</v>
      </c>
    </row>
    <row r="39" spans="1:4" x14ac:dyDescent="0.2">
      <c r="A39" s="85" t="s">
        <v>194</v>
      </c>
      <c r="C39" s="9"/>
      <c r="D39" s="18"/>
    </row>
    <row r="40" spans="1:4" x14ac:dyDescent="0.2">
      <c r="A40" s="14"/>
      <c r="C40" s="9"/>
      <c r="D40" s="18"/>
    </row>
    <row r="41" spans="1:4" x14ac:dyDescent="0.2">
      <c r="A41" s="14"/>
      <c r="C41" s="9"/>
      <c r="D41" s="18"/>
    </row>
    <row r="42" spans="1:4" x14ac:dyDescent="0.2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  <pageSetup orientation="portrait" horizontalDpi="0" verticalDpi="0" r:id="rId1"/>
  <headerFooter>
    <oddFooter>&amp;L&amp;8&amp;Z&amp;F&amp;A&amp;R&amp;T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2.75" x14ac:dyDescent="0.2"/>
  <cols>
    <col min="1" max="1" width="26.28515625" customWidth="1"/>
    <col min="2" max="2" width="12.5703125" customWidth="1"/>
    <col min="3" max="3" width="15" customWidth="1"/>
    <col min="4" max="4" width="14.7109375" customWidth="1"/>
    <col min="5" max="5" width="6" customWidth="1"/>
    <col min="6" max="6" width="10.28515625" customWidth="1"/>
  </cols>
  <sheetData>
    <row r="1" spans="1:6" hidden="1" x14ac:dyDescent="0.2">
      <c r="C1" s="20"/>
      <c r="D1" s="20"/>
    </row>
    <row r="2" spans="1:6" hidden="1" x14ac:dyDescent="0.2">
      <c r="C2" s="20"/>
      <c r="D2" s="20"/>
    </row>
    <row r="3" spans="1:6" ht="15.75" hidden="1" x14ac:dyDescent="0.25">
      <c r="A3" s="262" t="s">
        <v>139</v>
      </c>
      <c r="B3" s="262"/>
      <c r="C3" s="262"/>
      <c r="D3" s="262"/>
      <c r="E3" s="262"/>
      <c r="F3" s="262"/>
    </row>
    <row r="4" spans="1:6" ht="15.75" hidden="1" x14ac:dyDescent="0.25">
      <c r="A4" s="11"/>
      <c r="B4" s="11"/>
      <c r="C4" s="11"/>
      <c r="D4" s="20"/>
    </row>
    <row r="5" spans="1:6" ht="54" hidden="1" customHeight="1" x14ac:dyDescent="0.3">
      <c r="A5" s="265" t="s">
        <v>128</v>
      </c>
      <c r="B5" s="265"/>
      <c r="C5" s="265"/>
      <c r="D5" s="265"/>
      <c r="E5" s="265"/>
      <c r="F5" s="265"/>
    </row>
    <row r="6" spans="1:6" hidden="1" x14ac:dyDescent="0.2">
      <c r="A6" s="3"/>
      <c r="B6" s="3"/>
      <c r="C6" s="3"/>
      <c r="D6" s="20"/>
    </row>
    <row r="7" spans="1:6" hidden="1" x14ac:dyDescent="0.2">
      <c r="C7" s="24"/>
      <c r="D7" s="20"/>
    </row>
    <row r="8" spans="1:6" hidden="1" x14ac:dyDescent="0.2">
      <c r="A8" s="4" t="s">
        <v>122</v>
      </c>
      <c r="D8" s="18">
        <v>4436000</v>
      </c>
    </row>
    <row r="9" spans="1:6" hidden="1" x14ac:dyDescent="0.2">
      <c r="A9" s="12" t="s">
        <v>123</v>
      </c>
      <c r="B9" s="2"/>
      <c r="D9" s="48">
        <v>5026000</v>
      </c>
    </row>
    <row r="10" spans="1:6" hidden="1" x14ac:dyDescent="0.2">
      <c r="A10" s="59" t="s">
        <v>131</v>
      </c>
      <c r="B10" s="58"/>
      <c r="D10" s="18">
        <f>+D8+D9</f>
        <v>9462000</v>
      </c>
    </row>
    <row r="11" spans="1:6" hidden="1" x14ac:dyDescent="0.2">
      <c r="B11" s="2"/>
      <c r="D11" s="24"/>
    </row>
    <row r="12" spans="1:6" ht="13.5" hidden="1" thickBot="1" x14ac:dyDescent="0.25">
      <c r="A12" s="14" t="s">
        <v>124</v>
      </c>
      <c r="C12" s="68">
        <v>0.373</v>
      </c>
      <c r="D12" s="66">
        <f>+C12*D10</f>
        <v>3529326</v>
      </c>
    </row>
    <row r="13" spans="1:6" ht="13.5" hidden="1" thickTop="1" x14ac:dyDescent="0.2">
      <c r="A13" s="14"/>
      <c r="B13" s="2"/>
      <c r="D13" s="49"/>
    </row>
    <row r="14" spans="1:6" hidden="1" x14ac:dyDescent="0.2">
      <c r="B14" s="2"/>
      <c r="D14" s="24"/>
    </row>
    <row r="15" spans="1:6" hidden="1" x14ac:dyDescent="0.2">
      <c r="A15" s="15" t="s">
        <v>121</v>
      </c>
      <c r="B15" s="33"/>
      <c r="D15" s="50">
        <v>10400</v>
      </c>
    </row>
    <row r="16" spans="1:6" ht="13.5" hidden="1" thickBot="1" x14ac:dyDescent="0.25">
      <c r="B16" s="34"/>
      <c r="D16" s="34"/>
    </row>
    <row r="17" spans="1:6" ht="16.5" hidden="1" thickBot="1" x14ac:dyDescent="0.3">
      <c r="A17" s="47" t="s">
        <v>130</v>
      </c>
      <c r="E17" s="67">
        <f>ROUND(+D12/D15,-1)</f>
        <v>340</v>
      </c>
    </row>
    <row r="18" spans="1:6" hidden="1" x14ac:dyDescent="0.2"/>
    <row r="19" spans="1:6" ht="26.25" hidden="1" customHeight="1" x14ac:dyDescent="0.2">
      <c r="A19" s="264" t="s">
        <v>129</v>
      </c>
      <c r="B19" s="264"/>
      <c r="C19" s="264"/>
      <c r="D19" s="264"/>
      <c r="E19" s="264"/>
    </row>
    <row r="20" spans="1:6" hidden="1" x14ac:dyDescent="0.2"/>
    <row r="22" spans="1:6" x14ac:dyDescent="0.2">
      <c r="E22" s="20"/>
    </row>
    <row r="23" spans="1:6" ht="15.75" x14ac:dyDescent="0.25">
      <c r="A23" s="262" t="s">
        <v>139</v>
      </c>
      <c r="B23" s="262"/>
      <c r="C23" s="262"/>
      <c r="D23" s="262"/>
      <c r="E23" s="262"/>
      <c r="F23" s="262"/>
    </row>
    <row r="24" spans="1:6" ht="15.75" x14ac:dyDescent="0.25">
      <c r="A24" s="11"/>
      <c r="B24" s="11"/>
      <c r="C24" s="11"/>
      <c r="D24" s="20"/>
      <c r="E24" s="52"/>
      <c r="F24" s="52"/>
    </row>
    <row r="25" spans="1:6" ht="20.25" x14ac:dyDescent="0.3">
      <c r="A25" s="265" t="s">
        <v>209</v>
      </c>
      <c r="B25" s="265"/>
      <c r="C25" s="265"/>
      <c r="D25" s="265"/>
      <c r="E25" s="265"/>
      <c r="F25" s="265"/>
    </row>
    <row r="27" spans="1:6" x14ac:dyDescent="0.2">
      <c r="B27" s="45" t="s">
        <v>87</v>
      </c>
      <c r="C27" s="45" t="s">
        <v>143</v>
      </c>
      <c r="D27" s="45" t="s">
        <v>141</v>
      </c>
      <c r="E27" s="45"/>
      <c r="F27" s="45"/>
    </row>
    <row r="28" spans="1:6" x14ac:dyDescent="0.2">
      <c r="A28" s="3" t="s">
        <v>140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">
      <c r="A29" s="52" t="s">
        <v>142</v>
      </c>
    </row>
    <row r="30" spans="1:6" x14ac:dyDescent="0.2">
      <c r="A30" s="52" t="s">
        <v>192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">
      <c r="A31" s="3" t="s">
        <v>144</v>
      </c>
    </row>
    <row r="32" spans="1:6" x14ac:dyDescent="0.2">
      <c r="A32" s="52" t="s">
        <v>179</v>
      </c>
      <c r="B32" s="18">
        <v>175000</v>
      </c>
      <c r="C32" s="88" t="s">
        <v>180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">
      <c r="A33" s="52" t="s">
        <v>182</v>
      </c>
      <c r="B33" s="18">
        <v>150000</v>
      </c>
      <c r="C33" s="10" t="s">
        <v>181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">
      <c r="A34" s="52" t="s">
        <v>183</v>
      </c>
      <c r="D34" s="18">
        <v>10000</v>
      </c>
      <c r="F34" s="19">
        <f>+D34</f>
        <v>10000</v>
      </c>
    </row>
    <row r="35" spans="1:6" x14ac:dyDescent="0.2">
      <c r="A35" s="52" t="s">
        <v>145</v>
      </c>
      <c r="D35" s="48">
        <v>5000</v>
      </c>
      <c r="F35" s="22">
        <f>+D35</f>
        <v>5000</v>
      </c>
    </row>
    <row r="37" spans="1:6" x14ac:dyDescent="0.2">
      <c r="B37" s="52" t="s">
        <v>146</v>
      </c>
      <c r="D37" s="19">
        <f>SUM(D28:D35)</f>
        <v>91875</v>
      </c>
      <c r="F37" s="19">
        <f>SUM(F28:F35)</f>
        <v>157500</v>
      </c>
    </row>
    <row r="38" spans="1:6" x14ac:dyDescent="0.2">
      <c r="F38" s="52"/>
    </row>
    <row r="39" spans="1:6" x14ac:dyDescent="0.2">
      <c r="B39" s="52" t="s">
        <v>147</v>
      </c>
      <c r="D39">
        <v>400</v>
      </c>
      <c r="F39" s="52">
        <v>400</v>
      </c>
    </row>
    <row r="40" spans="1:6" ht="13.5" thickBot="1" x14ac:dyDescent="0.25">
      <c r="F40" s="52"/>
    </row>
    <row r="41" spans="1:6" ht="16.5" thickBot="1" x14ac:dyDescent="0.3">
      <c r="B41" s="52" t="s">
        <v>148</v>
      </c>
      <c r="D41" s="67">
        <f>ROUND(+D37/D39,-1)</f>
        <v>230</v>
      </c>
      <c r="F41" s="67">
        <f>ROUND(+F37/F39,-1)</f>
        <v>390</v>
      </c>
    </row>
    <row r="43" spans="1:6" x14ac:dyDescent="0.2">
      <c r="D43" s="89">
        <f>+D41/3180</f>
        <v>7.2327044025157231E-2</v>
      </c>
      <c r="F43" s="89">
        <f>+F41/3180</f>
        <v>0.12264150943396226</v>
      </c>
    </row>
    <row r="45" spans="1:6" x14ac:dyDescent="0.2">
      <c r="A45" s="3" t="s">
        <v>193</v>
      </c>
    </row>
    <row r="47" spans="1:6" x14ac:dyDescent="0.2">
      <c r="B47" s="86">
        <v>2008</v>
      </c>
      <c r="C47" s="86">
        <v>2009</v>
      </c>
      <c r="D47" s="86">
        <v>2010</v>
      </c>
    </row>
    <row r="48" spans="1:6" s="52" customFormat="1" x14ac:dyDescent="0.2">
      <c r="A48" s="79" t="s">
        <v>210</v>
      </c>
      <c r="B48" s="93"/>
      <c r="C48" s="94">
        <v>285628</v>
      </c>
      <c r="D48" s="94">
        <v>401333</v>
      </c>
    </row>
    <row r="49" spans="1:4" s="52" customFormat="1" x14ac:dyDescent="0.2">
      <c r="B49" s="93"/>
      <c r="C49" s="93"/>
      <c r="D49" s="93"/>
    </row>
    <row r="50" spans="1:4" s="52" customFormat="1" x14ac:dyDescent="0.2">
      <c r="A50" s="79" t="s">
        <v>211</v>
      </c>
      <c r="B50" s="93"/>
      <c r="C50" s="93"/>
      <c r="D50" s="93"/>
    </row>
    <row r="51" spans="1:4" x14ac:dyDescent="0.2">
      <c r="A51" s="12" t="s">
        <v>184</v>
      </c>
      <c r="B51" s="20">
        <v>94414</v>
      </c>
      <c r="C51" s="20">
        <v>106060</v>
      </c>
      <c r="D51" s="20">
        <v>131135</v>
      </c>
    </row>
    <row r="52" spans="1:4" x14ac:dyDescent="0.2">
      <c r="A52" s="12" t="s">
        <v>185</v>
      </c>
      <c r="B52" s="20"/>
      <c r="C52" s="20">
        <v>7898</v>
      </c>
      <c r="D52" s="20">
        <v>3361</v>
      </c>
    </row>
    <row r="53" spans="1:4" x14ac:dyDescent="0.2">
      <c r="A53" s="12" t="s">
        <v>186</v>
      </c>
      <c r="B53" s="20">
        <v>3812</v>
      </c>
      <c r="C53" s="20">
        <v>2691</v>
      </c>
      <c r="D53" s="20">
        <v>17478</v>
      </c>
    </row>
    <row r="54" spans="1:4" x14ac:dyDescent="0.2">
      <c r="A54" s="12" t="s">
        <v>187</v>
      </c>
      <c r="B54" s="20">
        <v>6047</v>
      </c>
      <c r="C54" s="20"/>
      <c r="D54" s="20">
        <v>1820</v>
      </c>
    </row>
    <row r="55" spans="1:4" x14ac:dyDescent="0.2">
      <c r="A55" s="12" t="s">
        <v>188</v>
      </c>
      <c r="B55" s="20"/>
      <c r="C55" s="20"/>
      <c r="D55" s="20">
        <v>211</v>
      </c>
    </row>
    <row r="56" spans="1:4" x14ac:dyDescent="0.2">
      <c r="A56" s="12" t="s">
        <v>189</v>
      </c>
      <c r="B56" s="20"/>
      <c r="C56" s="20"/>
      <c r="D56" s="20"/>
    </row>
    <row r="57" spans="1:4" x14ac:dyDescent="0.2">
      <c r="A57" s="12" t="s">
        <v>190</v>
      </c>
      <c r="B57" s="20"/>
      <c r="C57" s="20">
        <v>760</v>
      </c>
      <c r="D57" s="20"/>
    </row>
    <row r="58" spans="1:4" x14ac:dyDescent="0.2">
      <c r="A58" s="12" t="s">
        <v>191</v>
      </c>
      <c r="B58" s="39"/>
      <c r="C58" s="39"/>
      <c r="D58" s="39"/>
    </row>
    <row r="59" spans="1:4" x14ac:dyDescent="0.2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">
      <c r="A61" s="95" t="s">
        <v>212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topLeftCell="A7" zoomScaleNormal="100" workbookViewId="0">
      <selection activeCell="B45" sqref="B45"/>
    </sheetView>
  </sheetViews>
  <sheetFormatPr defaultColWidth="11.42578125" defaultRowHeight="15.75" x14ac:dyDescent="0.25"/>
  <cols>
    <col min="1" max="1" width="51.5703125" style="181" bestFit="1" customWidth="1"/>
    <col min="2" max="2" width="16.140625" style="181" bestFit="1" customWidth="1"/>
    <col min="3" max="3" width="14.28515625" style="181" customWidth="1"/>
    <col min="4" max="4" width="17.5703125" style="181" bestFit="1" customWidth="1"/>
    <col min="5" max="5" width="11.42578125" style="181" customWidth="1"/>
    <col min="6" max="6" width="13.28515625" style="181" customWidth="1"/>
    <col min="7" max="8" width="11.42578125" style="181" customWidth="1"/>
    <col min="9" max="9" width="48.7109375" style="181" customWidth="1"/>
    <col min="10" max="11" width="11.42578125" style="181" customWidth="1"/>
    <col min="12" max="12" width="16.5703125" style="181" bestFit="1" customWidth="1"/>
    <col min="13" max="13" width="11.42578125" style="181" customWidth="1"/>
    <col min="14" max="14" width="30.42578125" style="181" bestFit="1" customWidth="1"/>
    <col min="15" max="16384" width="11.42578125" style="181"/>
  </cols>
  <sheetData>
    <row r="1" spans="1:7" x14ac:dyDescent="0.25">
      <c r="A1" s="70" t="s">
        <v>286</v>
      </c>
      <c r="B1" s="179" t="str">
        <f>'A-1.1 Water Fee Calc Sum'!$G$1</f>
        <v>Internal</v>
      </c>
      <c r="C1" s="180"/>
      <c r="G1" s="182" t="s">
        <v>287</v>
      </c>
    </row>
    <row r="2" spans="1:7" x14ac:dyDescent="0.25">
      <c r="A2" s="70" t="s">
        <v>246</v>
      </c>
      <c r="B2" s="183" t="str">
        <f>'A-1.1 Water Fee Calc Sum'!$G$2</f>
        <v>Working Draft - v2</v>
      </c>
      <c r="C2" s="180"/>
      <c r="G2" s="182"/>
    </row>
    <row r="3" spans="1:7" x14ac:dyDescent="0.25">
      <c r="A3" s="70" t="s">
        <v>349</v>
      </c>
      <c r="B3" s="184">
        <f>'A-1.1 Water Fee Calc Sum'!$G$3</f>
        <v>41141</v>
      </c>
      <c r="C3" s="180"/>
      <c r="G3" s="182"/>
    </row>
    <row r="4" spans="1:7" x14ac:dyDescent="0.25">
      <c r="A4" s="70" t="s">
        <v>288</v>
      </c>
      <c r="B4" s="79"/>
      <c r="C4" s="180"/>
      <c r="G4" s="182"/>
    </row>
    <row r="5" spans="1:7" x14ac:dyDescent="0.25">
      <c r="A5" s="180"/>
      <c r="B5" s="180"/>
      <c r="C5" s="180"/>
      <c r="G5" s="182"/>
    </row>
    <row r="6" spans="1:7" x14ac:dyDescent="0.25">
      <c r="A6" s="180"/>
      <c r="B6" s="180"/>
      <c r="C6" s="180"/>
      <c r="G6" s="182"/>
    </row>
    <row r="7" spans="1:7" x14ac:dyDescent="0.25">
      <c r="A7" s="180"/>
      <c r="B7" s="185"/>
      <c r="C7" s="180"/>
      <c r="G7" s="182"/>
    </row>
    <row r="8" spans="1:7" x14ac:dyDescent="0.25">
      <c r="A8" s="180"/>
      <c r="B8" s="180"/>
      <c r="C8" s="180"/>
      <c r="D8" s="186"/>
      <c r="E8" s="186"/>
      <c r="F8" s="186"/>
      <c r="G8" s="182"/>
    </row>
    <row r="9" spans="1:7" x14ac:dyDescent="0.25">
      <c r="A9" s="187" t="s">
        <v>249</v>
      </c>
      <c r="B9" s="188" t="s">
        <v>101</v>
      </c>
      <c r="C9" s="180"/>
      <c r="D9" s="186"/>
      <c r="E9" s="186"/>
      <c r="F9" s="186"/>
      <c r="G9" s="182"/>
    </row>
    <row r="10" spans="1:7" x14ac:dyDescent="0.25">
      <c r="A10" s="189"/>
      <c r="B10" s="189"/>
      <c r="C10" s="180"/>
      <c r="D10" s="190"/>
      <c r="E10" s="190"/>
      <c r="F10" s="186"/>
      <c r="G10" s="182"/>
    </row>
    <row r="11" spans="1:7" x14ac:dyDescent="0.25">
      <c r="A11" s="180" t="s">
        <v>289</v>
      </c>
      <c r="B11" s="191">
        <v>0.02</v>
      </c>
      <c r="C11" s="180"/>
      <c r="D11" s="186"/>
      <c r="E11" s="186"/>
      <c r="F11" s="186"/>
      <c r="G11" s="182"/>
    </row>
    <row r="12" spans="1:7" x14ac:dyDescent="0.25">
      <c r="A12" s="180" t="s">
        <v>290</v>
      </c>
      <c r="B12" s="192">
        <v>30</v>
      </c>
      <c r="C12" s="180"/>
      <c r="G12" s="182"/>
    </row>
    <row r="13" spans="1:7" x14ac:dyDescent="0.25">
      <c r="A13" s="180" t="s">
        <v>291</v>
      </c>
      <c r="B13" s="192">
        <v>1</v>
      </c>
      <c r="C13" s="180"/>
      <c r="G13" s="182"/>
    </row>
    <row r="14" spans="1:7" x14ac:dyDescent="0.25">
      <c r="A14" s="180" t="s">
        <v>292</v>
      </c>
      <c r="B14" s="193">
        <f>(PMT(B11/B13,B12*B13,-1000))*B13</f>
        <v>44.649922293402959</v>
      </c>
      <c r="C14" s="194"/>
      <c r="D14" s="195"/>
      <c r="E14" s="195"/>
      <c r="F14" s="195"/>
      <c r="G14" s="182"/>
    </row>
    <row r="15" spans="1:7" hidden="1" x14ac:dyDescent="0.25">
      <c r="A15" s="180" t="s">
        <v>293</v>
      </c>
      <c r="B15" s="193">
        <f>(-PMT(B11/B13,B12*B13,B34,0))*B13</f>
        <v>137306.71444091131</v>
      </c>
      <c r="C15" s="196"/>
      <c r="D15" s="195"/>
      <c r="E15" s="195"/>
      <c r="F15" s="195"/>
      <c r="G15" s="182"/>
    </row>
    <row r="16" spans="1:7" x14ac:dyDescent="0.25">
      <c r="A16" s="180" t="s">
        <v>294</v>
      </c>
      <c r="B16" s="193">
        <f>(B14-((PMT(0/B13,B12*B13,-1000))*B13))</f>
        <v>11.316588960069623</v>
      </c>
      <c r="C16" s="196"/>
      <c r="D16" s="195"/>
      <c r="E16" s="195"/>
      <c r="F16" s="195"/>
      <c r="G16" s="182"/>
    </row>
    <row r="17" spans="1:7" x14ac:dyDescent="0.25">
      <c r="A17" s="180"/>
      <c r="B17" s="193"/>
      <c r="C17" s="196"/>
      <c r="D17" s="195"/>
      <c r="E17" s="195"/>
      <c r="F17" s="195"/>
      <c r="G17" s="182"/>
    </row>
    <row r="18" spans="1:7" hidden="1" x14ac:dyDescent="0.25">
      <c r="A18" s="180"/>
      <c r="B18" s="193"/>
      <c r="C18" s="196"/>
      <c r="D18" s="195"/>
      <c r="E18" s="195"/>
      <c r="F18" s="195"/>
      <c r="G18" s="182"/>
    </row>
    <row r="19" spans="1:7" hidden="1" x14ac:dyDescent="0.25">
      <c r="A19" s="180"/>
      <c r="B19" s="196"/>
      <c r="C19" s="196"/>
      <c r="D19" s="195"/>
      <c r="E19" s="195"/>
      <c r="F19" s="195"/>
      <c r="G19" s="182"/>
    </row>
    <row r="20" spans="1:7" hidden="1" x14ac:dyDescent="0.25">
      <c r="A20" s="180" t="s">
        <v>295</v>
      </c>
      <c r="B20" s="196">
        <f>'A-1.1 Water Fee Calc Sum'!B42</f>
        <v>3075183.7268303246</v>
      </c>
      <c r="C20" s="197"/>
      <c r="D20" s="198"/>
      <c r="G20" s="182"/>
    </row>
    <row r="21" spans="1:7" hidden="1" x14ac:dyDescent="0.25">
      <c r="A21" s="180"/>
      <c r="B21" s="199"/>
      <c r="C21" s="180"/>
      <c r="D21" s="200"/>
      <c r="E21" s="201"/>
      <c r="G21" s="182"/>
    </row>
    <row r="22" spans="1:7" hidden="1" x14ac:dyDescent="0.25">
      <c r="A22" s="180" t="s">
        <v>296</v>
      </c>
      <c r="B22" s="196">
        <f>SUM(B20:B20)</f>
        <v>3075183.7268303246</v>
      </c>
      <c r="C22" s="202">
        <f>B22/B34</f>
        <v>1</v>
      </c>
      <c r="E22" s="201"/>
      <c r="F22" s="201"/>
      <c r="G22" s="182"/>
    </row>
    <row r="23" spans="1:7" hidden="1" x14ac:dyDescent="0.25">
      <c r="A23" s="180"/>
      <c r="B23" s="180"/>
      <c r="C23" s="180"/>
      <c r="G23" s="182"/>
    </row>
    <row r="24" spans="1:7" hidden="1" x14ac:dyDescent="0.25">
      <c r="A24" s="180" t="s">
        <v>297</v>
      </c>
      <c r="B24" s="196"/>
      <c r="C24" s="196"/>
      <c r="D24" s="195"/>
      <c r="E24" s="195"/>
      <c r="F24" s="195"/>
      <c r="G24" s="182"/>
    </row>
    <row r="25" spans="1:7" hidden="1" x14ac:dyDescent="0.25">
      <c r="A25" s="180" t="s">
        <v>298</v>
      </c>
      <c r="B25" s="196">
        <f>B62+$B$34*C62</f>
        <v>0</v>
      </c>
      <c r="C25" s="196"/>
      <c r="D25" s="195"/>
      <c r="E25" s="195"/>
      <c r="F25" s="195"/>
      <c r="G25" s="182"/>
    </row>
    <row r="26" spans="1:7" hidden="1" x14ac:dyDescent="0.25">
      <c r="A26" s="180" t="s">
        <v>299</v>
      </c>
      <c r="B26" s="196">
        <f>B63+$B$34*C63</f>
        <v>0</v>
      </c>
      <c r="C26" s="203">
        <f>B26/B34</f>
        <v>0</v>
      </c>
      <c r="D26" s="195"/>
      <c r="E26" s="195"/>
      <c r="F26" s="195"/>
      <c r="G26" s="182"/>
    </row>
    <row r="27" spans="1:7" hidden="1" x14ac:dyDescent="0.25">
      <c r="A27" s="180" t="s">
        <v>300</v>
      </c>
      <c r="B27" s="196">
        <f>B64+$B$34*C64</f>
        <v>0</v>
      </c>
      <c r="C27" s="180"/>
      <c r="G27" s="182"/>
    </row>
    <row r="28" spans="1:7" hidden="1" x14ac:dyDescent="0.25">
      <c r="A28" s="180" t="s">
        <v>301</v>
      </c>
      <c r="B28" s="196">
        <f>B65+$B$34*C65</f>
        <v>0</v>
      </c>
      <c r="C28" s="202"/>
      <c r="D28" s="195"/>
      <c r="E28" s="195"/>
      <c r="F28" s="195"/>
      <c r="G28" s="182"/>
    </row>
    <row r="29" spans="1:7" hidden="1" x14ac:dyDescent="0.25">
      <c r="A29" s="180" t="s">
        <v>302</v>
      </c>
      <c r="B29" s="196">
        <f>B66+$B$34*C66</f>
        <v>0</v>
      </c>
      <c r="C29" s="202"/>
      <c r="G29" s="182"/>
    </row>
    <row r="30" spans="1:7" hidden="1" x14ac:dyDescent="0.25">
      <c r="A30" s="180" t="s">
        <v>303</v>
      </c>
      <c r="B30" s="196">
        <f>SUM(B68:B71)+$B$34*SUM(C68:C71)</f>
        <v>0</v>
      </c>
      <c r="C30" s="202"/>
      <c r="G30" s="182"/>
    </row>
    <row r="31" spans="1:7" hidden="1" x14ac:dyDescent="0.25">
      <c r="A31" s="180"/>
      <c r="B31" s="199"/>
      <c r="C31" s="204"/>
      <c r="D31" s="195"/>
      <c r="E31" s="195"/>
      <c r="F31" s="195"/>
      <c r="G31" s="182"/>
    </row>
    <row r="32" spans="1:7" hidden="1" x14ac:dyDescent="0.25">
      <c r="A32" s="180" t="s">
        <v>304</v>
      </c>
      <c r="B32" s="196">
        <f>SUM(B24:B31)</f>
        <v>0</v>
      </c>
      <c r="C32" s="191">
        <f>B32/B34</f>
        <v>0</v>
      </c>
      <c r="G32" s="182"/>
    </row>
    <row r="33" spans="1:7" hidden="1" x14ac:dyDescent="0.25">
      <c r="A33" s="180"/>
      <c r="B33" s="199"/>
      <c r="C33" s="191"/>
      <c r="G33" s="182"/>
    </row>
    <row r="34" spans="1:7" hidden="1" x14ac:dyDescent="0.25">
      <c r="A34" s="196" t="s">
        <v>305</v>
      </c>
      <c r="B34" s="196">
        <f>(+B22+B73)/(1-C73)</f>
        <v>3075183.7268303246</v>
      </c>
      <c r="C34" s="191">
        <f>SUM(C22:C33)</f>
        <v>1</v>
      </c>
      <c r="G34" s="182"/>
    </row>
    <row r="35" spans="1:7" hidden="1" x14ac:dyDescent="0.25">
      <c r="A35" s="180"/>
      <c r="B35" s="180"/>
      <c r="C35" s="180"/>
      <c r="G35" s="182"/>
    </row>
    <row r="36" spans="1:7" hidden="1" x14ac:dyDescent="0.25">
      <c r="A36" s="180" t="s">
        <v>306</v>
      </c>
      <c r="B36" s="196">
        <f>B22+B32</f>
        <v>3075183.7268303246</v>
      </c>
      <c r="C36" s="180"/>
      <c r="D36" s="195"/>
      <c r="E36" s="195"/>
      <c r="F36" s="195"/>
      <c r="G36" s="182"/>
    </row>
    <row r="37" spans="1:7" hidden="1" x14ac:dyDescent="0.25">
      <c r="A37" s="180"/>
      <c r="B37" s="180"/>
      <c r="C37" s="180"/>
      <c r="G37" s="182"/>
    </row>
    <row r="38" spans="1:7" hidden="1" x14ac:dyDescent="0.25">
      <c r="A38" s="180" t="s">
        <v>307</v>
      </c>
      <c r="B38" s="196">
        <f>IF(MOD(B34,5000)&gt;0,TRUNC(B34/5000)*5000+5000,B34)</f>
        <v>3080000</v>
      </c>
      <c r="C38" s="196"/>
      <c r="G38" s="182"/>
    </row>
    <row r="39" spans="1:7" x14ac:dyDescent="0.25">
      <c r="A39" s="189" t="s">
        <v>308</v>
      </c>
      <c r="B39" s="196"/>
      <c r="C39" s="196"/>
      <c r="G39" s="182"/>
    </row>
    <row r="40" spans="1:7" x14ac:dyDescent="0.25">
      <c r="A40" s="180"/>
      <c r="B40" s="180"/>
      <c r="C40" s="180"/>
      <c r="G40" s="182"/>
    </row>
    <row r="41" spans="1:7" hidden="1" x14ac:dyDescent="0.25">
      <c r="A41" s="180" t="s">
        <v>309</v>
      </c>
      <c r="B41" s="180"/>
      <c r="C41" s="180"/>
      <c r="G41" s="182"/>
    </row>
    <row r="42" spans="1:7" x14ac:dyDescent="0.25">
      <c r="A42" s="180"/>
      <c r="B42" s="180"/>
      <c r="C42" s="180"/>
      <c r="G42" s="182"/>
    </row>
    <row r="43" spans="1:7" x14ac:dyDescent="0.25">
      <c r="A43" s="205" t="s">
        <v>310</v>
      </c>
      <c r="B43" s="180"/>
      <c r="C43" s="180"/>
      <c r="G43" s="182"/>
    </row>
    <row r="44" spans="1:7" x14ac:dyDescent="0.25">
      <c r="A44" s="180"/>
      <c r="B44" s="180"/>
      <c r="C44" s="180"/>
      <c r="G44" s="182"/>
    </row>
    <row r="45" spans="1:7" x14ac:dyDescent="0.25">
      <c r="A45" s="205" t="s">
        <v>311</v>
      </c>
      <c r="B45" s="180"/>
      <c r="C45" s="180"/>
      <c r="G45" s="182"/>
    </row>
    <row r="46" spans="1:7" x14ac:dyDescent="0.25">
      <c r="A46" s="206"/>
      <c r="G46" s="182"/>
    </row>
    <row r="47" spans="1:7" hidden="1" x14ac:dyDescent="0.25"/>
    <row r="48" spans="1:7" hidden="1" x14ac:dyDescent="0.25">
      <c r="A48" s="207"/>
      <c r="B48" s="207"/>
      <c r="C48" s="207"/>
      <c r="D48" s="207"/>
      <c r="E48" s="207"/>
      <c r="F48" s="207"/>
      <c r="G48" s="207"/>
    </row>
    <row r="49" spans="1:4" hidden="1" x14ac:dyDescent="0.25"/>
    <row r="50" spans="1:4" hidden="1" x14ac:dyDescent="0.25">
      <c r="A50" s="181" t="s">
        <v>312</v>
      </c>
    </row>
    <row r="51" spans="1:4" hidden="1" x14ac:dyDescent="0.25"/>
    <row r="52" spans="1:4" hidden="1" x14ac:dyDescent="0.25">
      <c r="A52" s="181" t="s">
        <v>313</v>
      </c>
    </row>
    <row r="53" spans="1:4" hidden="1" x14ac:dyDescent="0.25"/>
    <row r="54" spans="1:4" hidden="1" x14ac:dyDescent="0.25"/>
    <row r="55" spans="1:4" hidden="1" x14ac:dyDescent="0.25">
      <c r="A55" s="208"/>
    </row>
    <row r="56" spans="1:4" hidden="1" x14ac:dyDescent="0.25">
      <c r="A56" s="209"/>
    </row>
    <row r="57" spans="1:4" hidden="1" x14ac:dyDescent="0.25"/>
    <row r="58" spans="1:4" hidden="1" x14ac:dyDescent="0.25"/>
    <row r="59" spans="1:4" hidden="1" x14ac:dyDescent="0.25">
      <c r="A59" s="210"/>
      <c r="B59" s="210" t="s">
        <v>314</v>
      </c>
      <c r="C59" s="210" t="s">
        <v>315</v>
      </c>
      <c r="D59" s="211"/>
    </row>
    <row r="60" spans="1:4" hidden="1" x14ac:dyDescent="0.25">
      <c r="A60" s="212" t="s">
        <v>86</v>
      </c>
      <c r="B60" s="212" t="s">
        <v>316</v>
      </c>
      <c r="C60" s="212" t="s">
        <v>316</v>
      </c>
      <c r="D60" s="212" t="s">
        <v>317</v>
      </c>
    </row>
    <row r="61" spans="1:4" hidden="1" x14ac:dyDescent="0.25"/>
    <row r="62" spans="1:4" hidden="1" x14ac:dyDescent="0.25">
      <c r="A62" s="181" t="s">
        <v>318</v>
      </c>
      <c r="B62" s="213">
        <v>0</v>
      </c>
      <c r="C62" s="214">
        <v>0</v>
      </c>
      <c r="D62" s="181" t="s">
        <v>319</v>
      </c>
    </row>
    <row r="63" spans="1:4" hidden="1" x14ac:dyDescent="0.25">
      <c r="A63" s="181" t="s">
        <v>320</v>
      </c>
      <c r="B63" s="213">
        <v>0</v>
      </c>
      <c r="C63" s="215">
        <v>0</v>
      </c>
      <c r="D63" s="181" t="s">
        <v>321</v>
      </c>
    </row>
    <row r="64" spans="1:4" hidden="1" x14ac:dyDescent="0.25">
      <c r="A64" s="181" t="s">
        <v>322</v>
      </c>
      <c r="B64" s="213">
        <v>0</v>
      </c>
      <c r="C64" s="215">
        <v>0</v>
      </c>
    </row>
    <row r="65" spans="1:6" hidden="1" x14ac:dyDescent="0.25">
      <c r="A65" s="181" t="s">
        <v>323</v>
      </c>
      <c r="B65" s="216">
        <v>0</v>
      </c>
      <c r="C65" s="215">
        <v>0</v>
      </c>
      <c r="D65" s="181" t="s">
        <v>324</v>
      </c>
    </row>
    <row r="66" spans="1:6" hidden="1" x14ac:dyDescent="0.25">
      <c r="A66" s="181" t="s">
        <v>325</v>
      </c>
      <c r="B66" s="217">
        <v>0</v>
      </c>
      <c r="C66" s="217">
        <v>0</v>
      </c>
    </row>
    <row r="67" spans="1:6" hidden="1" x14ac:dyDescent="0.25">
      <c r="A67" s="181" t="s">
        <v>326</v>
      </c>
      <c r="B67" s="195"/>
      <c r="C67" s="218"/>
    </row>
    <row r="68" spans="1:6" hidden="1" x14ac:dyDescent="0.25">
      <c r="A68" s="181" t="s">
        <v>327</v>
      </c>
      <c r="B68" s="216">
        <v>0</v>
      </c>
      <c r="C68" s="217">
        <v>0</v>
      </c>
    </row>
    <row r="69" spans="1:6" hidden="1" x14ac:dyDescent="0.25">
      <c r="A69" s="181" t="s">
        <v>328</v>
      </c>
      <c r="B69" s="216">
        <v>0</v>
      </c>
      <c r="C69" s="217">
        <v>0</v>
      </c>
    </row>
    <row r="70" spans="1:6" hidden="1" x14ac:dyDescent="0.25">
      <c r="A70" s="181" t="s">
        <v>329</v>
      </c>
      <c r="B70" s="216">
        <v>0</v>
      </c>
      <c r="C70" s="217">
        <v>0</v>
      </c>
    </row>
    <row r="71" spans="1:6" hidden="1" x14ac:dyDescent="0.25">
      <c r="A71" s="181" t="s">
        <v>330</v>
      </c>
      <c r="B71" s="219">
        <f>0.1*(B68+B69+B70)</f>
        <v>0</v>
      </c>
      <c r="C71" s="215">
        <v>0</v>
      </c>
    </row>
    <row r="72" spans="1:6" hidden="1" x14ac:dyDescent="0.25">
      <c r="B72" s="220" t="s">
        <v>331</v>
      </c>
      <c r="C72" s="220" t="s">
        <v>331</v>
      </c>
    </row>
    <row r="73" spans="1:6" hidden="1" x14ac:dyDescent="0.25">
      <c r="B73" s="195">
        <f>SUM(B61:B72)</f>
        <v>0</v>
      </c>
      <c r="C73" s="221">
        <f>SUM(C61:C72)</f>
        <v>0</v>
      </c>
      <c r="F73" s="222"/>
    </row>
    <row r="74" spans="1:6" hidden="1" x14ac:dyDescent="0.25">
      <c r="B74" s="195"/>
      <c r="C74" s="221"/>
      <c r="F74" s="222"/>
    </row>
    <row r="75" spans="1:6" hidden="1" x14ac:dyDescent="0.25">
      <c r="B75" s="195"/>
      <c r="F75" s="223"/>
    </row>
    <row r="76" spans="1:6" hidden="1" x14ac:dyDescent="0.25">
      <c r="A76" s="181" t="s">
        <v>332</v>
      </c>
      <c r="B76" s="195">
        <f>B22</f>
        <v>3075183.7268303246</v>
      </c>
      <c r="C76" s="224">
        <f>B76/$B$79</f>
        <v>1</v>
      </c>
      <c r="F76" s="198"/>
    </row>
    <row r="77" spans="1:6" hidden="1" x14ac:dyDescent="0.25">
      <c r="A77" s="181" t="s">
        <v>333</v>
      </c>
      <c r="B77" s="195">
        <f>B73</f>
        <v>0</v>
      </c>
      <c r="C77" s="224">
        <f>B77/$B$79</f>
        <v>0</v>
      </c>
      <c r="F77" s="198"/>
    </row>
    <row r="78" spans="1:6" hidden="1" x14ac:dyDescent="0.25">
      <c r="A78" s="181" t="s">
        <v>334</v>
      </c>
      <c r="B78" s="225">
        <f>C73*B34</f>
        <v>0</v>
      </c>
      <c r="C78" s="226">
        <f>B78/$B$79</f>
        <v>0</v>
      </c>
      <c r="F78" s="223"/>
    </row>
    <row r="79" spans="1:6" hidden="1" x14ac:dyDescent="0.25">
      <c r="A79" s="181" t="s">
        <v>335</v>
      </c>
      <c r="B79" s="223">
        <f>SUM(B76:B78)</f>
        <v>3075183.7268303246</v>
      </c>
      <c r="C79" s="227">
        <f>SUM(C76:C78)</f>
        <v>1</v>
      </c>
    </row>
    <row r="80" spans="1:6" hidden="1" x14ac:dyDescent="0.25">
      <c r="D80" s="198"/>
    </row>
    <row r="81" spans="1:6" hidden="1" x14ac:dyDescent="0.25">
      <c r="D81" s="198"/>
    </row>
    <row r="82" spans="1:6" hidden="1" x14ac:dyDescent="0.25">
      <c r="A82" s="228" t="s">
        <v>274</v>
      </c>
      <c r="D82" s="198"/>
    </row>
    <row r="83" spans="1:6" hidden="1" x14ac:dyDescent="0.25">
      <c r="A83" s="181" t="s">
        <v>336</v>
      </c>
    </row>
    <row r="84" spans="1:6" hidden="1" x14ac:dyDescent="0.25">
      <c r="A84" s="181" t="s">
        <v>337</v>
      </c>
    </row>
    <row r="85" spans="1:6" hidden="1" x14ac:dyDescent="0.25">
      <c r="F85" s="198"/>
    </row>
    <row r="86" spans="1:6" hidden="1" x14ac:dyDescent="0.25">
      <c r="A86" s="211"/>
      <c r="C86" s="229" t="s">
        <v>338</v>
      </c>
      <c r="D86" s="230"/>
    </row>
    <row r="87" spans="1:6" hidden="1" x14ac:dyDescent="0.25">
      <c r="A87" s="210"/>
      <c r="B87" s="182" t="s">
        <v>339</v>
      </c>
      <c r="C87" s="210" t="s">
        <v>314</v>
      </c>
      <c r="D87" s="210" t="s">
        <v>340</v>
      </c>
    </row>
    <row r="88" spans="1:6" hidden="1" x14ac:dyDescent="0.25">
      <c r="A88" s="212" t="s">
        <v>341</v>
      </c>
      <c r="B88" s="231" t="s">
        <v>342</v>
      </c>
      <c r="C88" s="212" t="s">
        <v>316</v>
      </c>
      <c r="D88" s="212" t="s">
        <v>316</v>
      </c>
    </row>
    <row r="89" spans="1:6" hidden="1" x14ac:dyDescent="0.25"/>
    <row r="90" spans="1:6" hidden="1" x14ac:dyDescent="0.25">
      <c r="A90" s="211" t="s">
        <v>343</v>
      </c>
      <c r="B90" s="195">
        <v>15000</v>
      </c>
      <c r="C90" s="195">
        <v>15000</v>
      </c>
      <c r="D90" s="221">
        <v>0</v>
      </c>
    </row>
    <row r="91" spans="1:6" hidden="1" x14ac:dyDescent="0.25">
      <c r="A91" s="211" t="s">
        <v>344</v>
      </c>
      <c r="B91" s="221">
        <v>0.02</v>
      </c>
      <c r="C91" s="195">
        <v>0</v>
      </c>
      <c r="D91" s="221">
        <v>0.02</v>
      </c>
    </row>
    <row r="92" spans="1:6" hidden="1" x14ac:dyDescent="0.25">
      <c r="A92" s="211" t="s">
        <v>345</v>
      </c>
      <c r="B92" s="221">
        <v>0.01</v>
      </c>
      <c r="C92" s="195">
        <v>20000</v>
      </c>
      <c r="D92" s="221">
        <v>0.01</v>
      </c>
    </row>
    <row r="93" spans="1:6" hidden="1" x14ac:dyDescent="0.25">
      <c r="A93" s="211" t="s">
        <v>346</v>
      </c>
      <c r="B93" s="221">
        <v>5.0000000000000001E-3</v>
      </c>
      <c r="C93" s="195">
        <v>70000</v>
      </c>
      <c r="D93" s="221">
        <v>5.0000000000000001E-3</v>
      </c>
    </row>
    <row r="94" spans="1:6" hidden="1" x14ac:dyDescent="0.25"/>
    <row r="95" spans="1:6" hidden="1" x14ac:dyDescent="0.25">
      <c r="A95" s="181" t="s">
        <v>347</v>
      </c>
    </row>
    <row r="96" spans="1:6" hidden="1" x14ac:dyDescent="0.25">
      <c r="A96" s="181" t="s">
        <v>348</v>
      </c>
    </row>
    <row r="97" spans="1:2" hidden="1" x14ac:dyDescent="0.25"/>
    <row r="98" spans="1:2" hidden="1" x14ac:dyDescent="0.25"/>
    <row r="100" spans="1:2" x14ac:dyDescent="0.25">
      <c r="A100" s="206"/>
      <c r="B100" s="206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0" zoomScaleNormal="100" workbookViewId="0">
      <selection activeCell="G5" sqref="G5"/>
    </sheetView>
  </sheetViews>
  <sheetFormatPr defaultColWidth="9.140625" defaultRowHeight="15" x14ac:dyDescent="0.2"/>
  <cols>
    <col min="1" max="1" width="26.85546875" style="70" customWidth="1"/>
    <col min="2" max="2" width="11.28515625" style="70" customWidth="1"/>
    <col min="3" max="3" width="11.5703125" style="70" bestFit="1" customWidth="1"/>
    <col min="4" max="4" width="12.28515625" style="70" bestFit="1" customWidth="1"/>
    <col min="5" max="5" width="11.28515625" style="70" bestFit="1" customWidth="1"/>
    <col min="6" max="6" width="15.42578125" style="70" customWidth="1"/>
    <col min="7" max="7" width="16.5703125" style="70" customWidth="1"/>
    <col min="8" max="16384" width="9.140625" style="70"/>
  </cols>
  <sheetData>
    <row r="1" spans="1:7" ht="7.5" customHeight="1" x14ac:dyDescent="0.25">
      <c r="A1" s="11"/>
      <c r="B1" s="11"/>
      <c r="C1" s="11"/>
      <c r="D1" s="87"/>
      <c r="E1" s="11"/>
    </row>
    <row r="2" spans="1:7" ht="18" x14ac:dyDescent="0.25">
      <c r="A2" s="260" t="s">
        <v>149</v>
      </c>
      <c r="B2" s="260"/>
      <c r="C2" s="260"/>
      <c r="D2" s="260"/>
      <c r="E2" s="260"/>
      <c r="F2" s="260"/>
    </row>
    <row r="3" spans="1:7" ht="7.5" customHeight="1" x14ac:dyDescent="0.25">
      <c r="A3" s="11"/>
      <c r="B3" s="11"/>
      <c r="C3" s="11"/>
      <c r="D3" s="87"/>
      <c r="E3" s="80"/>
      <c r="F3" s="81"/>
    </row>
    <row r="4" spans="1:7" x14ac:dyDescent="0.2">
      <c r="A4" s="70" t="s">
        <v>174</v>
      </c>
      <c r="F4" s="91">
        <v>-2176761.0499999998</v>
      </c>
      <c r="G4" s="70" t="s">
        <v>367</v>
      </c>
    </row>
    <row r="5" spans="1:7" x14ac:dyDescent="0.2">
      <c r="A5" s="70" t="s">
        <v>177</v>
      </c>
      <c r="C5" s="84">
        <v>0.1</v>
      </c>
      <c r="D5" s="84"/>
      <c r="E5" s="71"/>
      <c r="F5" s="92">
        <f>+F4*C5</f>
        <v>-217676.10499999998</v>
      </c>
    </row>
    <row r="6" spans="1:7" x14ac:dyDescent="0.2">
      <c r="A6" s="70" t="s">
        <v>195</v>
      </c>
      <c r="C6" s="84"/>
      <c r="D6" s="84"/>
      <c r="E6" s="71"/>
      <c r="F6" s="91">
        <f>+F4+F5</f>
        <v>-2394437.1549999998</v>
      </c>
    </row>
    <row r="7" spans="1:7" x14ac:dyDescent="0.2">
      <c r="A7" s="70" t="s">
        <v>172</v>
      </c>
      <c r="F7" s="72">
        <f>+F45</f>
        <v>1794</v>
      </c>
    </row>
    <row r="8" spans="1:7" x14ac:dyDescent="0.2">
      <c r="A8" s="70" t="s">
        <v>171</v>
      </c>
      <c r="F8" s="78">
        <v>1340</v>
      </c>
    </row>
    <row r="9" spans="1:7" ht="15.75" thickBot="1" x14ac:dyDescent="0.25">
      <c r="A9" s="70" t="s">
        <v>173</v>
      </c>
      <c r="F9" s="78">
        <f>+F7*F8</f>
        <v>2403960</v>
      </c>
    </row>
    <row r="10" spans="1:7" ht="16.5" thickBot="1" x14ac:dyDescent="0.3">
      <c r="A10" s="70" t="s">
        <v>208</v>
      </c>
      <c r="F10" s="57">
        <f>+F9+F6</f>
        <v>9522.8450000002049</v>
      </c>
    </row>
    <row r="11" spans="1:7" x14ac:dyDescent="0.2">
      <c r="F11" s="78"/>
    </row>
    <row r="12" spans="1:7" x14ac:dyDescent="0.2">
      <c r="C12" s="77" t="s">
        <v>168</v>
      </c>
      <c r="E12" s="77" t="s">
        <v>170</v>
      </c>
      <c r="F12" s="77" t="s">
        <v>167</v>
      </c>
    </row>
    <row r="13" spans="1:7" x14ac:dyDescent="0.2">
      <c r="B13" s="70" t="s">
        <v>165</v>
      </c>
      <c r="C13" s="77" t="s">
        <v>169</v>
      </c>
      <c r="D13" s="77" t="s">
        <v>196</v>
      </c>
      <c r="E13" s="77" t="s">
        <v>198</v>
      </c>
      <c r="F13" s="77" t="s">
        <v>206</v>
      </c>
    </row>
    <row r="14" spans="1:7" x14ac:dyDescent="0.2">
      <c r="A14" s="73"/>
      <c r="B14" s="73" t="s">
        <v>166</v>
      </c>
      <c r="C14" s="76" t="s">
        <v>167</v>
      </c>
      <c r="D14" s="76" t="s">
        <v>197</v>
      </c>
      <c r="E14" s="76" t="s">
        <v>199</v>
      </c>
      <c r="F14" s="76" t="s">
        <v>207</v>
      </c>
    </row>
    <row r="15" spans="1:7" ht="15.75" x14ac:dyDescent="0.25">
      <c r="A15" s="98" t="s">
        <v>176</v>
      </c>
      <c r="B15" s="81"/>
      <c r="C15" s="80"/>
      <c r="D15" s="80"/>
      <c r="E15" s="81"/>
      <c r="F15" s="80"/>
    </row>
    <row r="16" spans="1:7" x14ac:dyDescent="0.2">
      <c r="A16" s="70" t="s">
        <v>200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">
      <c r="A17" s="70" t="s">
        <v>201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">
      <c r="A18" s="70" t="s">
        <v>202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">
      <c r="A19" s="70" t="s">
        <v>203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">
      <c r="A20" s="70" t="s">
        <v>204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">
      <c r="A21" s="70" t="s">
        <v>205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">
      <c r="A22" s="73" t="s">
        <v>161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75" x14ac:dyDescent="0.25">
      <c r="A24" s="99" t="s">
        <v>175</v>
      </c>
      <c r="B24" s="81"/>
      <c r="C24" s="80"/>
      <c r="D24" s="80"/>
      <c r="E24" s="81"/>
      <c r="F24" s="80"/>
    </row>
    <row r="25" spans="1:6" x14ac:dyDescent="0.2">
      <c r="A25" s="82" t="s">
        <v>162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">
      <c r="A26" s="82" t="s">
        <v>152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">
      <c r="A27" s="82" t="s">
        <v>160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">
      <c r="A28" s="82" t="s">
        <v>161</v>
      </c>
      <c r="B28" s="74">
        <v>38565</v>
      </c>
      <c r="C28" s="70">
        <v>203</v>
      </c>
      <c r="F28" s="70">
        <f t="shared" si="2"/>
        <v>203</v>
      </c>
    </row>
    <row r="29" spans="1:6" x14ac:dyDescent="0.2">
      <c r="A29" s="82" t="s">
        <v>157</v>
      </c>
      <c r="B29" s="74">
        <v>38734</v>
      </c>
      <c r="C29" s="70">
        <v>497</v>
      </c>
      <c r="F29" s="70">
        <f t="shared" si="2"/>
        <v>497</v>
      </c>
    </row>
    <row r="30" spans="1:6" x14ac:dyDescent="0.2">
      <c r="A30" s="82" t="s">
        <v>154</v>
      </c>
      <c r="B30" s="74">
        <v>38936</v>
      </c>
      <c r="C30" s="70">
        <v>21</v>
      </c>
      <c r="F30" s="70">
        <f t="shared" si="2"/>
        <v>21</v>
      </c>
    </row>
    <row r="31" spans="1:6" x14ac:dyDescent="0.2">
      <c r="A31" s="82" t="s">
        <v>155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">
      <c r="A32" s="82" t="s">
        <v>159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">
      <c r="A33" s="82" t="s">
        <v>150</v>
      </c>
      <c r="B33" s="74">
        <v>39970</v>
      </c>
      <c r="C33" s="70">
        <v>62</v>
      </c>
      <c r="F33" s="70">
        <f t="shared" si="2"/>
        <v>62</v>
      </c>
    </row>
    <row r="34" spans="1:6" x14ac:dyDescent="0.2">
      <c r="A34" s="82" t="s">
        <v>151</v>
      </c>
      <c r="B34" s="74">
        <v>40106</v>
      </c>
      <c r="C34" s="70">
        <v>24</v>
      </c>
      <c r="F34" s="70">
        <f t="shared" si="2"/>
        <v>24</v>
      </c>
    </row>
    <row r="35" spans="1:6" x14ac:dyDescent="0.2">
      <c r="A35" s="82" t="s">
        <v>163</v>
      </c>
      <c r="B35" s="74">
        <v>40106</v>
      </c>
      <c r="C35" s="70">
        <v>40</v>
      </c>
      <c r="F35" s="70">
        <f t="shared" si="2"/>
        <v>40</v>
      </c>
    </row>
    <row r="36" spans="1:6" x14ac:dyDescent="0.2">
      <c r="A36" s="82" t="s">
        <v>153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">
      <c r="A37" s="82" t="s">
        <v>156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">
      <c r="A38" s="90" t="s">
        <v>158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75" x14ac:dyDescent="0.25">
      <c r="A40" s="99" t="s">
        <v>215</v>
      </c>
    </row>
    <row r="41" spans="1:6" x14ac:dyDescent="0.2">
      <c r="A41" s="70" t="s">
        <v>214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">
      <c r="A42" s="73" t="s">
        <v>164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75" x14ac:dyDescent="0.25">
      <c r="A45" s="70" t="s">
        <v>216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">
      <c r="C46" s="83"/>
      <c r="D46" s="83"/>
      <c r="E46" s="83"/>
      <c r="F46" s="83"/>
    </row>
    <row r="47" spans="1:6" x14ac:dyDescent="0.2">
      <c r="A47" s="96" t="s">
        <v>213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&amp;L&amp;8&amp;Z&amp;F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workbookViewId="0">
      <selection activeCell="C39" sqref="C39"/>
    </sheetView>
  </sheetViews>
  <sheetFormatPr defaultColWidth="9.140625" defaultRowHeight="12.75" x14ac:dyDescent="0.2"/>
  <cols>
    <col min="1" max="1" width="3.7109375" style="52" customWidth="1"/>
    <col min="2" max="2" width="9.140625" style="52"/>
    <col min="3" max="3" width="15.5703125" style="52" customWidth="1"/>
    <col min="4" max="4" width="13" style="52" customWidth="1"/>
    <col min="5" max="5" width="12.28515625" style="52" bestFit="1" customWidth="1"/>
    <col min="6" max="6" width="9.140625" style="52"/>
    <col min="7" max="7" width="3.42578125" style="52" customWidth="1"/>
    <col min="8" max="8" width="9.140625" style="52"/>
    <col min="9" max="9" width="19.7109375" style="52" customWidth="1"/>
    <col min="10" max="10" width="13" style="52" customWidth="1"/>
    <col min="11" max="11" width="12.28515625" style="52" bestFit="1" customWidth="1"/>
    <col min="12" max="12" width="9.140625" style="52"/>
    <col min="13" max="13" width="10.28515625" style="52" bestFit="1" customWidth="1"/>
    <col min="14" max="14" width="3.5703125" style="52" customWidth="1"/>
    <col min="15" max="15" width="22" style="52" bestFit="1" customWidth="1"/>
    <col min="16" max="16" width="10.5703125" style="52" customWidth="1"/>
    <col min="17" max="16384" width="9.140625" style="52"/>
  </cols>
  <sheetData>
    <row r="1" spans="2:17" x14ac:dyDescent="0.2">
      <c r="B1" s="79" t="s">
        <v>225</v>
      </c>
      <c r="D1" s="132">
        <f>PMT(0.05,30,C4)</f>
        <v>-253700.59681307865</v>
      </c>
      <c r="E1" s="2">
        <v>0.05</v>
      </c>
      <c r="F1" s="52" t="s">
        <v>231</v>
      </c>
      <c r="H1" s="79" t="s">
        <v>226</v>
      </c>
      <c r="J1" s="132">
        <f>PMT(0.05,20,I4)</f>
        <v>-312946.09004369611</v>
      </c>
      <c r="K1" s="2">
        <v>0.05</v>
      </c>
    </row>
    <row r="2" spans="2:17" x14ac:dyDescent="0.2">
      <c r="C2" s="52" t="s">
        <v>233</v>
      </c>
      <c r="D2" s="18" t="e">
        <f>+'A-6 Peaking Summary'!E24</f>
        <v>#REF!</v>
      </c>
      <c r="F2" s="52" t="s">
        <v>232</v>
      </c>
      <c r="M2"/>
      <c r="N2"/>
      <c r="O2"/>
      <c r="P2"/>
      <c r="Q2"/>
    </row>
    <row r="3" spans="2:17" x14ac:dyDescent="0.2">
      <c r="B3" s="52" t="s">
        <v>222</v>
      </c>
      <c r="C3" s="10" t="s">
        <v>220</v>
      </c>
      <c r="D3" s="10" t="s">
        <v>219</v>
      </c>
      <c r="E3" s="52" t="s">
        <v>221</v>
      </c>
      <c r="H3" s="52" t="s">
        <v>222</v>
      </c>
      <c r="I3" s="10" t="s">
        <v>220</v>
      </c>
      <c r="J3" s="10" t="s">
        <v>219</v>
      </c>
      <c r="K3" s="52" t="s">
        <v>221</v>
      </c>
      <c r="M3" s="134"/>
      <c r="N3" s="135"/>
      <c r="O3" s="135"/>
      <c r="P3" s="136" t="s">
        <v>228</v>
      </c>
      <c r="Q3" s="137"/>
    </row>
    <row r="4" spans="2:17" ht="15" x14ac:dyDescent="0.2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 t="e">
        <f>+D4/D$2</f>
        <v>#REF!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Summary'!E4</f>
        <v>5400000</v>
      </c>
      <c r="N4" s="5"/>
      <c r="O4" s="5"/>
      <c r="P4" s="5"/>
      <c r="Q4" s="139"/>
    </row>
    <row r="5" spans="2:17" s="123" customFormat="1" x14ac:dyDescent="0.2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 t="e">
        <f t="shared" ref="F5:F33" si="4">+D5/D$2</f>
        <v>#REF!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 t="e">
        <f t="shared" si="4"/>
        <v>#REF!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3538010</v>
      </c>
      <c r="N6" s="5"/>
      <c r="O6" s="5"/>
      <c r="P6" s="142">
        <f>+M6/20</f>
        <v>176900.5</v>
      </c>
      <c r="Q6" s="143" t="s">
        <v>224</v>
      </c>
    </row>
    <row r="7" spans="2:17" s="123" customFormat="1" x14ac:dyDescent="0.2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 t="e">
        <f t="shared" si="4"/>
        <v>#REF!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 t="e">
        <f t="shared" si="4"/>
        <v>#REF!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230</v>
      </c>
      <c r="P8" s="36">
        <f>+'3.6'!I4</f>
        <v>3900000</v>
      </c>
      <c r="Q8" s="139"/>
    </row>
    <row r="9" spans="2:17" s="123" customFormat="1" x14ac:dyDescent="0.2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 t="e">
        <f t="shared" si="4"/>
        <v>#REF!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 t="e">
        <f t="shared" si="4"/>
        <v>#REF!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2.1228617672218868</v>
      </c>
      <c r="N10" s="5"/>
      <c r="O10" s="145" t="s">
        <v>223</v>
      </c>
      <c r="P10" s="36">
        <f>+'3.6'!J35</f>
        <v>2358921.8008739236</v>
      </c>
      <c r="Q10" s="139"/>
    </row>
    <row r="11" spans="2:17" ht="13.5" thickBot="1" x14ac:dyDescent="0.25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 t="e">
        <f t="shared" si="4"/>
        <v>#REF!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229</v>
      </c>
      <c r="P11" s="39">
        <f>-'3.6'!J1*4</f>
        <v>1251784.3601747844</v>
      </c>
      <c r="Q11" s="139"/>
    </row>
    <row r="12" spans="2:17" ht="15.75" x14ac:dyDescent="0.25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 t="e">
        <f t="shared" si="4"/>
        <v>#REF!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0</v>
      </c>
      <c r="N12" s="45"/>
      <c r="O12" s="133" t="s">
        <v>96</v>
      </c>
      <c r="P12" s="148">
        <f>+P8+P10+P11</f>
        <v>7510706.1610487085</v>
      </c>
      <c r="Q12" s="149"/>
    </row>
    <row r="13" spans="2:17" x14ac:dyDescent="0.2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 t="e">
        <f t="shared" si="4"/>
        <v>#REF!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 t="e">
        <f t="shared" si="4"/>
        <v>#REF!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 t="e">
        <f t="shared" si="4"/>
        <v>#REF!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234</v>
      </c>
      <c r="P15" s="20">
        <v>3225000</v>
      </c>
    </row>
    <row r="16" spans="2:17" x14ac:dyDescent="0.2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 t="e">
        <f t="shared" si="4"/>
        <v>#REF!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235</v>
      </c>
      <c r="P16" s="89">
        <v>0.19400000000000001</v>
      </c>
    </row>
    <row r="17" spans="2:16" x14ac:dyDescent="0.2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 t="e">
        <f t="shared" si="4"/>
        <v>#REF!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 t="e">
        <f t="shared" si="4"/>
        <v>#REF!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87</v>
      </c>
      <c r="P18" s="26">
        <f>+P17+P15</f>
        <v>3850650</v>
      </c>
    </row>
    <row r="19" spans="2:16" x14ac:dyDescent="0.2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 t="e">
        <f t="shared" si="4"/>
        <v>#REF!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 t="e">
        <f t="shared" si="4"/>
        <v>#REF!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236</v>
      </c>
      <c r="P20" s="26">
        <f>ROUND(+P18,-5)</f>
        <v>3900000</v>
      </c>
    </row>
    <row r="21" spans="2:16" x14ac:dyDescent="0.2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 t="e">
        <f t="shared" si="4"/>
        <v>#REF!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 t="e">
        <f t="shared" si="4"/>
        <v>#REF!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 t="e">
        <f t="shared" si="4"/>
        <v>#REF!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 t="e">
        <f t="shared" si="4"/>
        <v>#REF!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 t="e">
        <f t="shared" si="4"/>
        <v>#REF!</v>
      </c>
      <c r="H25" s="123"/>
      <c r="I25" s="18"/>
      <c r="J25" s="18"/>
      <c r="K25" s="18"/>
    </row>
    <row r="26" spans="2:16" x14ac:dyDescent="0.2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 t="e">
        <f t="shared" si="4"/>
        <v>#REF!</v>
      </c>
      <c r="I26" s="18"/>
      <c r="J26" s="18"/>
      <c r="K26" s="18"/>
    </row>
    <row r="27" spans="2:16" x14ac:dyDescent="0.2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 t="e">
        <f t="shared" si="4"/>
        <v>#REF!</v>
      </c>
      <c r="H27" s="123"/>
      <c r="I27" s="18"/>
      <c r="J27" s="18"/>
      <c r="K27" s="18"/>
    </row>
    <row r="28" spans="2:16" x14ac:dyDescent="0.2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 t="e">
        <f t="shared" si="4"/>
        <v>#REF!</v>
      </c>
      <c r="I28" s="18"/>
      <c r="J28" s="18"/>
      <c r="K28" s="18"/>
    </row>
    <row r="29" spans="2:16" x14ac:dyDescent="0.2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 t="e">
        <f t="shared" si="4"/>
        <v>#REF!</v>
      </c>
      <c r="H29" s="123"/>
      <c r="I29" s="18"/>
      <c r="J29" s="18"/>
      <c r="K29" s="18"/>
    </row>
    <row r="30" spans="2:16" x14ac:dyDescent="0.2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 t="e">
        <f t="shared" si="4"/>
        <v>#REF!</v>
      </c>
      <c r="I30" s="18"/>
      <c r="J30" s="18"/>
      <c r="K30" s="18"/>
    </row>
    <row r="31" spans="2:16" x14ac:dyDescent="0.2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 t="e">
        <f t="shared" si="4"/>
        <v>#REF!</v>
      </c>
      <c r="H31" s="123"/>
      <c r="I31" s="18"/>
      <c r="J31" s="18"/>
      <c r="K31" s="18"/>
    </row>
    <row r="32" spans="2:16" x14ac:dyDescent="0.2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 t="e">
        <f t="shared" si="4"/>
        <v>#REF!</v>
      </c>
      <c r="I32" s="18"/>
      <c r="J32" s="18"/>
      <c r="K32" s="18"/>
    </row>
    <row r="33" spans="2:11" x14ac:dyDescent="0.2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 t="e">
        <f t="shared" si="4"/>
        <v>#REF!</v>
      </c>
      <c r="H33" s="123"/>
      <c r="I33" s="18"/>
      <c r="J33" s="18"/>
      <c r="K33" s="18"/>
    </row>
    <row r="34" spans="2:11" x14ac:dyDescent="0.2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">
      <c r="C36" s="1"/>
      <c r="I36" s="1"/>
    </row>
    <row r="37" spans="2:11" x14ac:dyDescent="0.2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7"/>
  <sheetViews>
    <sheetView zoomScaleNormal="100" workbookViewId="0">
      <pane xSplit="1" ySplit="10" topLeftCell="B32" activePane="bottomRight" state="frozen"/>
      <selection pane="topRight" activeCell="B1" sqref="B1"/>
      <selection pane="bottomLeft" activeCell="A13" sqref="A13"/>
      <selection pane="bottomRight" activeCell="C15" sqref="C15"/>
    </sheetView>
  </sheetViews>
  <sheetFormatPr defaultColWidth="8.85546875" defaultRowHeight="12.75" x14ac:dyDescent="0.2"/>
  <cols>
    <col min="1" max="1" width="35.7109375" style="52" customWidth="1"/>
    <col min="2" max="2" width="12.42578125" style="52" bestFit="1" customWidth="1"/>
    <col min="3" max="3" width="10.7109375" style="52" bestFit="1" customWidth="1"/>
    <col min="4" max="4" width="11.42578125" style="52" bestFit="1" customWidth="1"/>
    <col min="5" max="5" width="8.140625" style="52" bestFit="1" customWidth="1"/>
    <col min="6" max="6" width="11.7109375" style="52" bestFit="1" customWidth="1"/>
    <col min="7" max="7" width="22.7109375" style="52" bestFit="1" customWidth="1"/>
    <col min="8" max="16384" width="8.85546875" style="52"/>
  </cols>
  <sheetData>
    <row r="1" spans="1:10" x14ac:dyDescent="0.2">
      <c r="A1" s="79" t="s">
        <v>244</v>
      </c>
      <c r="B1" s="79"/>
      <c r="C1" s="79"/>
      <c r="D1" s="79"/>
      <c r="E1" s="79"/>
      <c r="F1" s="79"/>
      <c r="G1" s="153" t="s">
        <v>245</v>
      </c>
      <c r="H1" s="79"/>
      <c r="I1" s="79"/>
      <c r="J1" s="79"/>
    </row>
    <row r="2" spans="1:10" x14ac:dyDescent="0.2">
      <c r="A2" s="79" t="s">
        <v>246</v>
      </c>
      <c r="B2" s="79"/>
      <c r="C2" s="79"/>
      <c r="D2" s="79"/>
      <c r="E2" s="79"/>
      <c r="F2" s="79"/>
      <c r="G2" s="154" t="s">
        <v>370</v>
      </c>
      <c r="H2" s="79"/>
      <c r="I2" s="79"/>
      <c r="J2" s="79"/>
    </row>
    <row r="3" spans="1:10" x14ac:dyDescent="0.2">
      <c r="A3" s="79" t="s">
        <v>278</v>
      </c>
      <c r="B3" s="79"/>
      <c r="C3" s="79"/>
      <c r="D3" s="79"/>
      <c r="E3" s="79"/>
      <c r="F3" s="79"/>
      <c r="G3" s="155">
        <v>41141</v>
      </c>
      <c r="H3" s="79"/>
      <c r="I3" s="79"/>
      <c r="J3" s="79"/>
    </row>
    <row r="4" spans="1:10" x14ac:dyDescent="0.2">
      <c r="A4" s="79" t="s">
        <v>360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">
      <c r="A8" s="79"/>
      <c r="B8" s="88" t="s">
        <v>279</v>
      </c>
      <c r="C8" s="88" t="s">
        <v>282</v>
      </c>
      <c r="D8" s="88" t="s">
        <v>284</v>
      </c>
      <c r="E8" s="88" t="s">
        <v>247</v>
      </c>
      <c r="F8" s="88"/>
      <c r="G8" s="79"/>
      <c r="H8" s="79"/>
      <c r="I8" s="79"/>
      <c r="J8" s="79"/>
    </row>
    <row r="9" spans="1:10" x14ac:dyDescent="0.2">
      <c r="A9" s="79"/>
      <c r="B9" s="88" t="s">
        <v>280</v>
      </c>
      <c r="C9" s="88" t="s">
        <v>283</v>
      </c>
      <c r="D9" s="88" t="s">
        <v>285</v>
      </c>
      <c r="E9" s="88" t="s">
        <v>247</v>
      </c>
      <c r="F9" s="88"/>
      <c r="G9" s="88" t="s">
        <v>248</v>
      </c>
      <c r="H9" s="79"/>
      <c r="I9" s="79"/>
      <c r="J9" s="79"/>
    </row>
    <row r="10" spans="1:10" x14ac:dyDescent="0.2">
      <c r="A10" s="133" t="s">
        <v>249</v>
      </c>
      <c r="B10" s="156" t="s">
        <v>281</v>
      </c>
      <c r="C10" s="156" t="s">
        <v>281</v>
      </c>
      <c r="D10" s="156" t="s">
        <v>281</v>
      </c>
      <c r="E10" s="156" t="s">
        <v>247</v>
      </c>
      <c r="F10" s="156" t="s">
        <v>250</v>
      </c>
      <c r="G10" s="156" t="s">
        <v>251</v>
      </c>
      <c r="H10" s="79"/>
      <c r="I10" s="79"/>
      <c r="J10" s="79"/>
    </row>
    <row r="11" spans="1:10" x14ac:dyDescent="0.2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">
      <c r="A12" s="158" t="s">
        <v>252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">
      <c r="A13" s="79" t="s">
        <v>253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">
      <c r="A14" s="159" t="s">
        <v>254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">
      <c r="A15" s="159" t="s">
        <v>255</v>
      </c>
      <c r="B15" s="161">
        <f>'A-2 Groundwater Sup Fee'!C19</f>
        <v>1950000</v>
      </c>
      <c r="C15" s="161">
        <f>'A-7 Peaking Costs'!C22</f>
        <v>3053000</v>
      </c>
      <c r="D15" s="161">
        <f>'A-8 Dist Summary'!D13</f>
        <v>20888999.999814391</v>
      </c>
      <c r="E15" s="161">
        <v>0</v>
      </c>
      <c r="F15" s="161">
        <f>SUM(B15:E15)</f>
        <v>25891999.999814391</v>
      </c>
      <c r="G15" s="79"/>
      <c r="H15" s="79"/>
      <c r="I15" s="79"/>
      <c r="J15" s="79"/>
    </row>
    <row r="16" spans="1:10" x14ac:dyDescent="0.2">
      <c r="A16" s="159" t="s">
        <v>256</v>
      </c>
      <c r="B16" s="162">
        <f>SUM(B14:B15)</f>
        <v>1950000</v>
      </c>
      <c r="C16" s="162">
        <f>SUM(C14:C15)</f>
        <v>3053000</v>
      </c>
      <c r="D16" s="162">
        <f>SUM(D14:D15)</f>
        <v>20888999.999814391</v>
      </c>
      <c r="E16" s="162">
        <f>SUM(E14:E15)</f>
        <v>0</v>
      </c>
      <c r="F16" s="160">
        <f>SUM(B16:E16)</f>
        <v>25891999.999814391</v>
      </c>
      <c r="G16" s="163"/>
      <c r="H16" s="79"/>
      <c r="I16" s="79"/>
      <c r="J16" s="79"/>
    </row>
    <row r="17" spans="1:10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">
      <c r="A18" s="164" t="s">
        <v>351</v>
      </c>
      <c r="B18" s="165">
        <f>'A-2 Groundwater Sup Fee'!C26</f>
        <v>312000</v>
      </c>
      <c r="C18" s="165">
        <f>'A-7 Peaking Costs'!C28</f>
        <v>488000</v>
      </c>
      <c r="D18" s="165"/>
      <c r="E18" s="165">
        <f t="shared" ref="E18" si="0">E16*0.19</f>
        <v>0</v>
      </c>
      <c r="F18" s="160">
        <f>SUM(B18:E18)</f>
        <v>800000</v>
      </c>
      <c r="G18" s="79" t="s">
        <v>257</v>
      </c>
      <c r="H18" s="79"/>
      <c r="I18" s="79"/>
      <c r="J18" s="79"/>
    </row>
    <row r="19" spans="1:10" x14ac:dyDescent="0.2">
      <c r="A19" s="164" t="s">
        <v>352</v>
      </c>
      <c r="B19" s="232">
        <f>IF(B16=0,0,B18/B16)</f>
        <v>0.16</v>
      </c>
      <c r="C19" s="232">
        <f t="shared" ref="C19:F19" si="1">IF(C16=0,0,C18/C16)</f>
        <v>0.15984277759580739</v>
      </c>
      <c r="D19" s="247" t="s">
        <v>373</v>
      </c>
      <c r="E19" s="232">
        <f t="shared" si="1"/>
        <v>0</v>
      </c>
      <c r="F19" s="232">
        <f t="shared" si="1"/>
        <v>3.089757454062007E-2</v>
      </c>
      <c r="G19" s="79"/>
      <c r="H19" s="79"/>
      <c r="I19" s="79"/>
      <c r="J19" s="79"/>
    </row>
    <row r="20" spans="1:10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">
      <c r="A21" s="79" t="s">
        <v>258</v>
      </c>
      <c r="B21" s="166">
        <v>0</v>
      </c>
      <c r="C21" s="166">
        <v>0</v>
      </c>
      <c r="D21" s="166">
        <v>0</v>
      </c>
      <c r="E21" s="166">
        <v>0</v>
      </c>
      <c r="F21" s="167">
        <f>SUM(B21:E21)</f>
        <v>0</v>
      </c>
      <c r="G21" s="79" t="s">
        <v>259</v>
      </c>
      <c r="H21" s="79"/>
      <c r="I21" s="79"/>
      <c r="J21" s="79"/>
    </row>
    <row r="22" spans="1:10" x14ac:dyDescent="0.2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">
      <c r="A24" s="79" t="s">
        <v>260</v>
      </c>
      <c r="B24" s="166">
        <f>B16+B21+B18</f>
        <v>2262000</v>
      </c>
      <c r="C24" s="166">
        <f>C16+C21+C18</f>
        <v>3541000</v>
      </c>
      <c r="D24" s="166">
        <f>D16+D21+D18</f>
        <v>20888999.999814391</v>
      </c>
      <c r="E24" s="166">
        <f>E16+E21+E18</f>
        <v>0</v>
      </c>
      <c r="F24" s="167">
        <f>SUM(B24:E24)</f>
        <v>26691999.999814391</v>
      </c>
      <c r="G24" s="79"/>
      <c r="H24" s="79"/>
      <c r="I24" s="79"/>
      <c r="J24" s="79"/>
    </row>
    <row r="25" spans="1:10" x14ac:dyDescent="0.2">
      <c r="A25" s="159" t="s">
        <v>261</v>
      </c>
      <c r="B25" s="169">
        <f>B24/$F$24</f>
        <v>8.4744492732493987E-2</v>
      </c>
      <c r="C25" s="169">
        <f>C24/$F$24</f>
        <v>0.13266147160290062</v>
      </c>
      <c r="D25" s="169">
        <f>D24/$F$24</f>
        <v>0.78259403566460539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">
      <c r="A26" s="159"/>
      <c r="B26" s="233"/>
      <c r="C26" s="233"/>
      <c r="D26" s="233"/>
      <c r="E26" s="169"/>
      <c r="F26" s="79"/>
      <c r="G26" s="79"/>
      <c r="H26" s="79"/>
      <c r="I26" s="79"/>
      <c r="J26" s="79"/>
    </row>
    <row r="27" spans="1:10" x14ac:dyDescent="0.2">
      <c r="A27" s="158" t="s">
        <v>262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">
      <c r="A28" s="79" t="s">
        <v>260</v>
      </c>
      <c r="B28" s="170">
        <f>B24/1000*'A-10 Finance Assumptions'!$B$16*'A-10 Finance Assumptions'!$B$12</f>
        <v>767943.72683032462</v>
      </c>
      <c r="C28" s="170">
        <f>C24/1000*'A-10 Finance Assumptions'!$B$16*'A-10 Finance Assumptions'!$B$12</f>
        <v>1202161.245228196</v>
      </c>
      <c r="D28" s="170">
        <f>D24/1000*'A-10 Finance Assumptions'!$B$16*'A-10 Finance Assumptions'!$B$12</f>
        <v>7091766.8035438173</v>
      </c>
      <c r="E28" s="170">
        <f>E24/1000*'A-10 Finance Assumptions'!$B$16*'A-10 Finance Assumptions'!$B$12</f>
        <v>0</v>
      </c>
      <c r="F28" s="161">
        <f>SUM(B28:E28)</f>
        <v>9061871.775602337</v>
      </c>
      <c r="G28" s="79" t="s">
        <v>263</v>
      </c>
      <c r="H28" s="79"/>
      <c r="I28" s="79"/>
      <c r="J28" s="79"/>
    </row>
    <row r="29" spans="1:10" x14ac:dyDescent="0.2">
      <c r="A29" s="159" t="s">
        <v>264</v>
      </c>
      <c r="B29" s="162">
        <f t="shared" ref="B29:E29" si="2">SUM(B28:B28)</f>
        <v>767943.72683032462</v>
      </c>
      <c r="C29" s="162">
        <f t="shared" si="2"/>
        <v>1202161.245228196</v>
      </c>
      <c r="D29" s="162">
        <f t="shared" si="2"/>
        <v>7091766.8035438173</v>
      </c>
      <c r="E29" s="162">
        <f t="shared" si="2"/>
        <v>0</v>
      </c>
      <c r="F29" s="160">
        <f>SUM(B29:E29)</f>
        <v>9061871.775602337</v>
      </c>
      <c r="G29" s="163"/>
      <c r="H29" s="79"/>
      <c r="I29" s="79"/>
      <c r="J29" s="79"/>
    </row>
    <row r="30" spans="1:10" x14ac:dyDescent="0.2">
      <c r="A30" s="159" t="s">
        <v>265</v>
      </c>
      <c r="B30" s="169">
        <f>IF(B24&gt;0,B29/B24,0)</f>
        <v>0.3394976688020887</v>
      </c>
      <c r="C30" s="169">
        <f t="shared" ref="C30:F30" si="3">IF(C24&gt;0,C29/C24,0)</f>
        <v>0.3394976688020887</v>
      </c>
      <c r="D30" s="169">
        <f t="shared" si="3"/>
        <v>0.3394976688020887</v>
      </c>
      <c r="E30" s="169">
        <f t="shared" si="3"/>
        <v>0</v>
      </c>
      <c r="F30" s="169">
        <f t="shared" si="3"/>
        <v>0.33949766880208865</v>
      </c>
      <c r="G30" s="79"/>
      <c r="H30" s="79"/>
      <c r="I30" s="79"/>
      <c r="J30" s="79"/>
    </row>
    <row r="31" spans="1:10" x14ac:dyDescent="0.2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">
      <c r="A32" s="158" t="s">
        <v>266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">
      <c r="A33" s="79" t="s">
        <v>372</v>
      </c>
      <c r="B33" s="171">
        <v>0</v>
      </c>
      <c r="C33" s="171">
        <v>0</v>
      </c>
      <c r="D33" s="171">
        <f>'[1]Sum 1. City Admin Costs Summary'!$E$30</f>
        <v>6981250</v>
      </c>
      <c r="E33" s="171">
        <v>0</v>
      </c>
      <c r="F33" s="171">
        <f t="shared" ref="F33" si="4">SUM(B33:E33)</f>
        <v>6981250</v>
      </c>
      <c r="G33" s="79"/>
      <c r="H33" s="79"/>
      <c r="I33" s="79"/>
      <c r="J33" s="79"/>
    </row>
    <row r="34" spans="1:10" x14ac:dyDescent="0.2">
      <c r="A34" s="159" t="s">
        <v>368</v>
      </c>
      <c r="B34" s="173">
        <f>B24*0.02</f>
        <v>45240</v>
      </c>
      <c r="C34" s="173">
        <f>C24*0.02</f>
        <v>70820</v>
      </c>
      <c r="D34" s="173">
        <f>D24*0.02</f>
        <v>417779.99999628781</v>
      </c>
      <c r="E34" s="173">
        <f>E24*0.02</f>
        <v>0</v>
      </c>
      <c r="F34" s="161">
        <f>SUM(B34:E34)</f>
        <v>533839.99999628775</v>
      </c>
      <c r="G34" s="79" t="s">
        <v>357</v>
      </c>
      <c r="H34" s="79"/>
      <c r="I34" s="79"/>
      <c r="J34" s="79"/>
    </row>
    <row r="35" spans="1:10" x14ac:dyDescent="0.2">
      <c r="A35" s="79" t="s">
        <v>267</v>
      </c>
      <c r="B35" s="171">
        <f>SUM(B32:B34)</f>
        <v>45240</v>
      </c>
      <c r="C35" s="171">
        <f>SUM(C32:C34)</f>
        <v>70820</v>
      </c>
      <c r="D35" s="171">
        <f>SUM(D32:D34)</f>
        <v>7399029.9999962877</v>
      </c>
      <c r="E35" s="171">
        <f>SUM(E32:E34)</f>
        <v>0</v>
      </c>
      <c r="F35" s="171">
        <f>SUM(F32:F34)</f>
        <v>7515089.9999962877</v>
      </c>
      <c r="G35" s="79"/>
      <c r="H35" s="79"/>
      <c r="I35" s="79"/>
      <c r="J35" s="79"/>
    </row>
    <row r="36" spans="1:10" x14ac:dyDescent="0.2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">
      <c r="A37" s="158" t="s">
        <v>268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">
      <c r="A38" s="79" t="s">
        <v>269</v>
      </c>
      <c r="B38" s="172">
        <v>0</v>
      </c>
      <c r="C38" s="172">
        <v>0</v>
      </c>
      <c r="D38" s="172">
        <v>-2500000</v>
      </c>
      <c r="E38" s="172">
        <v>0</v>
      </c>
      <c r="F38" s="160">
        <f>SUM(B38:E38)</f>
        <v>-2500000</v>
      </c>
      <c r="G38" s="79" t="s">
        <v>371</v>
      </c>
      <c r="H38" s="79"/>
      <c r="I38" s="79"/>
      <c r="J38" s="79"/>
    </row>
    <row r="39" spans="1:10" x14ac:dyDescent="0.2">
      <c r="A39" s="79" t="s">
        <v>270</v>
      </c>
      <c r="B39" s="174">
        <v>0</v>
      </c>
      <c r="C39" s="174">
        <v>0</v>
      </c>
      <c r="D39" s="174">
        <v>0</v>
      </c>
      <c r="E39" s="174">
        <v>0</v>
      </c>
      <c r="F39" s="175">
        <f>SUM(B39:E39)</f>
        <v>0</v>
      </c>
      <c r="G39" s="79" t="s">
        <v>259</v>
      </c>
      <c r="H39" s="79"/>
      <c r="I39" s="79"/>
      <c r="J39" s="79"/>
    </row>
    <row r="40" spans="1:10" x14ac:dyDescent="0.2">
      <c r="A40" s="79" t="s">
        <v>271</v>
      </c>
      <c r="B40" s="171">
        <f t="shared" ref="B40:F40" si="5">SUM(B37:B39)</f>
        <v>0</v>
      </c>
      <c r="C40" s="171">
        <f t="shared" si="5"/>
        <v>0</v>
      </c>
      <c r="D40" s="171">
        <f t="shared" si="5"/>
        <v>-2500000</v>
      </c>
      <c r="E40" s="171">
        <f t="shared" si="5"/>
        <v>0</v>
      </c>
      <c r="F40" s="171">
        <f t="shared" si="5"/>
        <v>-2500000</v>
      </c>
      <c r="G40" s="79"/>
      <c r="H40" s="79"/>
      <c r="I40" s="79"/>
      <c r="J40" s="79"/>
    </row>
    <row r="41" spans="1:10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">
      <c r="A42" s="79" t="s">
        <v>272</v>
      </c>
      <c r="B42" s="176">
        <f>B24+B35+B29-B40</f>
        <v>3075183.7268303246</v>
      </c>
      <c r="C42" s="176">
        <f>C24+C35+C29-C40</f>
        <v>4813981.2452281956</v>
      </c>
      <c r="D42" s="176">
        <f>D24+D35+D29-D40</f>
        <v>37879796.803354502</v>
      </c>
      <c r="E42" s="176">
        <f>E24+E35+E29-E40</f>
        <v>0</v>
      </c>
      <c r="F42" s="176">
        <f>F24+F35+F29-F40</f>
        <v>45768961.775413021</v>
      </c>
      <c r="G42" s="79"/>
      <c r="H42" s="79"/>
      <c r="I42" s="79"/>
      <c r="J42" s="79"/>
    </row>
    <row r="43" spans="1:10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">
      <c r="A44" s="79" t="s">
        <v>350</v>
      </c>
      <c r="B44" s="165">
        <f>'A-2 Groundwater Sup Fee'!C11</f>
        <v>3096.7422271770101</v>
      </c>
      <c r="C44" s="165">
        <f>'A-6 Peaking Summary'!C20</f>
        <v>4099.8542274052479</v>
      </c>
      <c r="D44" s="165">
        <f>'A-8 Dist Summary'!D20</f>
        <v>55000</v>
      </c>
      <c r="E44" s="165">
        <v>0</v>
      </c>
      <c r="F44" s="165">
        <f>SUM(B44:E44)</f>
        <v>62196.596454582257</v>
      </c>
      <c r="G44" s="79"/>
      <c r="H44" s="79"/>
      <c r="I44" s="79"/>
      <c r="J44" s="79"/>
    </row>
    <row r="45" spans="1:10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">
      <c r="A46" s="79" t="s">
        <v>273</v>
      </c>
      <c r="B46" s="177">
        <f>IF(OR(B42=0,B44&lt;0),0,(B42/B44))</f>
        <v>993.03832906804837</v>
      </c>
      <c r="C46" s="177">
        <f>IF(OR(C42=0,C44&lt;0),0,(C42/C44))</f>
        <v>1174.1835143916594</v>
      </c>
      <c r="D46" s="177">
        <f t="shared" ref="D46:E46" si="6">IF(OR(D42=0,D44&lt;0),0,(D42/D44))</f>
        <v>688.72357824280914</v>
      </c>
      <c r="E46" s="177">
        <f t="shared" si="6"/>
        <v>0</v>
      </c>
      <c r="F46" s="246">
        <f>+B46+C46+D46+E46</f>
        <v>2855.9454217025173</v>
      </c>
      <c r="G46" s="79"/>
      <c r="H46" s="79"/>
      <c r="I46" s="79"/>
      <c r="J46" s="79"/>
    </row>
    <row r="47" spans="1:10" x14ac:dyDescent="0.2">
      <c r="A47" s="79"/>
      <c r="B47" s="88" t="s">
        <v>359</v>
      </c>
      <c r="C47" s="79"/>
      <c r="D47" s="88" t="s">
        <v>358</v>
      </c>
      <c r="E47" s="79"/>
      <c r="F47" s="246"/>
      <c r="G47" s="79"/>
      <c r="H47" s="79"/>
      <c r="I47" s="79"/>
      <c r="J47" s="79"/>
    </row>
    <row r="48" spans="1:10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">
      <c r="A50" s="178" t="s">
        <v>274</v>
      </c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">
      <c r="A51" s="79" t="s">
        <v>356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">
      <c r="A52" s="79" t="s">
        <v>275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">
      <c r="A53" s="79" t="s">
        <v>276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">
      <c r="A54" s="79" t="s">
        <v>361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">
      <c r="A55" s="79" t="s">
        <v>277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">
      <c r="A56" s="79" t="s">
        <v>364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">
      <c r="A57" s="79" t="s">
        <v>369</v>
      </c>
    </row>
  </sheetData>
  <printOptions horizontalCentered="1" verticalCentered="1"/>
  <pageMargins left="0.5" right="0.5" top="1" bottom="1" header="0.5" footer="0.5"/>
  <pageSetup scale="86" orientation="portrait" r:id="rId1"/>
  <headerFooter alignWithMargins="0">
    <oddFooter>&amp;L&amp;Z&amp;F&amp;R&amp;T&amp;D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D12" sqref="D12"/>
    </sheetView>
  </sheetViews>
  <sheetFormatPr defaultRowHeight="12.75" x14ac:dyDescent="0.2"/>
  <cols>
    <col min="1" max="1" width="44.28515625" bestFit="1" customWidth="1"/>
    <col min="2" max="2" width="6.140625" bestFit="1" customWidth="1"/>
    <col min="3" max="3" width="14" customWidth="1"/>
    <col min="4" max="4" width="9.28515625" bestFit="1" customWidth="1"/>
  </cols>
  <sheetData>
    <row r="1" spans="1:7" ht="18" x14ac:dyDescent="0.25">
      <c r="A1" s="260" t="s">
        <v>57</v>
      </c>
      <c r="B1" s="260"/>
      <c r="C1" s="260"/>
    </row>
    <row r="2" spans="1:7" ht="15.75" x14ac:dyDescent="0.25">
      <c r="A2" s="11"/>
      <c r="B2" s="11"/>
      <c r="C2" s="11"/>
    </row>
    <row r="3" spans="1:7" ht="20.25" x14ac:dyDescent="0.3">
      <c r="A3" s="261" t="s">
        <v>126</v>
      </c>
      <c r="B3" s="261"/>
      <c r="C3" s="261"/>
    </row>
    <row r="4" spans="1:7" ht="15.75" x14ac:dyDescent="0.25">
      <c r="A4" s="262"/>
      <c r="B4" s="262"/>
      <c r="C4" s="262"/>
    </row>
    <row r="5" spans="1:7" s="52" customFormat="1" ht="15.75" x14ac:dyDescent="0.25">
      <c r="A5" s="150"/>
      <c r="B5" s="150"/>
      <c r="C5" s="150"/>
    </row>
    <row r="6" spans="1:7" s="52" customFormat="1" ht="15.75" x14ac:dyDescent="0.25">
      <c r="A6" s="150"/>
      <c r="B6" s="150"/>
      <c r="C6" s="150"/>
      <c r="F6" s="79"/>
    </row>
    <row r="7" spans="1:7" ht="15" x14ac:dyDescent="0.2">
      <c r="A7" s="70" t="s">
        <v>381</v>
      </c>
      <c r="B7" s="70"/>
      <c r="C7" s="72">
        <v>1500</v>
      </c>
      <c r="D7" s="79" t="s">
        <v>382</v>
      </c>
    </row>
    <row r="8" spans="1:7" ht="15" x14ac:dyDescent="0.2">
      <c r="A8" s="70" t="s">
        <v>395</v>
      </c>
      <c r="B8" s="70"/>
      <c r="C8" s="253">
        <v>0.42120000000000002</v>
      </c>
      <c r="D8" s="79" t="s">
        <v>382</v>
      </c>
      <c r="G8" s="79"/>
    </row>
    <row r="9" spans="1:7" ht="15" x14ac:dyDescent="0.2">
      <c r="A9" s="70" t="s">
        <v>65</v>
      </c>
      <c r="B9" s="70"/>
      <c r="C9" s="104">
        <v>1.1499999999999999</v>
      </c>
      <c r="F9" s="233"/>
      <c r="G9" s="79"/>
    </row>
    <row r="10" spans="1:7" ht="15" x14ac:dyDescent="0.2">
      <c r="A10" s="70" t="s">
        <v>398</v>
      </c>
      <c r="B10" s="70"/>
      <c r="C10" s="104">
        <f>+C8*C9</f>
        <v>0.48437999999999998</v>
      </c>
      <c r="D10" t="s">
        <v>397</v>
      </c>
      <c r="G10" s="79"/>
    </row>
    <row r="11" spans="1:7" s="52" customFormat="1" ht="15" x14ac:dyDescent="0.2">
      <c r="A11" s="70" t="s">
        <v>353</v>
      </c>
      <c r="B11" s="70"/>
      <c r="C11" s="72">
        <f>+C7/C10</f>
        <v>3096.7422271770101</v>
      </c>
      <c r="D11" s="52" t="s">
        <v>399</v>
      </c>
      <c r="G11" s="79"/>
    </row>
    <row r="12" spans="1:7" ht="15" x14ac:dyDescent="0.2">
      <c r="A12" s="70"/>
      <c r="B12" s="70"/>
      <c r="C12" s="70"/>
      <c r="D12" s="254"/>
      <c r="F12" s="20"/>
      <c r="G12" s="79"/>
    </row>
    <row r="13" spans="1:7" ht="15" x14ac:dyDescent="0.2">
      <c r="A13" s="70"/>
      <c r="B13" s="70"/>
      <c r="C13" s="70"/>
    </row>
    <row r="14" spans="1:7" ht="15" x14ac:dyDescent="0.2">
      <c r="A14" s="70" t="s">
        <v>59</v>
      </c>
      <c r="B14" s="70"/>
      <c r="C14" s="70"/>
      <c r="G14" s="79"/>
    </row>
    <row r="15" spans="1:7" ht="15" x14ac:dyDescent="0.2">
      <c r="A15" s="82" t="s">
        <v>72</v>
      </c>
      <c r="B15" s="70"/>
      <c r="C15" s="105">
        <f>'A-3 Groundwater Sup Cost 1'!C26</f>
        <v>281000</v>
      </c>
      <c r="G15" s="79"/>
    </row>
    <row r="16" spans="1:7" ht="15" x14ac:dyDescent="0.2">
      <c r="A16" s="82" t="s">
        <v>69</v>
      </c>
      <c r="B16" s="70"/>
      <c r="C16" s="105">
        <f>'A-4 Groundwater Sup Cost 3'!C40</f>
        <v>900000</v>
      </c>
      <c r="D16" t="s">
        <v>237</v>
      </c>
      <c r="F16" s="251"/>
      <c r="G16" s="79"/>
    </row>
    <row r="17" spans="1:7" ht="15" x14ac:dyDescent="0.2">
      <c r="A17" s="82" t="s">
        <v>16</v>
      </c>
      <c r="B17" s="70"/>
      <c r="C17" s="106">
        <f>'A-5 Groundwater Sup Cost 2'!C13</f>
        <v>765000</v>
      </c>
      <c r="D17" s="52" t="s">
        <v>238</v>
      </c>
    </row>
    <row r="18" spans="1:7" ht="15" x14ac:dyDescent="0.2">
      <c r="A18" s="70"/>
      <c r="B18" s="70"/>
      <c r="C18" s="105"/>
      <c r="D18" s="52" t="s">
        <v>239</v>
      </c>
      <c r="F18" s="79"/>
    </row>
    <row r="19" spans="1:7" ht="15" x14ac:dyDescent="0.2">
      <c r="A19" s="82" t="s">
        <v>63</v>
      </c>
      <c r="B19" s="70"/>
      <c r="C19" s="105">
        <f>ROUND(SUM(C15:C17),-4)</f>
        <v>1950000</v>
      </c>
      <c r="F19" s="79"/>
    </row>
    <row r="20" spans="1:7" ht="15" x14ac:dyDescent="0.2">
      <c r="A20" s="70"/>
      <c r="B20" s="70"/>
      <c r="C20" s="107"/>
      <c r="F20" s="79"/>
    </row>
    <row r="21" spans="1:7" ht="15" x14ac:dyDescent="0.2">
      <c r="A21" s="108" t="s">
        <v>64</v>
      </c>
      <c r="B21" s="70"/>
      <c r="C21" s="70"/>
      <c r="F21" s="88"/>
    </row>
    <row r="22" spans="1:7" ht="15" x14ac:dyDescent="0.2">
      <c r="A22" s="82" t="s">
        <v>135</v>
      </c>
      <c r="B22" s="152">
        <v>0.03</v>
      </c>
      <c r="C22" s="110">
        <f>+$C$19*B22</f>
        <v>58500</v>
      </c>
      <c r="G22" s="79"/>
    </row>
    <row r="23" spans="1:7" ht="15" x14ac:dyDescent="0.2">
      <c r="A23" s="82" t="s">
        <v>52</v>
      </c>
      <c r="B23" s="152">
        <v>0.09</v>
      </c>
      <c r="C23" s="110">
        <f>+$C$19*B23</f>
        <v>175500</v>
      </c>
      <c r="G23" s="79"/>
    </row>
    <row r="24" spans="1:7" ht="15" x14ac:dyDescent="0.2">
      <c r="A24" s="82" t="s">
        <v>56</v>
      </c>
      <c r="B24" s="152">
        <v>0.04</v>
      </c>
      <c r="C24" s="111">
        <f>+$C$19*B24</f>
        <v>78000</v>
      </c>
      <c r="G24" s="79"/>
    </row>
    <row r="25" spans="1:7" ht="15" x14ac:dyDescent="0.2">
      <c r="A25" s="82"/>
      <c r="B25" s="70"/>
      <c r="C25" s="110"/>
      <c r="G25" s="79"/>
    </row>
    <row r="26" spans="1:7" ht="15" x14ac:dyDescent="0.2">
      <c r="A26" s="82" t="s">
        <v>49</v>
      </c>
      <c r="B26" s="70"/>
      <c r="C26" s="111">
        <f>ROUND(SUM(C22:C25),-3)</f>
        <v>312000</v>
      </c>
    </row>
    <row r="27" spans="1:7" ht="15" x14ac:dyDescent="0.2">
      <c r="A27" s="70"/>
      <c r="B27" s="70"/>
      <c r="C27" s="112"/>
    </row>
    <row r="28" spans="1:7" ht="15.75" thickBot="1" x14ac:dyDescent="0.25">
      <c r="A28" s="70" t="s">
        <v>66</v>
      </c>
      <c r="B28" s="70"/>
      <c r="C28" s="113">
        <f>ROUND(C19+C26,-4)</f>
        <v>2260000</v>
      </c>
    </row>
    <row r="29" spans="1:7" ht="15.75" thickTop="1" x14ac:dyDescent="0.2">
      <c r="A29" s="70"/>
      <c r="B29" s="70"/>
      <c r="C29" s="107"/>
    </row>
    <row r="30" spans="1:7" ht="15" x14ac:dyDescent="0.2">
      <c r="A30" s="70" t="s">
        <v>53</v>
      </c>
      <c r="B30" s="70"/>
      <c r="C30" s="110">
        <f>C28/C11</f>
        <v>729.79919999999993</v>
      </c>
    </row>
    <row r="31" spans="1:7" ht="13.5" thickBot="1" x14ac:dyDescent="0.25">
      <c r="C31" s="13"/>
    </row>
    <row r="32" spans="1:7" ht="16.5" thickBot="1" x14ac:dyDescent="0.3">
      <c r="A32" s="47" t="s">
        <v>1</v>
      </c>
      <c r="B32" s="3"/>
      <c r="C32" s="57">
        <f>ROUND(C30,-1)</f>
        <v>730</v>
      </c>
    </row>
    <row r="37" spans="1:5" x14ac:dyDescent="0.2">
      <c r="A37" s="79" t="s">
        <v>396</v>
      </c>
    </row>
    <row r="41" spans="1:5" x14ac:dyDescent="0.2">
      <c r="D41" s="249"/>
      <c r="E41" s="249"/>
    </row>
    <row r="42" spans="1:5" x14ac:dyDescent="0.2">
      <c r="D42" s="249"/>
      <c r="E42" s="249"/>
    </row>
    <row r="43" spans="1:5" x14ac:dyDescent="0.2">
      <c r="D43" s="249"/>
      <c r="E43" s="249"/>
    </row>
    <row r="44" spans="1:5" x14ac:dyDescent="0.2">
      <c r="D44" s="250"/>
      <c r="E44" s="249"/>
    </row>
    <row r="45" spans="1:5" x14ac:dyDescent="0.2">
      <c r="D45" s="250"/>
      <c r="E45" s="249"/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r:id="rId1"/>
  <headerFooter>
    <oddFooter>&amp;L&amp;Z&amp;F&amp;R&amp;T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7" workbookViewId="0">
      <selection activeCell="A9" sqref="A9"/>
    </sheetView>
  </sheetViews>
  <sheetFormatPr defaultRowHeight="12.75" x14ac:dyDescent="0.2"/>
  <cols>
    <col min="1" max="1" width="57" bestFit="1" customWidth="1"/>
    <col min="2" max="2" width="7.5703125" customWidth="1"/>
    <col min="3" max="3" width="10.85546875" bestFit="1" customWidth="1"/>
  </cols>
  <sheetData>
    <row r="1" spans="1:3" ht="18" x14ac:dyDescent="0.25">
      <c r="A1" s="260" t="s">
        <v>68</v>
      </c>
      <c r="B1" s="260"/>
      <c r="C1" s="260"/>
    </row>
    <row r="2" spans="1:3" ht="20.25" x14ac:dyDescent="0.3">
      <c r="A2" s="261" t="s">
        <v>127</v>
      </c>
      <c r="B2" s="261"/>
      <c r="C2" s="261"/>
    </row>
    <row r="3" spans="1:3" ht="15" x14ac:dyDescent="0.2">
      <c r="A3" s="263" t="s">
        <v>217</v>
      </c>
      <c r="B3" s="263"/>
      <c r="C3" s="263"/>
    </row>
    <row r="5" spans="1:3" ht="18" x14ac:dyDescent="0.25">
      <c r="A5" s="260" t="s">
        <v>72</v>
      </c>
      <c r="B5" s="260"/>
      <c r="C5" s="260"/>
    </row>
    <row r="7" spans="1:3" ht="15" x14ac:dyDescent="0.2">
      <c r="A7" s="70" t="s">
        <v>13</v>
      </c>
      <c r="B7" s="70"/>
      <c r="C7" s="70"/>
    </row>
    <row r="8" spans="1:3" ht="15" x14ac:dyDescent="0.2">
      <c r="A8" s="82" t="s">
        <v>12</v>
      </c>
      <c r="B8" s="70"/>
      <c r="C8" s="91">
        <v>40000</v>
      </c>
    </row>
    <row r="9" spans="1:3" ht="15" x14ac:dyDescent="0.2">
      <c r="A9" s="82" t="s">
        <v>11</v>
      </c>
      <c r="B9" s="70"/>
      <c r="C9" s="91">
        <v>8000</v>
      </c>
    </row>
    <row r="10" spans="1:3" ht="15" x14ac:dyDescent="0.2">
      <c r="A10" s="82" t="s">
        <v>48</v>
      </c>
      <c r="B10" s="70"/>
      <c r="C10" s="92">
        <v>8000</v>
      </c>
    </row>
    <row r="11" spans="1:3" ht="15" x14ac:dyDescent="0.2">
      <c r="A11" s="82"/>
      <c r="B11" s="70"/>
      <c r="C11" s="114"/>
    </row>
    <row r="12" spans="1:3" ht="15" x14ac:dyDescent="0.2">
      <c r="A12" s="82" t="s">
        <v>39</v>
      </c>
      <c r="B12" s="70"/>
      <c r="C12" s="110">
        <f>SUM(C8:C10)</f>
        <v>56000</v>
      </c>
    </row>
    <row r="13" spans="1:3" ht="15" x14ac:dyDescent="0.2">
      <c r="A13" s="82" t="s">
        <v>51</v>
      </c>
      <c r="B13" s="109">
        <v>1</v>
      </c>
      <c r="C13" s="111">
        <f>+C12*B13</f>
        <v>56000</v>
      </c>
    </row>
    <row r="14" spans="1:3" ht="15" x14ac:dyDescent="0.2">
      <c r="A14" s="82"/>
      <c r="B14" s="109"/>
      <c r="C14" s="112"/>
    </row>
    <row r="15" spans="1:3" ht="15" x14ac:dyDescent="0.2">
      <c r="A15" s="82" t="s">
        <v>60</v>
      </c>
      <c r="B15" s="77"/>
      <c r="C15" s="110">
        <f>+C13+C12</f>
        <v>112000</v>
      </c>
    </row>
    <row r="16" spans="1:3" ht="15" x14ac:dyDescent="0.2">
      <c r="A16" s="70"/>
      <c r="B16" s="77"/>
      <c r="C16" s="110"/>
    </row>
    <row r="17" spans="1:3" ht="15" x14ac:dyDescent="0.2">
      <c r="A17" s="70" t="s">
        <v>15</v>
      </c>
      <c r="B17" s="77"/>
      <c r="C17" s="91"/>
    </row>
    <row r="18" spans="1:3" ht="15" x14ac:dyDescent="0.2">
      <c r="A18" s="82" t="s">
        <v>14</v>
      </c>
      <c r="B18" s="77"/>
      <c r="C18" s="91">
        <v>145000</v>
      </c>
    </row>
    <row r="19" spans="1:3" ht="15" x14ac:dyDescent="0.2">
      <c r="A19" s="82" t="s">
        <v>11</v>
      </c>
      <c r="B19" s="77"/>
      <c r="C19" s="92">
        <v>2000</v>
      </c>
    </row>
    <row r="20" spans="1:3" ht="15" x14ac:dyDescent="0.2">
      <c r="A20" s="70"/>
      <c r="B20" s="70"/>
      <c r="C20" s="110"/>
    </row>
    <row r="21" spans="1:3" ht="15" x14ac:dyDescent="0.2">
      <c r="A21" s="82" t="s">
        <v>39</v>
      </c>
      <c r="B21" s="77"/>
      <c r="C21" s="110">
        <f>SUM(C18:C19)</f>
        <v>147000</v>
      </c>
    </row>
    <row r="22" spans="1:3" ht="15" x14ac:dyDescent="0.2">
      <c r="A22" s="82" t="s">
        <v>51</v>
      </c>
      <c r="B22" s="109">
        <v>0.15</v>
      </c>
      <c r="C22" s="111">
        <f>+C21*B22</f>
        <v>22050</v>
      </c>
    </row>
    <row r="23" spans="1:3" ht="15" x14ac:dyDescent="0.2">
      <c r="A23" s="70"/>
      <c r="B23" s="70"/>
      <c r="C23" s="110"/>
    </row>
    <row r="24" spans="1:3" ht="15" x14ac:dyDescent="0.2">
      <c r="A24" s="82" t="s">
        <v>61</v>
      </c>
      <c r="B24" s="70"/>
      <c r="C24" s="111">
        <f>+C22+C21</f>
        <v>169050</v>
      </c>
    </row>
    <row r="25" spans="1:3" ht="15" x14ac:dyDescent="0.2">
      <c r="A25" s="70"/>
      <c r="B25" s="70"/>
      <c r="C25" s="110"/>
    </row>
    <row r="26" spans="1:3" ht="16.5" thickBot="1" x14ac:dyDescent="0.3">
      <c r="A26" s="47" t="s">
        <v>62</v>
      </c>
      <c r="B26" s="47"/>
      <c r="C26" s="115">
        <f>ROUND(+C24+C15,-3)</f>
        <v>281000</v>
      </c>
    </row>
    <row r="27" spans="1:3" ht="13.5" thickTop="1" x14ac:dyDescent="0.2"/>
    <row r="30" spans="1:3" x14ac:dyDescent="0.2">
      <c r="A30" t="s">
        <v>240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  <pageSetup orientation="portrait" horizontalDpi="0" verticalDpi="0" r:id="rId1"/>
  <headerFooter>
    <oddFooter>&amp;L&amp;9&amp;Z&amp;F&amp;R&amp;T&amp;D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E38" sqref="E38"/>
    </sheetView>
  </sheetViews>
  <sheetFormatPr defaultRowHeight="12.75" x14ac:dyDescent="0.2"/>
  <cols>
    <col min="1" max="1" width="41.5703125" bestFit="1" customWidth="1"/>
    <col min="2" max="2" width="10.5703125" customWidth="1"/>
    <col min="3" max="3" width="12.42578125" customWidth="1"/>
  </cols>
  <sheetData>
    <row r="1" spans="1:3" ht="18" x14ac:dyDescent="0.25">
      <c r="A1" s="260" t="s">
        <v>75</v>
      </c>
      <c r="B1" s="260"/>
      <c r="C1" s="260"/>
    </row>
    <row r="2" spans="1:3" ht="15.75" x14ac:dyDescent="0.25">
      <c r="A2" s="11"/>
      <c r="B2" s="11"/>
      <c r="C2" s="11"/>
    </row>
    <row r="3" spans="1:3" ht="20.25" x14ac:dyDescent="0.3">
      <c r="A3" s="261" t="s">
        <v>127</v>
      </c>
      <c r="B3" s="261"/>
      <c r="C3" s="261"/>
    </row>
    <row r="4" spans="1:3" ht="15" x14ac:dyDescent="0.2">
      <c r="A4" s="263" t="s">
        <v>218</v>
      </c>
      <c r="B4" s="263"/>
      <c r="C4" s="263"/>
    </row>
    <row r="5" spans="1:3" ht="15.75" x14ac:dyDescent="0.25">
      <c r="A5" s="11"/>
      <c r="B5" s="11"/>
      <c r="C5" s="11"/>
    </row>
    <row r="6" spans="1:3" ht="18" x14ac:dyDescent="0.25">
      <c r="A6" s="260" t="s">
        <v>16</v>
      </c>
      <c r="B6" s="260"/>
      <c r="C6" s="260"/>
    </row>
    <row r="8" spans="1:3" ht="15" x14ac:dyDescent="0.2">
      <c r="A8" s="70" t="s">
        <v>17</v>
      </c>
      <c r="B8" s="70"/>
      <c r="C8" s="91">
        <v>23200</v>
      </c>
    </row>
    <row r="9" spans="1:3" ht="15" x14ac:dyDescent="0.2">
      <c r="A9" s="70" t="s">
        <v>18</v>
      </c>
      <c r="B9" s="70"/>
      <c r="C9" s="91">
        <v>34800</v>
      </c>
    </row>
    <row r="10" spans="1:3" ht="15" x14ac:dyDescent="0.2">
      <c r="A10" s="70" t="s">
        <v>19</v>
      </c>
      <c r="B10" s="70"/>
      <c r="C10" s="91">
        <v>11800</v>
      </c>
    </row>
    <row r="11" spans="1:3" ht="15" x14ac:dyDescent="0.2">
      <c r="A11" s="70" t="s">
        <v>20</v>
      </c>
      <c r="B11" s="70"/>
      <c r="C11" s="91">
        <v>18750</v>
      </c>
    </row>
    <row r="12" spans="1:3" ht="15" x14ac:dyDescent="0.2">
      <c r="A12" s="70" t="s">
        <v>21</v>
      </c>
      <c r="B12" s="70"/>
      <c r="C12" s="91">
        <v>3300</v>
      </c>
    </row>
    <row r="13" spans="1:3" ht="15" x14ac:dyDescent="0.2">
      <c r="A13" s="70" t="s">
        <v>37</v>
      </c>
      <c r="B13" s="70"/>
      <c r="C13" s="91">
        <v>8600</v>
      </c>
    </row>
    <row r="14" spans="1:3" ht="15" x14ac:dyDescent="0.2">
      <c r="A14" s="70" t="s">
        <v>22</v>
      </c>
      <c r="B14" s="70"/>
      <c r="C14" s="91">
        <v>26700</v>
      </c>
    </row>
    <row r="15" spans="1:3" ht="15" x14ac:dyDescent="0.2">
      <c r="A15" s="70" t="s">
        <v>23</v>
      </c>
      <c r="B15" s="70"/>
      <c r="C15" s="91">
        <v>33000</v>
      </c>
    </row>
    <row r="16" spans="1:3" ht="15" x14ac:dyDescent="0.2">
      <c r="A16" s="70" t="s">
        <v>24</v>
      </c>
      <c r="B16" s="70"/>
      <c r="C16" s="91">
        <v>5700</v>
      </c>
    </row>
    <row r="17" spans="1:3" ht="15" x14ac:dyDescent="0.2">
      <c r="A17" s="70" t="s">
        <v>35</v>
      </c>
      <c r="B17" s="70"/>
      <c r="C17" s="91">
        <v>24800</v>
      </c>
    </row>
    <row r="18" spans="1:3" ht="15" x14ac:dyDescent="0.2">
      <c r="A18" s="70" t="s">
        <v>25</v>
      </c>
      <c r="B18" s="70"/>
      <c r="C18" s="91">
        <v>7500</v>
      </c>
    </row>
    <row r="19" spans="1:3" ht="15" x14ac:dyDescent="0.2">
      <c r="A19" s="70" t="s">
        <v>26</v>
      </c>
      <c r="B19" s="70"/>
      <c r="C19" s="91">
        <v>4000</v>
      </c>
    </row>
    <row r="20" spans="1:3" ht="15" x14ac:dyDescent="0.2">
      <c r="A20" s="70" t="s">
        <v>27</v>
      </c>
      <c r="B20" s="70"/>
      <c r="C20" s="91">
        <v>4000</v>
      </c>
    </row>
    <row r="21" spans="1:3" ht="15" x14ac:dyDescent="0.2">
      <c r="A21" s="70" t="s">
        <v>28</v>
      </c>
      <c r="B21" s="70"/>
      <c r="C21" s="91">
        <v>6200</v>
      </c>
    </row>
    <row r="22" spans="1:3" ht="15" x14ac:dyDescent="0.2">
      <c r="A22" s="70" t="s">
        <v>29</v>
      </c>
      <c r="B22" s="70"/>
      <c r="C22" s="91">
        <v>17700</v>
      </c>
    </row>
    <row r="23" spans="1:3" ht="15" x14ac:dyDescent="0.2">
      <c r="A23" s="70" t="s">
        <v>30</v>
      </c>
      <c r="B23" s="70"/>
      <c r="C23" s="91">
        <v>4300</v>
      </c>
    </row>
    <row r="24" spans="1:3" ht="15" x14ac:dyDescent="0.2">
      <c r="A24" s="70" t="s">
        <v>83</v>
      </c>
      <c r="B24" s="70"/>
      <c r="C24" s="91">
        <v>3900</v>
      </c>
    </row>
    <row r="25" spans="1:3" ht="15" x14ac:dyDescent="0.2">
      <c r="A25" s="70" t="s">
        <v>31</v>
      </c>
      <c r="B25" s="70"/>
      <c r="C25" s="91">
        <v>3700</v>
      </c>
    </row>
    <row r="26" spans="1:3" ht="15" x14ac:dyDescent="0.2">
      <c r="A26" s="70" t="s">
        <v>32</v>
      </c>
      <c r="B26" s="70"/>
      <c r="C26" s="91">
        <v>288300</v>
      </c>
    </row>
    <row r="27" spans="1:3" ht="15" x14ac:dyDescent="0.2">
      <c r="A27" s="70" t="s">
        <v>33</v>
      </c>
      <c r="B27" s="70"/>
      <c r="C27" s="91">
        <v>10000</v>
      </c>
    </row>
    <row r="28" spans="1:3" ht="15" x14ac:dyDescent="0.2">
      <c r="A28" s="70" t="s">
        <v>81</v>
      </c>
      <c r="B28" s="70"/>
      <c r="C28" s="91">
        <v>22000</v>
      </c>
    </row>
    <row r="29" spans="1:3" ht="15" x14ac:dyDescent="0.2">
      <c r="A29" s="70" t="s">
        <v>80</v>
      </c>
      <c r="B29" s="70"/>
      <c r="C29" s="91">
        <v>9000</v>
      </c>
    </row>
    <row r="30" spans="1:3" ht="15" x14ac:dyDescent="0.2">
      <c r="A30" s="70" t="s">
        <v>84</v>
      </c>
      <c r="B30" s="70"/>
      <c r="C30" s="91">
        <v>32000</v>
      </c>
    </row>
    <row r="31" spans="1:3" ht="15" x14ac:dyDescent="0.2">
      <c r="A31" s="70" t="s">
        <v>34</v>
      </c>
      <c r="B31" s="70"/>
      <c r="C31" s="91">
        <v>15000</v>
      </c>
    </row>
    <row r="32" spans="1:3" ht="15" x14ac:dyDescent="0.2">
      <c r="A32" s="70" t="s">
        <v>36</v>
      </c>
      <c r="B32" s="70"/>
      <c r="C32" s="91">
        <v>117000</v>
      </c>
    </row>
    <row r="33" spans="1:3" ht="15" x14ac:dyDescent="0.2">
      <c r="A33" s="70" t="s">
        <v>38</v>
      </c>
      <c r="B33" s="70"/>
      <c r="C33" s="91">
        <v>8300</v>
      </c>
    </row>
    <row r="34" spans="1:3" ht="15" x14ac:dyDescent="0.2">
      <c r="A34" s="70" t="s">
        <v>82</v>
      </c>
      <c r="B34" s="70"/>
      <c r="C34" s="92">
        <v>20500</v>
      </c>
    </row>
    <row r="35" spans="1:3" ht="15" x14ac:dyDescent="0.2">
      <c r="A35" s="77" t="s">
        <v>39</v>
      </c>
      <c r="B35" s="70"/>
      <c r="C35" s="91">
        <f>SUM(C8:C34)</f>
        <v>764050</v>
      </c>
    </row>
    <row r="36" spans="1:3" ht="15" x14ac:dyDescent="0.2">
      <c r="A36" s="77"/>
      <c r="B36" s="70"/>
      <c r="C36" s="91"/>
    </row>
    <row r="37" spans="1:3" ht="15" x14ac:dyDescent="0.2">
      <c r="A37" s="70" t="s">
        <v>51</v>
      </c>
      <c r="B37" s="109">
        <v>0.1</v>
      </c>
      <c r="C37" s="91">
        <f>+C35*B37</f>
        <v>76405</v>
      </c>
    </row>
    <row r="38" spans="1:3" ht="15" x14ac:dyDescent="0.2">
      <c r="A38" s="70" t="s">
        <v>67</v>
      </c>
      <c r="B38" s="109">
        <v>0.05</v>
      </c>
      <c r="C38" s="114">
        <f>C35*B38</f>
        <v>38202.5</v>
      </c>
    </row>
    <row r="39" spans="1:3" ht="15" x14ac:dyDescent="0.2">
      <c r="A39" s="70" t="s">
        <v>178</v>
      </c>
      <c r="B39" s="76" t="s">
        <v>243</v>
      </c>
      <c r="C39" s="92">
        <f>5000*4</f>
        <v>20000</v>
      </c>
    </row>
    <row r="40" spans="1:3" ht="16.5" thickBot="1" x14ac:dyDescent="0.3">
      <c r="A40" s="47" t="s">
        <v>71</v>
      </c>
      <c r="B40" s="47"/>
      <c r="C40" s="115">
        <f>ROUND(+C37+C38+C35+C39,-4)</f>
        <v>900000</v>
      </c>
    </row>
    <row r="41" spans="1:3" ht="15.75" thickTop="1" x14ac:dyDescent="0.2">
      <c r="A41" s="70"/>
      <c r="B41" s="70"/>
      <c r="C41" s="119"/>
    </row>
    <row r="44" spans="1:3" x14ac:dyDescent="0.2">
      <c r="A44" s="52" t="s">
        <v>240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  <pageSetup orientation="portrait" horizontalDpi="0" verticalDpi="0" r:id="rId1"/>
  <headerFooter>
    <oddFooter>&amp;L&amp;9&amp;Z&amp;F&amp;R&amp;T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11" sqref="A11"/>
    </sheetView>
  </sheetViews>
  <sheetFormatPr defaultRowHeight="12.75" x14ac:dyDescent="0.2"/>
  <cols>
    <col min="1" max="1" width="67.28515625" bestFit="1" customWidth="1"/>
    <col min="2" max="2" width="8.42578125" bestFit="1" customWidth="1"/>
    <col min="3" max="3" width="14.28515625" bestFit="1" customWidth="1"/>
  </cols>
  <sheetData>
    <row r="1" spans="1:3" ht="18" x14ac:dyDescent="0.25">
      <c r="A1" s="260" t="s">
        <v>134</v>
      </c>
      <c r="B1" s="260"/>
      <c r="C1" s="260"/>
    </row>
    <row r="2" spans="1:3" ht="20.25" x14ac:dyDescent="0.3">
      <c r="A2" s="261" t="s">
        <v>127</v>
      </c>
      <c r="B2" s="261"/>
      <c r="C2" s="261"/>
    </row>
    <row r="3" spans="1:3" ht="15" x14ac:dyDescent="0.2">
      <c r="A3" s="263" t="s">
        <v>218</v>
      </c>
      <c r="B3" s="263"/>
      <c r="C3" s="263"/>
    </row>
    <row r="4" spans="1:3" ht="15.75" x14ac:dyDescent="0.25">
      <c r="A4" s="11"/>
      <c r="B4" s="11"/>
      <c r="C4" s="11"/>
    </row>
    <row r="5" spans="1:3" ht="18" x14ac:dyDescent="0.25">
      <c r="A5" s="260" t="s">
        <v>69</v>
      </c>
      <c r="B5" s="260"/>
      <c r="C5" s="260"/>
    </row>
    <row r="7" spans="1:3" s="52" customFormat="1" x14ac:dyDescent="0.2"/>
    <row r="8" spans="1:3" ht="15" x14ac:dyDescent="0.2">
      <c r="A8" s="70" t="s">
        <v>50</v>
      </c>
      <c r="B8" s="70"/>
      <c r="C8" s="105">
        <v>870000</v>
      </c>
    </row>
    <row r="9" spans="1:3" ht="15" x14ac:dyDescent="0.2">
      <c r="A9" s="70" t="s">
        <v>51</v>
      </c>
      <c r="B9" s="109">
        <v>0.15</v>
      </c>
      <c r="C9" s="116">
        <f>C8*B9</f>
        <v>130500</v>
      </c>
    </row>
    <row r="10" spans="1:3" ht="15" x14ac:dyDescent="0.2">
      <c r="A10" s="70"/>
      <c r="B10" s="70"/>
      <c r="C10" s="71"/>
    </row>
    <row r="11" spans="1:3" ht="15.75" thickBot="1" x14ac:dyDescent="0.25">
      <c r="A11" s="70" t="s">
        <v>70</v>
      </c>
      <c r="B11" s="70"/>
      <c r="C11" s="117">
        <f>ROUND(SUM(C8:C9),-4)</f>
        <v>1000000</v>
      </c>
    </row>
    <row r="12" spans="1:3" ht="15.75" thickTop="1" x14ac:dyDescent="0.2">
      <c r="A12" s="70"/>
      <c r="B12" s="70"/>
      <c r="C12" s="71"/>
    </row>
    <row r="13" spans="1:3" ht="15.75" x14ac:dyDescent="0.25">
      <c r="A13" s="47" t="s">
        <v>241</v>
      </c>
      <c r="B13" s="151">
        <v>0.76470588235294101</v>
      </c>
      <c r="C13" s="118">
        <f>ROUND((C8+C9)*B13,-3)</f>
        <v>765000</v>
      </c>
    </row>
    <row r="15" spans="1:3" x14ac:dyDescent="0.2">
      <c r="C15" s="1"/>
    </row>
    <row r="19" spans="1:1" x14ac:dyDescent="0.2">
      <c r="A19" s="79" t="s">
        <v>242</v>
      </c>
    </row>
    <row r="22" spans="1:1" x14ac:dyDescent="0.2">
      <c r="A22" s="52" t="s">
        <v>240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  <pageSetup orientation="portrait" horizontalDpi="0" verticalDpi="0" r:id="rId1"/>
  <headerFooter>
    <oddFooter>&amp;L&amp;9&amp;Z&amp;F&amp;R&amp;T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C14" sqref="C14"/>
    </sheetView>
  </sheetViews>
  <sheetFormatPr defaultRowHeight="12.75" x14ac:dyDescent="0.2"/>
  <cols>
    <col min="1" max="1" width="54.28515625" bestFit="1" customWidth="1"/>
    <col min="3" max="3" width="14.28515625" bestFit="1" customWidth="1"/>
    <col min="5" max="5" width="10.42578125" hidden="1" customWidth="1"/>
    <col min="6" max="6" width="0" hidden="1" customWidth="1"/>
    <col min="7" max="7" width="21.42578125" hidden="1" customWidth="1"/>
    <col min="8" max="8" width="0" hidden="1" customWidth="1"/>
    <col min="9" max="9" width="9.28515625" hidden="1" customWidth="1"/>
  </cols>
  <sheetData>
    <row r="1" spans="1:9" ht="18" x14ac:dyDescent="0.25">
      <c r="A1" s="260" t="s">
        <v>76</v>
      </c>
      <c r="B1" s="260"/>
      <c r="C1" s="260"/>
    </row>
    <row r="2" spans="1:9" ht="20.25" x14ac:dyDescent="0.3">
      <c r="A2" s="261" t="s">
        <v>365</v>
      </c>
      <c r="B2" s="261"/>
      <c r="C2" s="261"/>
    </row>
    <row r="3" spans="1:9" ht="15.75" x14ac:dyDescent="0.25">
      <c r="A3" s="262"/>
      <c r="B3" s="262"/>
      <c r="C3" s="262"/>
    </row>
    <row r="4" spans="1:9" ht="15" x14ac:dyDescent="0.2">
      <c r="A4" s="70" t="s">
        <v>385</v>
      </c>
      <c r="B4" s="70"/>
      <c r="C4" s="72">
        <v>1500000</v>
      </c>
      <c r="D4" s="70" t="s">
        <v>386</v>
      </c>
      <c r="E4" s="72">
        <f>+C4*3.6</f>
        <v>5400000</v>
      </c>
      <c r="G4" s="52"/>
      <c r="H4" s="79" t="s">
        <v>227</v>
      </c>
    </row>
    <row r="5" spans="1:9" s="52" customFormat="1" ht="8.1" customHeight="1" x14ac:dyDescent="0.2">
      <c r="A5" s="70"/>
      <c r="B5" s="70"/>
      <c r="C5" s="252"/>
      <c r="D5" s="79"/>
      <c r="E5" s="123"/>
      <c r="F5" s="123"/>
      <c r="G5" s="123"/>
      <c r="H5" s="123"/>
      <c r="I5" s="123"/>
    </row>
    <row r="6" spans="1:9" s="52" customFormat="1" ht="15" x14ac:dyDescent="0.2">
      <c r="A6" s="70" t="s">
        <v>387</v>
      </c>
      <c r="B6" s="232">
        <v>0.1</v>
      </c>
      <c r="C6" s="72">
        <f>+B6*C4</f>
        <v>150000</v>
      </c>
      <c r="D6" s="70" t="s">
        <v>386</v>
      </c>
      <c r="E6" s="123"/>
      <c r="F6" s="123"/>
      <c r="G6" s="123"/>
      <c r="H6" s="123"/>
      <c r="I6" s="123"/>
    </row>
    <row r="7" spans="1:9" s="52" customFormat="1" ht="8.1" customHeight="1" x14ac:dyDescent="0.2">
      <c r="A7" s="70"/>
      <c r="B7" s="70"/>
      <c r="C7" s="252"/>
      <c r="D7" s="79"/>
      <c r="E7" s="123"/>
      <c r="F7" s="123"/>
      <c r="G7" s="123"/>
      <c r="H7" s="123"/>
      <c r="I7" s="123"/>
    </row>
    <row r="8" spans="1:9" s="52" customFormat="1" ht="15" x14ac:dyDescent="0.2">
      <c r="A8" s="70" t="s">
        <v>388</v>
      </c>
      <c r="B8" s="123"/>
      <c r="C8" s="72">
        <f>+C4-C6</f>
        <v>1350000</v>
      </c>
      <c r="D8" s="70" t="s">
        <v>386</v>
      </c>
      <c r="E8" s="123"/>
      <c r="F8" s="123"/>
      <c r="G8" s="123"/>
      <c r="H8" s="123"/>
      <c r="I8" s="123"/>
    </row>
    <row r="9" spans="1:9" s="52" customFormat="1" ht="15" x14ac:dyDescent="0.2">
      <c r="A9" s="70"/>
      <c r="B9" s="123"/>
      <c r="C9" s="124"/>
      <c r="D9" s="123"/>
      <c r="E9" s="123"/>
      <c r="F9" s="123"/>
      <c r="G9" s="123"/>
      <c r="H9" s="123"/>
      <c r="I9" s="123"/>
    </row>
    <row r="10" spans="1:9" s="52" customFormat="1" ht="15" x14ac:dyDescent="0.2">
      <c r="A10" s="70" t="s">
        <v>383</v>
      </c>
      <c r="B10" s="70"/>
      <c r="C10" s="252">
        <v>0.49</v>
      </c>
      <c r="D10" s="79" t="s">
        <v>380</v>
      </c>
      <c r="E10" s="123"/>
      <c r="F10" s="123"/>
      <c r="G10" s="123"/>
      <c r="H10" s="123"/>
      <c r="I10" s="123"/>
    </row>
    <row r="11" spans="1:9" s="52" customFormat="1" ht="8.1" customHeight="1" x14ac:dyDescent="0.2">
      <c r="A11" s="70"/>
      <c r="B11" s="70"/>
      <c r="C11" s="72"/>
      <c r="D11" s="79"/>
      <c r="E11" s="123"/>
      <c r="F11" s="123"/>
      <c r="G11" s="123"/>
      <c r="H11" s="123"/>
      <c r="I11" s="123"/>
    </row>
    <row r="12" spans="1:9" s="52" customFormat="1" ht="15" x14ac:dyDescent="0.2">
      <c r="A12" s="70" t="s">
        <v>384</v>
      </c>
      <c r="B12" s="70"/>
      <c r="C12" s="252">
        <v>2.8</v>
      </c>
      <c r="D12" s="79"/>
      <c r="E12" s="123"/>
      <c r="F12" s="123"/>
      <c r="G12" s="123"/>
      <c r="H12" s="123"/>
      <c r="I12" s="123"/>
    </row>
    <row r="13" spans="1:9" s="52" customFormat="1" ht="8.1" customHeight="1" x14ac:dyDescent="0.2">
      <c r="A13" s="70"/>
      <c r="B13" s="70"/>
      <c r="C13" s="252"/>
      <c r="D13" s="79"/>
      <c r="E13" s="123"/>
      <c r="F13" s="123"/>
      <c r="G13" s="123"/>
      <c r="H13" s="123"/>
      <c r="I13" s="123"/>
    </row>
    <row r="14" spans="1:9" s="52" customFormat="1" ht="15" x14ac:dyDescent="0.2">
      <c r="A14" s="70" t="s">
        <v>389</v>
      </c>
      <c r="B14" s="70"/>
      <c r="C14" s="252">
        <f>+C10*C12</f>
        <v>1.3719999999999999</v>
      </c>
      <c r="D14" s="79" t="s">
        <v>380</v>
      </c>
      <c r="E14" s="123"/>
      <c r="F14" s="123"/>
      <c r="G14" s="123"/>
      <c r="H14" s="123"/>
      <c r="I14" s="123"/>
    </row>
    <row r="15" spans="1:9" s="52" customFormat="1" ht="8.1" customHeight="1" x14ac:dyDescent="0.2">
      <c r="A15" s="70"/>
      <c r="B15" s="70"/>
      <c r="C15" s="252"/>
      <c r="D15" s="79"/>
      <c r="E15" s="123"/>
      <c r="F15" s="123"/>
      <c r="G15" s="123"/>
      <c r="H15" s="123"/>
      <c r="I15" s="123"/>
    </row>
    <row r="16" spans="1:9" ht="15" x14ac:dyDescent="0.2">
      <c r="A16" s="70" t="s">
        <v>390</v>
      </c>
      <c r="B16" s="70"/>
      <c r="C16" s="72">
        <f>4*60</f>
        <v>240</v>
      </c>
      <c r="D16" s="70" t="s">
        <v>391</v>
      </c>
      <c r="E16" s="72">
        <f>ROUND(E4/(0.474*2.8*1.15),-1)</f>
        <v>3538010</v>
      </c>
      <c r="H16" s="20">
        <f>+E16/30</f>
        <v>117933.66666666667</v>
      </c>
      <c r="I16" s="79" t="s">
        <v>224</v>
      </c>
    </row>
    <row r="17" spans="1:9" s="52" customFormat="1" ht="8.1" customHeight="1" x14ac:dyDescent="0.2">
      <c r="A17" s="70"/>
      <c r="B17" s="70"/>
      <c r="C17" s="252"/>
      <c r="D17" s="79"/>
      <c r="E17" s="123"/>
      <c r="F17" s="123"/>
      <c r="G17" s="123"/>
      <c r="H17" s="123"/>
      <c r="I17" s="123"/>
    </row>
    <row r="18" spans="1:9" s="52" customFormat="1" ht="15" x14ac:dyDescent="0.2">
      <c r="A18" s="70" t="s">
        <v>392</v>
      </c>
      <c r="B18" s="123"/>
      <c r="C18" s="72">
        <f>+C14*C16</f>
        <v>329.28</v>
      </c>
      <c r="D18" s="70" t="s">
        <v>386</v>
      </c>
      <c r="E18" s="123"/>
      <c r="F18" s="123"/>
      <c r="G18" s="123"/>
      <c r="H18" s="123"/>
      <c r="I18" s="123"/>
    </row>
    <row r="19" spans="1:9" s="52" customFormat="1" x14ac:dyDescent="0.2">
      <c r="A19" s="123"/>
      <c r="B19" s="123"/>
      <c r="C19" s="125"/>
      <c r="D19" s="123"/>
      <c r="E19" s="123"/>
      <c r="F19" s="123"/>
      <c r="G19" s="123"/>
      <c r="H19" s="123"/>
      <c r="I19" s="123"/>
    </row>
    <row r="20" spans="1:9" ht="15" x14ac:dyDescent="0.2">
      <c r="A20" s="70" t="s">
        <v>393</v>
      </c>
      <c r="B20" s="70"/>
      <c r="C20" s="72">
        <f>+C8/C18</f>
        <v>4099.8542274052479</v>
      </c>
      <c r="E20" s="72" t="e">
        <f>+E22/E16</f>
        <v>#REF!</v>
      </c>
      <c r="G20" s="79" t="s">
        <v>223</v>
      </c>
      <c r="H20" s="20">
        <f>+'3.6'!D35</f>
        <v>3711017.9043923616</v>
      </c>
    </row>
    <row r="21" spans="1:9" s="52" customFormat="1" x14ac:dyDescent="0.2">
      <c r="A21" s="123"/>
      <c r="B21" s="123"/>
      <c r="C21" s="125"/>
      <c r="D21" s="123"/>
      <c r="E21" s="123"/>
      <c r="F21" s="123"/>
      <c r="G21" s="123"/>
      <c r="H21" s="123"/>
      <c r="I21" s="123"/>
    </row>
    <row r="22" spans="1:9" ht="15" x14ac:dyDescent="0.2">
      <c r="A22" s="70" t="s">
        <v>74</v>
      </c>
      <c r="B22" s="70"/>
      <c r="C22" s="105">
        <f>ROUND(+'A-7 Peaking Costs'!C30,-4)</f>
        <v>3540000</v>
      </c>
      <c r="E22" s="26" t="e">
        <f>+H24</f>
        <v>#REF!</v>
      </c>
      <c r="G22" s="52" t="s">
        <v>230</v>
      </c>
      <c r="H22" s="20">
        <f>+'3.6'!C4</f>
        <v>3900000</v>
      </c>
    </row>
    <row r="23" spans="1:9" ht="13.5" thickBot="1" x14ac:dyDescent="0.25">
      <c r="A23" s="123"/>
      <c r="B23" s="123"/>
      <c r="C23" s="125"/>
      <c r="D23" s="123"/>
      <c r="E23" s="123"/>
      <c r="F23" s="123"/>
      <c r="G23" s="123"/>
      <c r="H23" s="123"/>
      <c r="I23" s="123"/>
    </row>
    <row r="24" spans="1:9" ht="16.5" thickBot="1" x14ac:dyDescent="0.3">
      <c r="A24" s="47" t="s">
        <v>40</v>
      </c>
      <c r="B24" s="47"/>
      <c r="C24" s="60">
        <f>+C22/C20</f>
        <v>863.44533333333334</v>
      </c>
      <c r="E24" s="60" t="e">
        <f>ROUND(E20,-1)</f>
        <v>#REF!</v>
      </c>
      <c r="G24" s="79" t="s">
        <v>96</v>
      </c>
      <c r="H24" s="26" t="e">
        <f>+H22+H20+#REF!</f>
        <v>#REF!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  <headerFooter>
    <oddFooter>&amp;L&amp;9&amp;Z&amp;F&amp;R&amp;T&amp;D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0" workbookViewId="0">
      <selection activeCell="A5" sqref="A5"/>
    </sheetView>
  </sheetViews>
  <sheetFormatPr defaultRowHeight="12.75" x14ac:dyDescent="0.2"/>
  <cols>
    <col min="1" max="1" width="45.28515625" bestFit="1" customWidth="1"/>
    <col min="2" max="2" width="5.85546875" bestFit="1" customWidth="1"/>
    <col min="3" max="3" width="12.7109375" bestFit="1" customWidth="1"/>
  </cols>
  <sheetData>
    <row r="1" spans="1:3" ht="18" x14ac:dyDescent="0.25">
      <c r="A1" s="260" t="s">
        <v>77</v>
      </c>
      <c r="B1" s="260"/>
      <c r="C1" s="260"/>
    </row>
    <row r="2" spans="1:3" ht="20.25" x14ac:dyDescent="0.3">
      <c r="A2" s="261" t="s">
        <v>132</v>
      </c>
      <c r="B2" s="261"/>
      <c r="C2" s="261"/>
    </row>
    <row r="3" spans="1:3" ht="15.75" x14ac:dyDescent="0.25">
      <c r="A3" s="11"/>
      <c r="B3" s="11"/>
      <c r="C3" s="11"/>
    </row>
    <row r="4" spans="1:3" ht="15.75" x14ac:dyDescent="0.25">
      <c r="A4" s="262" t="s">
        <v>394</v>
      </c>
      <c r="B4" s="262"/>
      <c r="C4" s="262"/>
    </row>
    <row r="6" spans="1:3" x14ac:dyDescent="0.2">
      <c r="A6" s="3" t="s">
        <v>58</v>
      </c>
    </row>
    <row r="7" spans="1:3" ht="15" x14ac:dyDescent="0.2">
      <c r="A7" s="82" t="s">
        <v>136</v>
      </c>
      <c r="B7" s="70"/>
      <c r="C7" s="91">
        <v>5000</v>
      </c>
    </row>
    <row r="8" spans="1:3" ht="15" x14ac:dyDescent="0.2">
      <c r="A8" s="82" t="s">
        <v>137</v>
      </c>
      <c r="B8" s="70"/>
      <c r="C8" s="91">
        <v>50000</v>
      </c>
    </row>
    <row r="9" spans="1:3" ht="15" x14ac:dyDescent="0.2">
      <c r="A9" s="82" t="s">
        <v>41</v>
      </c>
      <c r="B9" s="70"/>
      <c r="C9" s="91">
        <v>200000</v>
      </c>
    </row>
    <row r="10" spans="1:3" ht="15" x14ac:dyDescent="0.2">
      <c r="A10" s="82" t="s">
        <v>85</v>
      </c>
      <c r="B10" s="70"/>
      <c r="C10" s="91">
        <v>250000</v>
      </c>
    </row>
    <row r="11" spans="1:3" ht="15" x14ac:dyDescent="0.2">
      <c r="A11" s="82" t="s">
        <v>42</v>
      </c>
      <c r="B11" s="70"/>
      <c r="C11" s="91">
        <v>350000</v>
      </c>
    </row>
    <row r="12" spans="1:3" ht="15" x14ac:dyDescent="0.2">
      <c r="A12" s="82" t="s">
        <v>43</v>
      </c>
      <c r="B12" s="70"/>
      <c r="C12" s="91">
        <v>350000</v>
      </c>
    </row>
    <row r="13" spans="1:3" ht="15" x14ac:dyDescent="0.2">
      <c r="A13" s="82" t="s">
        <v>44</v>
      </c>
      <c r="B13" s="70"/>
      <c r="C13" s="91">
        <v>120000</v>
      </c>
    </row>
    <row r="14" spans="1:3" ht="15" x14ac:dyDescent="0.2">
      <c r="A14" s="82" t="s">
        <v>45</v>
      </c>
      <c r="B14" s="70"/>
      <c r="C14" s="91">
        <v>25000</v>
      </c>
    </row>
    <row r="15" spans="1:3" ht="15" x14ac:dyDescent="0.2">
      <c r="A15" s="82" t="s">
        <v>46</v>
      </c>
      <c r="B15" s="70"/>
      <c r="C15" s="92">
        <v>1000000</v>
      </c>
    </row>
    <row r="16" spans="1:3" ht="15" x14ac:dyDescent="0.2">
      <c r="A16" s="82" t="s">
        <v>39</v>
      </c>
      <c r="B16" s="70"/>
      <c r="C16" s="91">
        <f>SUM(C7:C15)</f>
        <v>2350000</v>
      </c>
    </row>
    <row r="17" spans="1:3" ht="15" x14ac:dyDescent="0.2">
      <c r="A17" s="82"/>
      <c r="B17" s="70"/>
      <c r="C17" s="91"/>
    </row>
    <row r="18" spans="1:3" s="52" customFormat="1" ht="15" x14ac:dyDescent="0.2">
      <c r="A18" s="82" t="s">
        <v>54</v>
      </c>
      <c r="B18" s="109"/>
      <c r="C18" s="110">
        <f>ROUND(2*43560*4,-4)</f>
        <v>350000</v>
      </c>
    </row>
    <row r="19" spans="1:3" s="52" customFormat="1" ht="15" x14ac:dyDescent="0.2">
      <c r="A19" s="120" t="s">
        <v>138</v>
      </c>
      <c r="B19" s="109"/>
      <c r="C19" s="91"/>
    </row>
    <row r="20" spans="1:3" ht="15" x14ac:dyDescent="0.2">
      <c r="A20" s="82" t="s">
        <v>67</v>
      </c>
      <c r="B20" s="109">
        <v>0.05</v>
      </c>
      <c r="C20" s="114">
        <f>C16*B20</f>
        <v>117500</v>
      </c>
    </row>
    <row r="21" spans="1:3" ht="15" x14ac:dyDescent="0.2">
      <c r="A21" s="82" t="s">
        <v>51</v>
      </c>
      <c r="B21" s="109">
        <v>0.1</v>
      </c>
      <c r="C21" s="92">
        <f>+C16*B21</f>
        <v>235000</v>
      </c>
    </row>
    <row r="22" spans="1:3" ht="15" x14ac:dyDescent="0.2">
      <c r="A22" s="82" t="s">
        <v>120</v>
      </c>
      <c r="B22" s="70"/>
      <c r="C22" s="91">
        <f>ROUND(+C16+C20+C21+C18,-3)</f>
        <v>3053000</v>
      </c>
    </row>
    <row r="23" spans="1:3" ht="15" x14ac:dyDescent="0.2">
      <c r="A23" s="70"/>
      <c r="B23" s="70"/>
      <c r="C23" s="91"/>
    </row>
    <row r="24" spans="1:3" ht="15" x14ac:dyDescent="0.2">
      <c r="A24" s="70" t="s">
        <v>64</v>
      </c>
      <c r="B24" s="70"/>
      <c r="C24" s="91"/>
    </row>
    <row r="25" spans="1:3" ht="15" x14ac:dyDescent="0.2">
      <c r="A25" s="82" t="s">
        <v>55</v>
      </c>
      <c r="B25" s="109">
        <v>0.03</v>
      </c>
      <c r="C25" s="91">
        <f>$C$22*B25</f>
        <v>91590</v>
      </c>
    </row>
    <row r="26" spans="1:3" ht="15" x14ac:dyDescent="0.2">
      <c r="A26" s="82" t="s">
        <v>52</v>
      </c>
      <c r="B26" s="109">
        <v>0.09</v>
      </c>
      <c r="C26" s="91">
        <f>$C$22*B26</f>
        <v>274770</v>
      </c>
    </row>
    <row r="27" spans="1:3" ht="15" x14ac:dyDescent="0.2">
      <c r="A27" s="82" t="s">
        <v>56</v>
      </c>
      <c r="B27" s="109">
        <v>0.04</v>
      </c>
      <c r="C27" s="92">
        <f>$C$22*B27</f>
        <v>122120</v>
      </c>
    </row>
    <row r="28" spans="1:3" ht="15" x14ac:dyDescent="0.2">
      <c r="A28" s="82" t="s">
        <v>49</v>
      </c>
      <c r="B28" s="70"/>
      <c r="C28" s="92">
        <f>ROUND(SUM(C25:C27),-3)</f>
        <v>488000</v>
      </c>
    </row>
    <row r="29" spans="1:3" ht="15" x14ac:dyDescent="0.2">
      <c r="A29" s="70"/>
      <c r="B29" s="70"/>
      <c r="C29" s="91"/>
    </row>
    <row r="30" spans="1:3" ht="16.5" thickBot="1" x14ac:dyDescent="0.3">
      <c r="A30" s="47" t="s">
        <v>73</v>
      </c>
      <c r="B30" s="47"/>
      <c r="C30" s="121">
        <f>ROUND(+C28+C22,-3)</f>
        <v>3541000</v>
      </c>
    </row>
    <row r="31" spans="1:3" ht="15.75" thickTop="1" x14ac:dyDescent="0.2">
      <c r="A31" s="70"/>
      <c r="B31" s="70"/>
      <c r="C31" s="122"/>
    </row>
    <row r="33" spans="1:3" x14ac:dyDescent="0.2">
      <c r="C33" s="13"/>
    </row>
    <row r="34" spans="1:3" x14ac:dyDescent="0.2">
      <c r="A34" s="79" t="s">
        <v>240</v>
      </c>
      <c r="C34" s="13"/>
    </row>
  </sheetData>
  <mergeCells count="3">
    <mergeCell ref="A2:C2"/>
    <mergeCell ref="A4:C4"/>
    <mergeCell ref="A1:C1"/>
  </mergeCells>
  <pageMargins left="0.7" right="0.7" top="0.75" bottom="0.75" header="0.3" footer="0.3"/>
  <pageSetup orientation="portrait" r:id="rId1"/>
  <headerFooter>
    <oddFooter>&amp;L&amp;8&amp;Z&amp;F&amp;A&amp;R&amp;T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C39" sqref="C39"/>
    </sheetView>
  </sheetViews>
  <sheetFormatPr defaultRowHeight="12.75" x14ac:dyDescent="0.2"/>
  <cols>
    <col min="1" max="1" width="33.7109375" customWidth="1"/>
    <col min="2" max="2" width="18.28515625" customWidth="1"/>
    <col min="3" max="3" width="13.7109375" bestFit="1" customWidth="1"/>
    <col min="4" max="4" width="11.140625" bestFit="1" customWidth="1"/>
  </cols>
  <sheetData>
    <row r="1" spans="1:5" ht="18" x14ac:dyDescent="0.25">
      <c r="A1" s="260" t="s">
        <v>78</v>
      </c>
      <c r="B1" s="260"/>
      <c r="C1" s="260"/>
      <c r="D1" s="260"/>
      <c r="E1" s="260"/>
    </row>
    <row r="2" spans="1:5" ht="15.75" x14ac:dyDescent="0.25">
      <c r="A2" s="11"/>
      <c r="B2" s="11"/>
      <c r="C2" s="11"/>
      <c r="D2" s="11"/>
    </row>
    <row r="3" spans="1:5" ht="20.25" x14ac:dyDescent="0.3">
      <c r="A3" s="261" t="s">
        <v>366</v>
      </c>
      <c r="B3" s="261"/>
      <c r="C3" s="261"/>
      <c r="D3" s="261"/>
      <c r="E3" s="261"/>
    </row>
    <row r="4" spans="1:5" x14ac:dyDescent="0.2">
      <c r="A4" s="65"/>
      <c r="B4" s="65"/>
      <c r="C4" s="65"/>
      <c r="D4" s="4"/>
      <c r="E4" s="4"/>
    </row>
    <row r="5" spans="1:5" x14ac:dyDescent="0.2">
      <c r="A5" s="3"/>
      <c r="C5" t="s">
        <v>117</v>
      </c>
    </row>
    <row r="6" spans="1:5" x14ac:dyDescent="0.2">
      <c r="A6" s="29" t="s">
        <v>86</v>
      </c>
      <c r="B6" s="29" t="s">
        <v>88</v>
      </c>
      <c r="C6" s="29" t="s">
        <v>118</v>
      </c>
      <c r="D6" s="29" t="s">
        <v>87</v>
      </c>
      <c r="E6" s="28"/>
    </row>
    <row r="7" spans="1:5" s="52" customFormat="1" x14ac:dyDescent="0.2">
      <c r="A7" s="234"/>
      <c r="B7" s="234"/>
      <c r="C7" s="234"/>
      <c r="D7" s="234"/>
      <c r="E7" s="28"/>
    </row>
    <row r="8" spans="1:5" x14ac:dyDescent="0.2">
      <c r="A8" t="s">
        <v>111</v>
      </c>
      <c r="B8" s="26">
        <f>0.9*'A-9 Dist Costs'!D7</f>
        <v>269999.99999729998</v>
      </c>
      <c r="C8" s="62">
        <f>+'A-9 Dist Costs'!D27</f>
        <v>58.649999999999991</v>
      </c>
      <c r="D8" s="23">
        <f>B8*C8</f>
        <v>15835499.999841642</v>
      </c>
    </row>
    <row r="9" spans="1:5" x14ac:dyDescent="0.2">
      <c r="A9" t="s">
        <v>125</v>
      </c>
      <c r="B9" s="26">
        <f>+'A-9 Dist Costs'!D7-B8</f>
        <v>29999.999999699998</v>
      </c>
      <c r="C9" s="62">
        <f>+'A-9 Dist Costs'!D36</f>
        <v>82.2</v>
      </c>
      <c r="D9" s="23">
        <f>B9*C9</f>
        <v>2465999.99997534</v>
      </c>
    </row>
    <row r="10" spans="1:5" x14ac:dyDescent="0.2">
      <c r="A10" t="s">
        <v>112</v>
      </c>
      <c r="B10" s="26">
        <f>+'A-9 Dist Costs'!D8</f>
        <v>149999.99999985</v>
      </c>
      <c r="C10" s="63">
        <f>+'A-9 Dist Costs'!D27-'A-9 Dist Costs'!D18</f>
        <v>17.249999999999993</v>
      </c>
      <c r="D10" s="43">
        <f>B10*C10</f>
        <v>2587499.9999974114</v>
      </c>
    </row>
    <row r="11" spans="1:5" s="52" customFormat="1" x14ac:dyDescent="0.2">
      <c r="B11" s="26"/>
      <c r="C11" s="63"/>
      <c r="D11" s="235"/>
    </row>
    <row r="12" spans="1:5" s="52" customFormat="1" x14ac:dyDescent="0.2">
      <c r="B12" s="26"/>
      <c r="C12" s="63"/>
      <c r="D12" s="43"/>
    </row>
    <row r="13" spans="1:5" x14ac:dyDescent="0.2">
      <c r="A13" s="241" t="s">
        <v>362</v>
      </c>
      <c r="B13" s="26"/>
      <c r="C13" s="6"/>
      <c r="D13" s="43">
        <f>SUM(D7:D11)</f>
        <v>20888999.999814391</v>
      </c>
    </row>
    <row r="14" spans="1:5" s="52" customFormat="1" x14ac:dyDescent="0.2">
      <c r="B14" s="26"/>
      <c r="C14" s="6"/>
      <c r="D14" s="43"/>
    </row>
    <row r="15" spans="1:5" s="52" customFormat="1" x14ac:dyDescent="0.2">
      <c r="A15" s="79" t="s">
        <v>354</v>
      </c>
      <c r="B15" s="26"/>
      <c r="C15" s="236">
        <v>7.0000000000000007E-2</v>
      </c>
      <c r="D15" s="43">
        <f>C15*D13</f>
        <v>1462229.9999870076</v>
      </c>
    </row>
    <row r="16" spans="1:5" s="52" customFormat="1" x14ac:dyDescent="0.2">
      <c r="B16" s="26"/>
      <c r="C16" s="6"/>
      <c r="D16" s="235"/>
    </row>
    <row r="17" spans="1:4" s="52" customFormat="1" x14ac:dyDescent="0.2">
      <c r="B17" s="26"/>
      <c r="C17" s="6"/>
      <c r="D17" s="43"/>
    </row>
    <row r="18" spans="1:4" x14ac:dyDescent="0.2">
      <c r="A18" s="42" t="s">
        <v>363</v>
      </c>
      <c r="B18" s="44"/>
      <c r="C18" s="5"/>
      <c r="D18" s="46">
        <f>D15+D13</f>
        <v>22351229.999801397</v>
      </c>
    </row>
    <row r="20" spans="1:4" x14ac:dyDescent="0.2">
      <c r="A20" s="15" t="s">
        <v>94</v>
      </c>
      <c r="D20" s="20">
        <v>55000</v>
      </c>
    </row>
    <row r="21" spans="1:4" s="52" customFormat="1" x14ac:dyDescent="0.2">
      <c r="A21" s="15"/>
      <c r="D21" s="20"/>
    </row>
    <row r="22" spans="1:4" hidden="1" x14ac:dyDescent="0.2">
      <c r="A22" s="15" t="s">
        <v>91</v>
      </c>
      <c r="B22" s="4"/>
      <c r="C22" s="4"/>
      <c r="D22" s="30">
        <f>+D18/D20</f>
        <v>406.38599999638905</v>
      </c>
    </row>
    <row r="23" spans="1:4" ht="13.5" hidden="1" thickBot="1" x14ac:dyDescent="0.25"/>
    <row r="24" spans="1:4" ht="16.5" hidden="1" thickBot="1" x14ac:dyDescent="0.3">
      <c r="A24" s="47" t="s">
        <v>355</v>
      </c>
      <c r="D24" s="57">
        <f>ROUND(D22,-1)</f>
        <v>410</v>
      </c>
    </row>
    <row r="29" spans="1:4" x14ac:dyDescent="0.2">
      <c r="A29" s="79" t="s">
        <v>240</v>
      </c>
    </row>
  </sheetData>
  <mergeCells count="2">
    <mergeCell ref="A3:E3"/>
    <mergeCell ref="A1:E1"/>
  </mergeCells>
  <pageMargins left="0.7" right="0.7" top="0.75" bottom="0.75" header="0.3" footer="0.3"/>
  <pageSetup orientation="portrait" horizontalDpi="0" verticalDpi="0" r:id="rId1"/>
  <headerFooter>
    <oddFooter>&amp;L&amp;8&amp;Z&amp;F&amp;A&amp;R&amp;T&amp;D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QD2UCF5UJE4V-699202894-354</_dlc_DocId>
    <_dlc_DocIdUrl xmlns="7184055b-e5ea-4162-8b19-ace5c644b73a">
      <Url>http://intranet2/pw/_layouts/15/DocIdRedir.aspx?ID=QD2UCF5UJE4V-699202894-354</Url>
      <Description>QD2UCF5UJE4V-699202894-354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19E8044-37BB-4B3C-AC85-86F4FDC2D7E8}"/>
</file>

<file path=customXml/itemProps2.xml><?xml version="1.0" encoding="utf-8"?>
<ds:datastoreItem xmlns:ds="http://schemas.openxmlformats.org/officeDocument/2006/customXml" ds:itemID="{9295D61C-1F4C-4558-9338-CC5382BE0776}"/>
</file>

<file path=customXml/itemProps3.xml><?xml version="1.0" encoding="utf-8"?>
<ds:datastoreItem xmlns:ds="http://schemas.openxmlformats.org/officeDocument/2006/customXml" ds:itemID="{13EC5E47-D562-4F70-B71B-C349ACE90ABC}"/>
</file>

<file path=customXml/itemProps4.xml><?xml version="1.0" encoding="utf-8"?>
<ds:datastoreItem xmlns:ds="http://schemas.openxmlformats.org/officeDocument/2006/customXml" ds:itemID="{536C1961-08AB-48DB-8658-F9BFB08DF7BE}"/>
</file>

<file path=customXml/itemProps5.xml><?xml version="1.0" encoding="utf-8"?>
<ds:datastoreItem xmlns:ds="http://schemas.openxmlformats.org/officeDocument/2006/customXml" ds:itemID="{90C288FF-DC76-4306-A8B6-D66D286AB6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</vt:lpstr>
      <vt:lpstr>A-7 Peaking Costs</vt:lpstr>
      <vt:lpstr>A-8 Dist Summary</vt:lpstr>
      <vt:lpstr>A-9 Dist Costs</vt:lpstr>
      <vt:lpstr>A10</vt:lpstr>
      <vt:lpstr>A-10 Finance Assumptions</vt:lpstr>
      <vt:lpstr>PFIP</vt:lpstr>
      <vt:lpstr>3.6</vt:lpstr>
      <vt:lpstr>_FIN_ASSUM_03</vt:lpstr>
      <vt:lpstr>_ISSUANCE_COST</vt:lpstr>
      <vt:lpstr>P_FINANCE_ASSUM</vt:lpstr>
      <vt:lpstr>'A-2 Groundwater Sup Fee'!Print_Area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Stryder</cp:lastModifiedBy>
  <cp:lastPrinted>2012-08-31T22:08:36Z</cp:lastPrinted>
  <dcterms:created xsi:type="dcterms:W3CDTF">2009-12-12T00:04:46Z</dcterms:created>
  <dcterms:modified xsi:type="dcterms:W3CDTF">2012-09-25T16:53:11Z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69837a84-448e-4788-adbf-34dd2ce14089</vt:lpwstr>
  </property>
  <property fmtid="{D5CDD505-2E9C-101B-9397-08002B2CF9AE}" pid="4" name="Order">
    <vt:r8>7800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http://intranet:12013/_layouts/DocIdRedir.aspx?ID=DS6S4WKU732Q-3-78, DS6S4WKU732Q-3-78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DS6S4WKU732Q-3-78</vt:lpwstr>
  </property>
</Properties>
</file>