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4.xml" ContentType="application/vnd.openxmlformats-officedocument.customXml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5195" windowHeight="11640" tabRatio="692"/>
  </bookViews>
  <sheets>
    <sheet name="A-1 Fee Summary" sheetId="1" r:id="rId1"/>
    <sheet name="A-1.1 Water Fee Calc Sum" sheetId="14" r:id="rId2"/>
    <sheet name="A-2 Groundwater Sup Fee" sheetId="8" r:id="rId3"/>
    <sheet name="A-3 Groundwater Sup Cost 1" sheetId="9" r:id="rId4"/>
    <sheet name="A-4 Groundwater Sup Cost 3" sheetId="11" r:id="rId5"/>
    <sheet name="A-5 Groundwater Sup Cost 2" sheetId="10" r:id="rId6"/>
    <sheet name="A-6 Peaking Summary" sheetId="12" r:id="rId7"/>
    <sheet name="A-7 Peaking Costs" sheetId="13" r:id="rId8"/>
    <sheet name="A-8 Dist Summary" sheetId="16" r:id="rId9"/>
    <sheet name="A-9 Dist Costs" sheetId="17" r:id="rId10"/>
    <sheet name="A10" sheetId="5" state="hidden" r:id="rId11"/>
    <sheet name="A-10 Finance Assumptions" sheetId="15" r:id="rId12"/>
    <sheet name="PFIP" sheetId="6" r:id="rId13"/>
    <sheet name="3.6" sheetId="7" r:id="rId14"/>
  </sheets>
  <definedNames>
    <definedName name="_FIN_ASSUM_03">'A-10 Finance Assumptions'!$A$1</definedName>
    <definedName name="_ISSUANCE_COST">'A-10 Finance Assumptions'!$A$50</definedName>
    <definedName name="_Order1" hidden="1">255</definedName>
    <definedName name="P_FINANCE_ASSUM">'A-10 Finance Assumptions'!$A$4:$F$46</definedName>
    <definedName name="VARIABLE">'A-10 Finance Assumptions'!$C$73</definedName>
    <definedName name="wrn.Budget." localSheetId="11" hidden="1">{"Sum Sewer",#N/A,FALSE,"Sewer";"Sum Water",#N/A,FALSE,"Water";"Sew Coll",#N/A,FALSE,"Sewer";"Sew Trt",#N/A,FALSE,"Sewer";"Wat Dist",#N/A,FALSE,"Water";"Wat Cnct",#N/A,FALSE,"Water"}</definedName>
    <definedName name="wrn.Budget." hidden="1">{"Sum Sewer",#N/A,FALSE,"Sewer";"Sum Water",#N/A,FALSE,"Water";"Sew Coll",#N/A,FALSE,"Sewer";"Sew Trt",#N/A,FALSE,"Sewer";"Wat Dist",#N/A,FALSE,"Water";"Wat Cnct",#N/A,FALSE,"Water"}</definedName>
    <definedName name="wrn.budget_fig." localSheetId="11" hidden="1">{"summary_budget",#N/A,FALSE,"detail";"est_rev",#N/A,FALSE,"detail";"collect_class",#N/A,FALSE,"detail";"treat_class",#N/A,FALSE,"detail";"proj_collect_class",#N/A,FALSE,"detail";"proj_treat_class",#N/A,FALSE,"detail"}</definedName>
    <definedName name="wrn.budget_fig." hidden="1">{"summary_budget",#N/A,FALSE,"detail";"est_rev",#N/A,FALSE,"detail";"collect_class",#N/A,FALSE,"detail";"treat_class",#N/A,FALSE,"detail";"proj_collect_class",#N/A,FALSE,"detail";"proj_treat_class",#N/A,FALSE,"detail"}</definedName>
    <definedName name="wrn.Forms._.Summary." localSheetId="11" hidden="1">{"Form_1",#N/A,FALSE,"Forms Summary";"Form_2",#N/A,FALSE,"Forms Summary";"Form_3",#N/A,FALSE,"Forms Summary";"Form_4",#N/A,FALSE,"Forms Summary";"Form_5v",#N/A,FALSE,"Forms Summary";"Form_5f",#N/A,FALSE,"Forms Summary";"Form_5c",#N/A,FALSE,"Forms Summary";"Form_5d",#N/A,FALSE,"Forms Summary";"Form_5w",#N/A,FALSE,"Forms Summary";"Form_5o",#N/A,FALSE,"Forms Summary";"Form_6",#N/A,FALSE,"Forms Summary"}</definedName>
    <definedName name="wrn.Forms._.Summary." hidden="1">{"Form_1",#N/A,FALSE,"Forms Summary";"Form_2",#N/A,FALSE,"Forms Summary";"Form_3",#N/A,FALSE,"Forms Summary";"Form_4",#N/A,FALSE,"Forms Summary";"Form_5v",#N/A,FALSE,"Forms Summary";"Form_5f",#N/A,FALSE,"Forms Summary";"Form_5c",#N/A,FALSE,"Forms Summary";"Form_5d",#N/A,FALSE,"Forms Summary";"Form_5w",#N/A,FALSE,"Forms Summary";"Form_5o",#N/A,FALSE,"Forms Summary";"Form_6",#N/A,FALSE,"Forms Summary"}</definedName>
    <definedName name="wrn.Model." localSheetId="11" hidden="1">{"fund_rate_sum",#N/A,FALSE,"Rate Summary";"customers",#N/A,FALSE,"Customers";"cost_summ",#N/A,FALSE,"Budget Sum";"cost_dist",#N/A,FALSE,"Distribution %";"cost_dist_cap",#N/A,FALSE,"Distribution %"}</definedName>
    <definedName name="wrn.Model." hidden="1">{"fund_rate_sum",#N/A,FALSE,"Rate Summary";"customers",#N/A,FALSE,"Customers";"cost_summ",#N/A,FALSE,"Budget Sum";"cost_dist",#N/A,FALSE,"Distribution %";"cost_dist_cap",#N/A,FALSE,"Distribution %"}</definedName>
    <definedName name="wrn.Model._.App._.A." localSheetId="11" hidden="1">{"customers",#N/A,FALSE,"Customers";"cost_summ",#N/A,FALSE,"Budget Sum";"cost_dist",#N/A,FALSE,"Distribution %";"cost_dist_cap",#N/A,FALSE,"Distribution %";"cost_flow",#N/A,FALSE,"Unit Cost";"cost_alloc",#N/A,FALSE,"Cost Alloc";"res_com_rates",#N/A,FALSE,"Rate Calc.";"ind_other_rates",#N/A,FALSE,"Rate Calc."}</definedName>
    <definedName name="wrn.Model._.App._.A." hidden="1">{"customers",#N/A,FALSE,"Customers";"cost_summ",#N/A,FALSE,"Budget Sum";"cost_dist",#N/A,FALSE,"Distribution %";"cost_dist_cap",#N/A,FALSE,"Distribution %";"cost_flow",#N/A,FALSE,"Unit Cost";"cost_alloc",#N/A,FALSE,"Cost Alloc";"res_com_rates",#N/A,FALSE,"Rate Calc.";"ind_other_rates",#N/A,FALSE,"Rate Calc."}</definedName>
    <definedName name="wrn.Model._.Scenarios." localSheetId="11" hidden="1">{"summ_cost_alloc",#N/A,FALSE,"Budget Sum";"cost_flow",#N/A,FALSE,"Unit Cost";"cost_alloc",#N/A,FALSE,"Cost Alloc";"res_com_rates",#N/A,FALSE,"Rate Calc.";"ind_other_rates",#N/A,FALSE,"Rate Calc."}</definedName>
    <definedName name="wrn.Model._.Scenarios." hidden="1">{"summ_cost_alloc",#N/A,FALSE,"Budget Sum";"cost_flow",#N/A,FALSE,"Unit Cost";"cost_alloc",#N/A,FALSE,"Cost Alloc";"res_com_rates",#N/A,FALSE,"Rate Calc.";"ind_other_rates",#N/A,FALSE,"Rate Calc."}</definedName>
  </definedNames>
  <calcPr calcId="145621"/>
</workbook>
</file>

<file path=xl/calcChain.xml><?xml version="1.0" encoding="utf-8"?>
<calcChain xmlns="http://schemas.openxmlformats.org/spreadsheetml/2006/main">
  <c r="C22" i="13" l="1"/>
  <c r="D33" i="14" l="1"/>
  <c r="H8" i="12" l="1"/>
  <c r="H10" i="12"/>
  <c r="H11" i="12"/>
  <c r="H12" i="12" s="1"/>
  <c r="D46" i="14"/>
  <c r="D38" i="17"/>
  <c r="D34" i="17"/>
  <c r="D33" i="17"/>
  <c r="D32" i="17"/>
  <c r="D31" i="17"/>
  <c r="D25" i="17"/>
  <c r="D24" i="17"/>
  <c r="D23" i="17"/>
  <c r="D22" i="17"/>
  <c r="D16" i="17"/>
  <c r="D15" i="17"/>
  <c r="D14" i="17"/>
  <c r="D13" i="17"/>
  <c r="D8" i="17"/>
  <c r="E8" i="17" s="1"/>
  <c r="D7" i="17"/>
  <c r="E7" i="17" s="1"/>
  <c r="E6" i="17"/>
  <c r="B8" i="16"/>
  <c r="B9" i="16" s="1"/>
  <c r="B3" i="15"/>
  <c r="B2" i="15"/>
  <c r="B1" i="15"/>
  <c r="C73" i="15"/>
  <c r="B71" i="15"/>
  <c r="B73" i="15" s="1"/>
  <c r="B77" i="15" s="1"/>
  <c r="B14" i="15"/>
  <c r="B16" i="15" s="1"/>
  <c r="E42" i="14"/>
  <c r="D42" i="14"/>
  <c r="C42" i="14"/>
  <c r="B42" i="14"/>
  <c r="F41" i="14"/>
  <c r="F40" i="14"/>
  <c r="F42" i="14" s="1"/>
  <c r="F21" i="14"/>
  <c r="E16" i="14"/>
  <c r="E19" i="14" s="1"/>
  <c r="F14" i="14"/>
  <c r="B10" i="16" l="1"/>
  <c r="D17" i="17"/>
  <c r="D18" i="17" s="1"/>
  <c r="D26" i="17"/>
  <c r="D27" i="17" s="1"/>
  <c r="C10" i="16" s="1"/>
  <c r="D10" i="16" s="1"/>
  <c r="D35" i="17"/>
  <c r="D36" i="17" s="1"/>
  <c r="C9" i="16" s="1"/>
  <c r="C8" i="16"/>
  <c r="D8" i="16" s="1"/>
  <c r="D9" i="16"/>
  <c r="E18" i="14"/>
  <c r="E24" i="14" s="1"/>
  <c r="E28" i="14" s="1"/>
  <c r="D13" i="16" l="1"/>
  <c r="E30" i="14"/>
  <c r="E36" i="14"/>
  <c r="E29" i="14"/>
  <c r="D15" i="16" l="1"/>
  <c r="D15" i="14"/>
  <c r="D16" i="14" l="1"/>
  <c r="D18" i="16"/>
  <c r="D22" i="16" s="1"/>
  <c r="D24" i="16" s="1"/>
  <c r="D18" i="14"/>
  <c r="D19" i="14" l="1"/>
  <c r="D24" i="14"/>
  <c r="D36" i="14" s="1"/>
  <c r="D28" i="14" l="1"/>
  <c r="D37" i="14" l="1"/>
  <c r="D29" i="14"/>
  <c r="D30" i="14" l="1"/>
  <c r="D44" i="14"/>
  <c r="D48" i="14" s="1"/>
  <c r="E8" i="1" s="1"/>
  <c r="E4" i="12" l="1"/>
  <c r="M4" i="7" s="1"/>
  <c r="M6" i="7" s="1"/>
  <c r="P6" i="7" s="1"/>
  <c r="C6" i="12"/>
  <c r="C46" i="14" s="1"/>
  <c r="E6" i="12"/>
  <c r="H6" i="12" s="1"/>
  <c r="E8" i="12"/>
  <c r="E10" i="12" s="1"/>
  <c r="E12" i="12" s="1"/>
  <c r="C18" i="13"/>
  <c r="C16" i="13"/>
  <c r="C21" i="13" s="1"/>
  <c r="C39" i="11"/>
  <c r="C35" i="11"/>
  <c r="C38" i="11" s="1"/>
  <c r="C9" i="10"/>
  <c r="C11" i="10" s="1"/>
  <c r="C21" i="9"/>
  <c r="C22" i="9" s="1"/>
  <c r="C24" i="9" s="1"/>
  <c r="C26" i="9" s="1"/>
  <c r="C15" i="8" s="1"/>
  <c r="C13" i="9"/>
  <c r="C15" i="9" s="1"/>
  <c r="C12" i="9"/>
  <c r="C11" i="8"/>
  <c r="B46" i="14" s="1"/>
  <c r="P17" i="7"/>
  <c r="P18" i="7" s="1"/>
  <c r="P20" i="7" s="1"/>
  <c r="C4" i="7" s="1"/>
  <c r="B47" i="6"/>
  <c r="D43" i="6"/>
  <c r="E43" i="6"/>
  <c r="D39" i="6"/>
  <c r="E39" i="6"/>
  <c r="F17" i="6"/>
  <c r="F18" i="6"/>
  <c r="F19" i="6"/>
  <c r="F20" i="6"/>
  <c r="F21" i="6"/>
  <c r="F22" i="6"/>
  <c r="F16" i="6"/>
  <c r="F23" i="6" s="1"/>
  <c r="D23" i="6"/>
  <c r="D45" i="6" s="1"/>
  <c r="D47" i="6" s="1"/>
  <c r="E23" i="6"/>
  <c r="C23" i="6"/>
  <c r="F42" i="6"/>
  <c r="F41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25" i="6"/>
  <c r="F39" i="6" s="1"/>
  <c r="F5" i="6"/>
  <c r="F46" i="14" l="1"/>
  <c r="C20" i="13"/>
  <c r="C15" i="14" s="1"/>
  <c r="C16" i="14" s="1"/>
  <c r="C13" i="10"/>
  <c r="C37" i="11"/>
  <c r="C40" i="11" s="1"/>
  <c r="I4" i="7"/>
  <c r="P8" i="7" s="1"/>
  <c r="D1" i="7"/>
  <c r="F43" i="6"/>
  <c r="E45" i="6"/>
  <c r="E47" i="6" s="1"/>
  <c r="D4" i="7"/>
  <c r="J4" i="7"/>
  <c r="J1" i="7"/>
  <c r="P11" i="7" s="1"/>
  <c r="F45" i="6"/>
  <c r="F47" i="6" s="1"/>
  <c r="F6" i="6"/>
  <c r="C27" i="13" l="1"/>
  <c r="C26" i="13"/>
  <c r="C25" i="13"/>
  <c r="C28" i="13" s="1"/>
  <c r="E4" i="7"/>
  <c r="C5" i="7" s="1"/>
  <c r="K4" i="7"/>
  <c r="I5" i="7" s="1"/>
  <c r="J5" i="7" s="1"/>
  <c r="D5" i="7"/>
  <c r="F33" i="5"/>
  <c r="F32" i="5"/>
  <c r="F34" i="5"/>
  <c r="F35" i="5"/>
  <c r="C59" i="5"/>
  <c r="C61" i="5" s="1"/>
  <c r="D59" i="5"/>
  <c r="D61" i="5" s="1"/>
  <c r="B59" i="5"/>
  <c r="D30" i="5"/>
  <c r="F30" i="5" s="1"/>
  <c r="D32" i="5"/>
  <c r="D33" i="5"/>
  <c r="C43" i="6"/>
  <c r="C39" i="6"/>
  <c r="D28" i="5"/>
  <c r="F28" i="5" s="1"/>
  <c r="D10" i="5"/>
  <c r="D12" i="5" s="1"/>
  <c r="E17" i="5" s="1"/>
  <c r="C17" i="8"/>
  <c r="K5" i="7" l="1"/>
  <c r="I6" i="7" s="1"/>
  <c r="E5" i="7"/>
  <c r="C6" i="7" s="1"/>
  <c r="D6" i="7" s="1"/>
  <c r="E6" i="7" s="1"/>
  <c r="C7" i="7" s="1"/>
  <c r="C16" i="8"/>
  <c r="C19" i="8" s="1"/>
  <c r="B15" i="14" s="1"/>
  <c r="C45" i="6"/>
  <c r="C47" i="6" s="1"/>
  <c r="F37" i="5"/>
  <c r="F41" i="5" s="1"/>
  <c r="F43" i="5" s="1"/>
  <c r="D37" i="5"/>
  <c r="D41" i="5" s="1"/>
  <c r="C30" i="13" l="1"/>
  <c r="C8" i="12" s="1"/>
  <c r="C10" i="12" s="1"/>
  <c r="C12" i="12" s="1"/>
  <c r="C18" i="14"/>
  <c r="B16" i="14"/>
  <c r="F16" i="14" s="1"/>
  <c r="F15" i="14"/>
  <c r="C22" i="8"/>
  <c r="C23" i="8"/>
  <c r="C24" i="8"/>
  <c r="J6" i="7"/>
  <c r="D7" i="7"/>
  <c r="E10" i="1"/>
  <c r="D43" i="5"/>
  <c r="F7" i="6"/>
  <c r="C24" i="14" l="1"/>
  <c r="C19" i="14"/>
  <c r="C26" i="8"/>
  <c r="K6" i="7"/>
  <c r="I7" i="7" s="1"/>
  <c r="E7" i="7"/>
  <c r="C8" i="7" s="1"/>
  <c r="F9" i="6"/>
  <c r="F10" i="6" s="1"/>
  <c r="E13" i="1"/>
  <c r="E9" i="1"/>
  <c r="E15" i="1"/>
  <c r="E11" i="1"/>
  <c r="E14" i="1"/>
  <c r="E12" i="1"/>
  <c r="C28" i="14" l="1"/>
  <c r="C29" i="14" s="1"/>
  <c r="C30" i="14" s="1"/>
  <c r="C36" i="14"/>
  <c r="C37" i="14" s="1"/>
  <c r="C28" i="8"/>
  <c r="C30" i="8" s="1"/>
  <c r="C32" i="8" s="1"/>
  <c r="B18" i="14"/>
  <c r="J7" i="7"/>
  <c r="D8" i="7"/>
  <c r="C44" i="14" l="1"/>
  <c r="C48" i="14" s="1"/>
  <c r="D8" i="1" s="1"/>
  <c r="B19" i="14"/>
  <c r="B24" i="14"/>
  <c r="F18" i="14"/>
  <c r="F19" i="14" s="1"/>
  <c r="K7" i="7"/>
  <c r="I8" i="7" s="1"/>
  <c r="E8" i="7"/>
  <c r="C9" i="7" s="1"/>
  <c r="D9" i="1" l="1"/>
  <c r="D11" i="1"/>
  <c r="D13" i="1"/>
  <c r="D15" i="1"/>
  <c r="D10" i="1"/>
  <c r="D12" i="1"/>
  <c r="D14" i="1"/>
  <c r="B28" i="14"/>
  <c r="B36" i="14"/>
  <c r="F24" i="14"/>
  <c r="B25" i="14" s="1"/>
  <c r="J8" i="7"/>
  <c r="K8" i="7" s="1"/>
  <c r="I9" i="7" s="1"/>
  <c r="D9" i="7"/>
  <c r="E9" i="7" s="1"/>
  <c r="C10" i="7" s="1"/>
  <c r="B29" i="14" l="1"/>
  <c r="F28" i="14"/>
  <c r="D25" i="14"/>
  <c r="F25" i="14"/>
  <c r="E25" i="14"/>
  <c r="C25" i="14"/>
  <c r="F36" i="14"/>
  <c r="B37" i="14"/>
  <c r="J9" i="7"/>
  <c r="K9" i="7" s="1"/>
  <c r="I10" i="7" s="1"/>
  <c r="D10" i="7"/>
  <c r="E10" i="7" s="1"/>
  <c r="C11" i="7" s="1"/>
  <c r="D11" i="7" s="1"/>
  <c r="E11" i="7" s="1"/>
  <c r="C12" i="7" s="1"/>
  <c r="B44" i="14" l="1"/>
  <c r="B20" i="15" s="1"/>
  <c r="B22" i="15" s="1"/>
  <c r="F29" i="14"/>
  <c r="F30" i="14" s="1"/>
  <c r="B30" i="14"/>
  <c r="J10" i="7"/>
  <c r="K10" i="7" s="1"/>
  <c r="I11" i="7" s="1"/>
  <c r="D12" i="7"/>
  <c r="E12" i="7" s="1"/>
  <c r="C13" i="7" s="1"/>
  <c r="B48" i="14" l="1"/>
  <c r="C8" i="1" s="1"/>
  <c r="F8" i="1"/>
  <c r="C9" i="1"/>
  <c r="F9" i="1" s="1"/>
  <c r="C11" i="1"/>
  <c r="F11" i="1" s="1"/>
  <c r="C12" i="1"/>
  <c r="F12" i="1" s="1"/>
  <c r="C14" i="1"/>
  <c r="F14" i="1" s="1"/>
  <c r="C15" i="1"/>
  <c r="F15" i="1" s="1"/>
  <c r="C10" i="1"/>
  <c r="F10" i="1" s="1"/>
  <c r="C13" i="1"/>
  <c r="F13" i="1" s="1"/>
  <c r="B76" i="15"/>
  <c r="B34" i="15"/>
  <c r="C22" i="15"/>
  <c r="J11" i="7"/>
  <c r="K11" i="7" s="1"/>
  <c r="I12" i="7" s="1"/>
  <c r="D13" i="7"/>
  <c r="E13" i="7" s="1"/>
  <c r="C14" i="7" s="1"/>
  <c r="B38" i="15" l="1"/>
  <c r="B15" i="15"/>
  <c r="B25" i="15"/>
  <c r="B26" i="15"/>
  <c r="C26" i="15" s="1"/>
  <c r="B28" i="15"/>
  <c r="B27" i="15"/>
  <c r="B30" i="15"/>
  <c r="B29" i="15"/>
  <c r="B78" i="15"/>
  <c r="J12" i="7"/>
  <c r="K12" i="7" s="1"/>
  <c r="I13" i="7" s="1"/>
  <c r="D14" i="7"/>
  <c r="E14" i="7" s="1"/>
  <c r="C15" i="7" s="1"/>
  <c r="B32" i="15" l="1"/>
  <c r="B79" i="15"/>
  <c r="J13" i="7"/>
  <c r="K13" i="7" s="1"/>
  <c r="I14" i="7" s="1"/>
  <c r="D15" i="7"/>
  <c r="E15" i="7" s="1"/>
  <c r="C16" i="7" s="1"/>
  <c r="C32" i="15" l="1"/>
  <c r="C34" i="15" s="1"/>
  <c r="B36" i="15"/>
  <c r="C77" i="15"/>
  <c r="C76" i="15"/>
  <c r="C78" i="15"/>
  <c r="J14" i="7"/>
  <c r="K14" i="7" s="1"/>
  <c r="I15" i="7" s="1"/>
  <c r="D16" i="7"/>
  <c r="E16" i="7" s="1"/>
  <c r="C17" i="7" s="1"/>
  <c r="C79" i="15" l="1"/>
  <c r="J15" i="7"/>
  <c r="K15" i="7" s="1"/>
  <c r="I16" i="7" s="1"/>
  <c r="D17" i="7"/>
  <c r="E17" i="7" s="1"/>
  <c r="C18" i="7" s="1"/>
  <c r="J16" i="7" l="1"/>
  <c r="K16" i="7" s="1"/>
  <c r="I17" i="7" s="1"/>
  <c r="D18" i="7"/>
  <c r="E18" i="7" s="1"/>
  <c r="C19" i="7" s="1"/>
  <c r="J17" i="7" l="1"/>
  <c r="K17" i="7" s="1"/>
  <c r="I18" i="7" s="1"/>
  <c r="D19" i="7"/>
  <c r="E19" i="7" s="1"/>
  <c r="C20" i="7" s="1"/>
  <c r="J18" i="7" l="1"/>
  <c r="K18" i="7" s="1"/>
  <c r="I19" i="7" s="1"/>
  <c r="D20" i="7"/>
  <c r="E20" i="7" s="1"/>
  <c r="C21" i="7" s="1"/>
  <c r="J19" i="7" l="1"/>
  <c r="K19" i="7" s="1"/>
  <c r="I20" i="7" s="1"/>
  <c r="D21" i="7"/>
  <c r="E21" i="7" s="1"/>
  <c r="C22" i="7" s="1"/>
  <c r="J20" i="7" l="1"/>
  <c r="K20" i="7" s="1"/>
  <c r="I21" i="7" s="1"/>
  <c r="D22" i="7"/>
  <c r="E22" i="7" s="1"/>
  <c r="C23" i="7" s="1"/>
  <c r="D23" i="7" s="1"/>
  <c r="E23" i="7" s="1"/>
  <c r="C24" i="7" s="1"/>
  <c r="J21" i="7" l="1"/>
  <c r="K21" i="7" s="1"/>
  <c r="I22" i="7" s="1"/>
  <c r="D24" i="7"/>
  <c r="E24" i="7" s="1"/>
  <c r="C25" i="7" s="1"/>
  <c r="J22" i="7" l="1"/>
  <c r="K22" i="7" s="1"/>
  <c r="I23" i="7" s="1"/>
  <c r="D25" i="7"/>
  <c r="E25" i="7" s="1"/>
  <c r="C26" i="7" s="1"/>
  <c r="J23" i="7" l="1"/>
  <c r="K23" i="7" s="1"/>
  <c r="I24" i="7" s="1"/>
  <c r="D26" i="7"/>
  <c r="E26" i="7" s="1"/>
  <c r="C27" i="7" s="1"/>
  <c r="J24" i="7" l="1"/>
  <c r="K24" i="7" s="1"/>
  <c r="D27" i="7"/>
  <c r="E27" i="7" s="1"/>
  <c r="C28" i="7" s="1"/>
  <c r="D28" i="7" l="1"/>
  <c r="E28" i="7" s="1"/>
  <c r="C29" i="7" s="1"/>
  <c r="D29" i="7" l="1"/>
  <c r="E29" i="7" s="1"/>
  <c r="C30" i="7" s="1"/>
  <c r="D30" i="7" l="1"/>
  <c r="E30" i="7" s="1"/>
  <c r="C31" i="7" s="1"/>
  <c r="D31" i="7" l="1"/>
  <c r="E31" i="7" s="1"/>
  <c r="C32" i="7" s="1"/>
  <c r="D32" i="7" l="1"/>
  <c r="E32" i="7" s="1"/>
  <c r="C33" i="7" s="1"/>
  <c r="D33" i="7" l="1"/>
  <c r="E33" i="7" l="1"/>
  <c r="C34" i="7" s="1"/>
  <c r="D35" i="7"/>
  <c r="D2" i="7" s="1"/>
  <c r="F12" i="7" l="1"/>
  <c r="F14" i="7"/>
  <c r="F16" i="7"/>
  <c r="F18" i="7"/>
  <c r="F20" i="7"/>
  <c r="F22" i="7"/>
  <c r="F24" i="7"/>
  <c r="F26" i="7"/>
  <c r="F28" i="7"/>
  <c r="F30" i="7"/>
  <c r="F32" i="7"/>
  <c r="F5" i="7"/>
  <c r="F7" i="7"/>
  <c r="F9" i="7"/>
  <c r="F4" i="7"/>
  <c r="F11" i="7"/>
  <c r="F13" i="7"/>
  <c r="F15" i="7"/>
  <c r="F17" i="7"/>
  <c r="F21" i="7"/>
  <c r="F23" i="7"/>
  <c r="F25" i="7"/>
  <c r="F31" i="7"/>
  <c r="F6" i="7"/>
  <c r="F10" i="7"/>
  <c r="F19" i="7"/>
  <c r="F27" i="7"/>
  <c r="F29" i="7"/>
  <c r="F33" i="7"/>
  <c r="F8" i="7"/>
  <c r="J35" i="7"/>
  <c r="P10" i="7" s="1"/>
  <c r="P12" i="7" s="1"/>
  <c r="M8" i="7" s="1"/>
  <c r="M10" i="7" s="1"/>
  <c r="M12" i="7" s="1"/>
  <c r="F34" i="14" l="1"/>
  <c r="F35" i="14"/>
  <c r="E37" i="14"/>
  <c r="E44" i="14" s="1"/>
  <c r="E48" i="14" s="1"/>
  <c r="F33" i="14"/>
  <c r="F37" i="14" s="1"/>
  <c r="F44" i="14" s="1"/>
</calcChain>
</file>

<file path=xl/sharedStrings.xml><?xml version="1.0" encoding="utf-8"?>
<sst xmlns="http://schemas.openxmlformats.org/spreadsheetml/2006/main" count="455" uniqueCount="387">
  <si>
    <t>Meter Size</t>
  </si>
  <si>
    <t>Groundwater Supply Fee</t>
  </si>
  <si>
    <t>Peaking Facility Fee</t>
  </si>
  <si>
    <t>5/8"</t>
  </si>
  <si>
    <t>1"</t>
  </si>
  <si>
    <t>1 1/2"</t>
  </si>
  <si>
    <t>2"</t>
  </si>
  <si>
    <t>3"</t>
  </si>
  <si>
    <t>4"</t>
  </si>
  <si>
    <t>6"</t>
  </si>
  <si>
    <t>8"</t>
  </si>
  <si>
    <t>Sampling</t>
  </si>
  <si>
    <t>Drill and develop</t>
  </si>
  <si>
    <t>TEST WELL</t>
  </si>
  <si>
    <t>Drill Case and Develop</t>
  </si>
  <si>
    <t>PRODUCTION WELL</t>
  </si>
  <si>
    <t>Well Capacity, gpm</t>
  </si>
  <si>
    <t>Dwelling Unit Use, gpm</t>
  </si>
  <si>
    <t>Well Improvements</t>
  </si>
  <si>
    <t>Earthwork</t>
  </si>
  <si>
    <t>Paving</t>
  </si>
  <si>
    <t>Fencing</t>
  </si>
  <si>
    <t>Precast Vaults</t>
  </si>
  <si>
    <t>Pump Pedestal</t>
  </si>
  <si>
    <t>Well Building</t>
  </si>
  <si>
    <t>CMU</t>
  </si>
  <si>
    <t>Metal Fabrications</t>
  </si>
  <si>
    <t>Roof</t>
  </si>
  <si>
    <t>Flashing &amp; Painting</t>
  </si>
  <si>
    <t>Skylight</t>
  </si>
  <si>
    <t>Doors &amp; Hardware</t>
  </si>
  <si>
    <t>Coating and Painting</t>
  </si>
  <si>
    <t>Building Specialties</t>
  </si>
  <si>
    <t>Ventilation</t>
  </si>
  <si>
    <t>Main Switchboard</t>
  </si>
  <si>
    <t>Main Switchboard Inst.</t>
  </si>
  <si>
    <t>Wire &amp; Cables</t>
  </si>
  <si>
    <t>Carpentry</t>
  </si>
  <si>
    <t>Engine Generator</t>
  </si>
  <si>
    <t>Reinforcing Steel</t>
  </si>
  <si>
    <t>Generator Slab</t>
  </si>
  <si>
    <t>Subtotal</t>
  </si>
  <si>
    <t>Peaking Fee</t>
  </si>
  <si>
    <t>Paving and Site Work</t>
  </si>
  <si>
    <t>Booster Pump and Control Building</t>
  </si>
  <si>
    <t>Booster Pump Electrical</t>
  </si>
  <si>
    <t>Standby Generator</t>
  </si>
  <si>
    <t>SCADA</t>
  </si>
  <si>
    <t>Tank</t>
  </si>
  <si>
    <t>Peaking Capacity, GPM</t>
  </si>
  <si>
    <t>Hydraulic Capacity Factor</t>
  </si>
  <si>
    <t>Abandonment</t>
  </si>
  <si>
    <t>Subtotal Soft Costs</t>
  </si>
  <si>
    <t>Treatment Cost</t>
  </si>
  <si>
    <t>Contingency</t>
  </si>
  <si>
    <t>Design</t>
  </si>
  <si>
    <t xml:space="preserve">Max Day Peak Factor </t>
  </si>
  <si>
    <t>Calculated Groundwater Fee</t>
  </si>
  <si>
    <t>Site Acquisition</t>
  </si>
  <si>
    <t>Environmental/Planning</t>
  </si>
  <si>
    <t>Construction Management/Engineering</t>
  </si>
  <si>
    <t>TABLE A-1</t>
  </si>
  <si>
    <t>TABLE A-2</t>
  </si>
  <si>
    <t>CONSTRUCTION COST</t>
  </si>
  <si>
    <t>CONSTRUCTION COSTS</t>
  </si>
  <si>
    <t>Subtotal Test Well</t>
  </si>
  <si>
    <t>Subtotal Production Well</t>
  </si>
  <si>
    <t>TOTAL WELL DRILLING AND DEVELOPMENT COST</t>
  </si>
  <si>
    <t>Subtotal Construction Costs</t>
  </si>
  <si>
    <t>SOFT COSTS</t>
  </si>
  <si>
    <t>Redundancy Factor</t>
  </si>
  <si>
    <t>TOTAL COSTS</t>
  </si>
  <si>
    <t>Mobilization</t>
  </si>
  <si>
    <t>TABLE A-3</t>
  </si>
  <si>
    <t>Water Treatment</t>
  </si>
  <si>
    <t>Total Water Treatment</t>
  </si>
  <si>
    <t>TOTAL WELL IMPROVEMENTS COST</t>
  </si>
  <si>
    <t>Well Drilling and Development</t>
  </si>
  <si>
    <t>1.0 mg Storage Tank and Booster Pump</t>
  </si>
  <si>
    <t>TOTAL TANK AND BOOSTER PUMP</t>
  </si>
  <si>
    <t>Calculated Peaking Connection Fee</t>
  </si>
  <si>
    <t>1.0 mg Storage Tank and Booster Pump Cost</t>
  </si>
  <si>
    <t>EDU Served at 0.474 gpm, 2.8 PF, 15% Redundancy</t>
  </si>
  <si>
    <t>TABLE A-5</t>
  </si>
  <si>
    <t>TABLE A-6</t>
  </si>
  <si>
    <t>TABLE A-7</t>
  </si>
  <si>
    <t>TABLE A-8</t>
  </si>
  <si>
    <t>TABLE A-9</t>
  </si>
  <si>
    <t>Under Slab Rough-in</t>
  </si>
  <si>
    <t>Underground Rough-in</t>
  </si>
  <si>
    <t>Above Ground Fuel Tank</t>
  </si>
  <si>
    <t>Louvers</t>
  </si>
  <si>
    <t>Conduit &amp; Fitting</t>
  </si>
  <si>
    <t>Yard Piping and Appurtenances</t>
  </si>
  <si>
    <t>Item</t>
  </si>
  <si>
    <t>Total Cost</t>
  </si>
  <si>
    <t>Length</t>
  </si>
  <si>
    <t>Concept:</t>
  </si>
  <si>
    <t>Distribution System Fee</t>
  </si>
  <si>
    <t>Calculated Distribution System Fee</t>
  </si>
  <si>
    <t>LF</t>
  </si>
  <si>
    <t>Total Future Pipe to be Installed</t>
  </si>
  <si>
    <t xml:space="preserve">Total number of EDUs supported  </t>
  </si>
  <si>
    <t>PFF Fees</t>
  </si>
  <si>
    <t>Total</t>
  </si>
  <si>
    <t>Main - one mile grid - 100% Reimbursement</t>
  </si>
  <si>
    <t>Interior grid - oversize reimbursement only</t>
  </si>
  <si>
    <t>Typical Costs to Install 12" Water Main</t>
  </si>
  <si>
    <t>12" PVC Pipe - complete in place</t>
  </si>
  <si>
    <t>Amount</t>
  </si>
  <si>
    <t>Gate Valves</t>
  </si>
  <si>
    <t>Unit Price ($/unit)</t>
  </si>
  <si>
    <t>Hydrant Assembly</t>
  </si>
  <si>
    <t>Air Release Valves</t>
  </si>
  <si>
    <t>$</t>
  </si>
  <si>
    <t>Butterfly Valves</t>
  </si>
  <si>
    <t>8" PVC Pipe - complete in place</t>
  </si>
  <si>
    <t>16" PVC Pipe - complete in place</t>
  </si>
  <si>
    <t>Cost / LF with 5% contingency &amp; 10% soft costs</t>
  </si>
  <si>
    <t>12" pipe - Main Grid</t>
  </si>
  <si>
    <t>12" Pipe - interior</t>
  </si>
  <si>
    <t>Cost / LF with 10% contingency &amp; 10% soft costs</t>
  </si>
  <si>
    <t>Miles</t>
  </si>
  <si>
    <t>Typical Costs to Install  8" Water Main</t>
  </si>
  <si>
    <t>Typical Costs to Install 16" or 18"  Water Main</t>
  </si>
  <si>
    <t>Reimbursement</t>
  </si>
  <si>
    <t>Rate ($/LF)</t>
  </si>
  <si>
    <t>SOFT COSTS - Water Line only</t>
  </si>
  <si>
    <t>Total Construction Cost</t>
  </si>
  <si>
    <t>Number of new meters for New Development</t>
  </si>
  <si>
    <t>Phase 1 - South County Surface Water Project</t>
  </si>
  <si>
    <t>Preliminary Costs ( Environmental &amp; Planning)</t>
  </si>
  <si>
    <t>Percentage Due from New Construction</t>
  </si>
  <si>
    <t>16"-18" pipe - Main Grid</t>
  </si>
  <si>
    <t>GROUNDWATER   SUPPLY  FEE</t>
  </si>
  <si>
    <t>GROUNDWATER SUPPLY</t>
  </si>
  <si>
    <t>REIMBURSEMENT of SOUTH COUNTY SURFACE WATER PROJECT DEVELOPMENT AND CONSTRUCTION COSTS</t>
  </si>
  <si>
    <t>Note: Remainder of construction and property acquisition costs are covered by Bond, which is paid via separate fee</t>
  </si>
  <si>
    <t>SCSWP   Reimbursement Fee</t>
  </si>
  <si>
    <t>Total borrowed from rate payers to fund SCSWP</t>
  </si>
  <si>
    <t>PEAKING    COSTS</t>
  </si>
  <si>
    <t>DISTRIBUTION SYSTEM COSTS</t>
  </si>
  <si>
    <t>SUMMARY OF  PFF  WATER FEES</t>
  </si>
  <si>
    <t>TABLE A - 4</t>
  </si>
  <si>
    <t>Environmental / Planning</t>
  </si>
  <si>
    <t>Site Prep. Clearing and Grubbing</t>
  </si>
  <si>
    <t>Excavation, Shoring, Import and Earthwork</t>
  </si>
  <si>
    <t>2 Acres @ 4$/SF</t>
  </si>
  <si>
    <t>TABLE A-10</t>
  </si>
  <si>
    <t>Water MasterPlan Update</t>
  </si>
  <si>
    <t>Annual Cost</t>
  </si>
  <si>
    <t xml:space="preserve"> (Development Portion = 50% of total cost)</t>
  </si>
  <si>
    <t>Frequency (yrs)</t>
  </si>
  <si>
    <t>Staff &amp; Overhead</t>
  </si>
  <si>
    <t>Legal Support</t>
  </si>
  <si>
    <t>Total Administration</t>
  </si>
  <si>
    <t>Avg EDU / Year</t>
  </si>
  <si>
    <t>Administration Fee</t>
  </si>
  <si>
    <t>PFIP UPDATE</t>
  </si>
  <si>
    <t>Crivello Estates</t>
  </si>
  <si>
    <t>Diego Country Estates</t>
  </si>
  <si>
    <t>Dutra Estates</t>
  </si>
  <si>
    <t>Evans Estates</t>
  </si>
  <si>
    <t>Lundbom</t>
  </si>
  <si>
    <t>Oleander</t>
  </si>
  <si>
    <t>Pillsbury</t>
  </si>
  <si>
    <t>Shadowbrook</t>
  </si>
  <si>
    <t>Silva Estates</t>
  </si>
  <si>
    <t>Sundance</t>
  </si>
  <si>
    <t>Union Ranch</t>
  </si>
  <si>
    <t>Union Ranch East</t>
  </si>
  <si>
    <t>Villa Tocino West</t>
  </si>
  <si>
    <t>Winters Colonial</t>
  </si>
  <si>
    <t>Tesoro Apartments</t>
  </si>
  <si>
    <t xml:space="preserve">Map </t>
  </si>
  <si>
    <t>Approval</t>
  </si>
  <si>
    <t>Lots</t>
  </si>
  <si>
    <t>Current</t>
  </si>
  <si>
    <t>Approved</t>
  </si>
  <si>
    <t>Anticipate</t>
  </si>
  <si>
    <t>Existing PFIP</t>
  </si>
  <si>
    <t>Estimated PFIP Lots Remaining (See below)</t>
  </si>
  <si>
    <t>Estimated PFIP Revenue</t>
  </si>
  <si>
    <t>Existing PFIP Deficit</t>
  </si>
  <si>
    <t>Entitled - Unfinished Lots</t>
  </si>
  <si>
    <t>Finished Lots</t>
  </si>
  <si>
    <t>Factor Additional Expense</t>
  </si>
  <si>
    <t>Site Acquisition (5,000 SF)</t>
  </si>
  <si>
    <t>PW Admin - Sr Eng</t>
  </si>
  <si>
    <t>1/8 FTE</t>
  </si>
  <si>
    <t>1/4 FTE</t>
  </si>
  <si>
    <t>Finance - Proj Analyst</t>
  </si>
  <si>
    <t>Other Support Services</t>
  </si>
  <si>
    <t>Admin Costs</t>
  </si>
  <si>
    <t>Spec Dept Supplies</t>
  </si>
  <si>
    <t>Other Srvcs - Prof</t>
  </si>
  <si>
    <t>Contract Services</t>
  </si>
  <si>
    <t>Maint Repairs</t>
  </si>
  <si>
    <t>Spet Dept Training</t>
  </si>
  <si>
    <t>Data Processing</t>
  </si>
  <si>
    <t>Digital Map Products</t>
  </si>
  <si>
    <t>Survey network &amp; Aerial Maps</t>
  </si>
  <si>
    <t>Historic Cost</t>
  </si>
  <si>
    <t>Environmental - 2%, Design - 4%, Construction Management - 4%</t>
  </si>
  <si>
    <t>Total anticipated PFIP Expense</t>
  </si>
  <si>
    <t>Credited</t>
  </si>
  <si>
    <t>out of PFIP</t>
  </si>
  <si>
    <t>Move to</t>
  </si>
  <si>
    <t>PFF</t>
  </si>
  <si>
    <t>Dutra Estates 1-4</t>
  </si>
  <si>
    <t>Ken Hill</t>
  </si>
  <si>
    <t>Paseo West</t>
  </si>
  <si>
    <t>Terra Bella</t>
  </si>
  <si>
    <t>Tesoro 2</t>
  </si>
  <si>
    <t>Union Ranch 4a</t>
  </si>
  <si>
    <t>Contributing</t>
  </si>
  <si>
    <t>to  PFIP</t>
  </si>
  <si>
    <t>PFIP Final Balance</t>
  </si>
  <si>
    <t>PFF - ADMINISTRATION - BURIED</t>
  </si>
  <si>
    <t>Revenue</t>
  </si>
  <si>
    <t>Expense</t>
  </si>
  <si>
    <t>Difference</t>
  </si>
  <si>
    <t>Peak Capacity  (GPM)</t>
  </si>
  <si>
    <t>Villa Tocino West Aparts</t>
  </si>
  <si>
    <t xml:space="preserve">Entitled - Apartments </t>
  </si>
  <si>
    <t>Total EDU's</t>
  </si>
  <si>
    <t>Opinion of Probable Cost</t>
  </si>
  <si>
    <t>Opinion of Probable Costs</t>
  </si>
  <si>
    <t>Interest</t>
  </si>
  <si>
    <t>Balance</t>
  </si>
  <si>
    <t>Principle</t>
  </si>
  <si>
    <t>Year</t>
  </si>
  <si>
    <t>Interest (30years @ 5%)</t>
  </si>
  <si>
    <t>EDU/Year</t>
  </si>
  <si>
    <t>30 Years = 285 EDU / Year</t>
  </si>
  <si>
    <t>20 Years = 450 EDU / Year</t>
  </si>
  <si>
    <t>30 Year Financing</t>
  </si>
  <si>
    <t>20 Year Financing</t>
  </si>
  <si>
    <t>4 Year Reserve</t>
  </si>
  <si>
    <t>3.6 MG Tank &amp; Boosters</t>
  </si>
  <si>
    <t xml:space="preserve">Units to </t>
  </si>
  <si>
    <t>Cover Interest</t>
  </si>
  <si>
    <t>Calculated FEE =</t>
  </si>
  <si>
    <t>Bills Quote</t>
  </si>
  <si>
    <t>Markup</t>
  </si>
  <si>
    <t>Rounded</t>
  </si>
  <si>
    <t>Source</t>
  </si>
  <si>
    <t>Table A-3</t>
  </si>
  <si>
    <t>Table A-4</t>
  </si>
  <si>
    <t>Table A-5</t>
  </si>
  <si>
    <t>Source: City of Manteca.</t>
  </si>
  <si>
    <t>TOTAL WATER TREATMENT COST (See (1))</t>
  </si>
  <si>
    <t>(1) Based upon current ratio (13/17) of City wells requiring some form of treatment</t>
  </si>
  <si>
    <t>$4/SF</t>
  </si>
  <si>
    <t>Table 1</t>
  </si>
  <si>
    <t>Internal</t>
  </si>
  <si>
    <t>City of Manteca</t>
  </si>
  <si>
    <t>Working Draft - v1</t>
  </si>
  <si>
    <t>XXXXX</t>
  </si>
  <si>
    <t>Source/</t>
  </si>
  <si>
    <t>Description</t>
  </si>
  <si>
    <t>Totals</t>
  </si>
  <si>
    <t>Notes</t>
  </si>
  <si>
    <t>PROJECT CONSTRUCTION COSTS</t>
  </si>
  <si>
    <t>Capital Improvements Plan</t>
  </si>
  <si>
    <t xml:space="preserve">     Current Projects</t>
  </si>
  <si>
    <t xml:space="preserve">     Future Projects</t>
  </si>
  <si>
    <t>Table 4</t>
  </si>
  <si>
    <t>Total Master Plan CIP (__/__/__ $)</t>
  </si>
  <si>
    <t>See Note (4)</t>
  </si>
  <si>
    <t>Additional CIP Costs - 2012/13 Budget</t>
  </si>
  <si>
    <t>Forthcoming</t>
  </si>
  <si>
    <t>Total PFF CIP</t>
  </si>
  <si>
    <t xml:space="preserve">     % of PFF CIP</t>
  </si>
  <si>
    <t>FINANCING COSTS</t>
  </si>
  <si>
    <t>See Note (3)</t>
  </si>
  <si>
    <t xml:space="preserve">     Total Estimated Financing Costs</t>
  </si>
  <si>
    <t xml:space="preserve">          Finance Cost % of CIP</t>
  </si>
  <si>
    <t>PFF ADMINISTRATION COSTS</t>
  </si>
  <si>
    <t xml:space="preserve">     Total PFF Admin Costs</t>
  </si>
  <si>
    <t>FUND BALANCES</t>
  </si>
  <si>
    <t>Net Fund Balance (Deficit)</t>
  </si>
  <si>
    <t>Table 7 - Forthcoming</t>
  </si>
  <si>
    <t>Fees From Remaining PFIP Development</t>
  </si>
  <si>
    <t xml:space="preserve">     Total Fund Balances</t>
  </si>
  <si>
    <t>Net Costs Funded From PFF Fee</t>
  </si>
  <si>
    <t>Table 5</t>
  </si>
  <si>
    <t>Fee Per EDU</t>
  </si>
  <si>
    <t>Notes:</t>
  </si>
  <si>
    <t>(2) Assumes entire cost of current projects funded by 30 year debt service with 2.0% interest.</t>
  </si>
  <si>
    <t>(3) Assumes 100% of PFF CIP costs are financed, see Table 6 for financing assumptions.</t>
  </si>
  <si>
    <t>(5) City Admistrative Costs assumed to by 2% of PFF CIP costs.</t>
  </si>
  <si>
    <t>PFF Water Fee</t>
  </si>
  <si>
    <t>Groundwater</t>
  </si>
  <si>
    <t>Supply</t>
  </si>
  <si>
    <t>Fee</t>
  </si>
  <si>
    <t>Peaking</t>
  </si>
  <si>
    <t>Facility</t>
  </si>
  <si>
    <t>Distribution</t>
  </si>
  <si>
    <t>System</t>
  </si>
  <si>
    <t>Table 6</t>
  </si>
  <si>
    <t>|</t>
  </si>
  <si>
    <t>Financing Assumpitons</t>
  </si>
  <si>
    <t>Annual Interest Rate</t>
  </si>
  <si>
    <t>Term - Years</t>
  </si>
  <si>
    <t>Payments per year</t>
  </si>
  <si>
    <t>Loan Constant - Annual Debt Service (per $1,000)</t>
  </si>
  <si>
    <t>Annual Debt Service:</t>
  </si>
  <si>
    <t>Annual Finance Cost (per $1,000)</t>
  </si>
  <si>
    <t>Improvement Costs Financed</t>
  </si>
  <si>
    <t>Total Costs Financed</t>
  </si>
  <si>
    <t>Cost Of Bond Issuance</t>
  </si>
  <si>
    <t xml:space="preserve">   Capitalized Interest Fund</t>
  </si>
  <si>
    <t xml:space="preserve">   Reserve Fund</t>
  </si>
  <si>
    <t xml:space="preserve">  Issuance Costs</t>
  </si>
  <si>
    <t xml:space="preserve">   Bond Counsel</t>
  </si>
  <si>
    <t xml:space="preserve">   City's District Administration Fee</t>
  </si>
  <si>
    <t xml:space="preserve">   Miscellaneous Costs of Issuance</t>
  </si>
  <si>
    <t>Total - Cost Of Bond Issuance</t>
  </si>
  <si>
    <t>Total Bond Issue Size</t>
  </si>
  <si>
    <t>Check Total</t>
  </si>
  <si>
    <t>Total Bond Issue Size - Rounded</t>
  </si>
  <si>
    <t>_</t>
  </si>
  <si>
    <t>(1) Dollar amounts are in _________, 2012 dollars.</t>
  </si>
  <si>
    <t>Source:  City of Manteca.</t>
  </si>
  <si>
    <t>Notes:  Annual Finance Cost (per $1,000) = Loan constant at 2% - Loan Constant at 0%</t>
  </si>
  <si>
    <t>Rangename:  @ISSUANCE-COST</t>
  </si>
  <si>
    <t>COST FACTORS FOR BOND ISSUANCE COSTS</t>
  </si>
  <si>
    <t xml:space="preserve">Fixed  </t>
  </si>
  <si>
    <t>Variable</t>
  </si>
  <si>
    <t>Component</t>
  </si>
  <si>
    <t>Comments</t>
  </si>
  <si>
    <t xml:space="preserve"> Capitalized Interest Fund</t>
  </si>
  <si>
    <t>One year's interest</t>
  </si>
  <si>
    <t xml:space="preserve"> Reserve Fund</t>
  </si>
  <si>
    <t>Maximum year's debt service</t>
  </si>
  <si>
    <t xml:space="preserve"> Underwriter's Discount</t>
  </si>
  <si>
    <t xml:space="preserve"> Bond Counsel</t>
  </si>
  <si>
    <t>See Note (2)</t>
  </si>
  <si>
    <t xml:space="preserve"> City's District Administration Fee</t>
  </si>
  <si>
    <t xml:space="preserve"> Miscellaneous Costs Of Issuance</t>
  </si>
  <si>
    <t xml:space="preserve">   Printing</t>
  </si>
  <si>
    <t xml:space="preserve">   Trustee's Fee</t>
  </si>
  <si>
    <t xml:space="preserve">   Miscellaneous Noticing Costs</t>
  </si>
  <si>
    <t xml:space="preserve">   Contingency (3)</t>
  </si>
  <si>
    <t>__________</t>
  </si>
  <si>
    <t>Net Bond Proceeds</t>
  </si>
  <si>
    <t>Plus:  Fixed Issuance Costs</t>
  </si>
  <si>
    <t>Plus:  Variable Issuance Costs</t>
  </si>
  <si>
    <t xml:space="preserve">  Total</t>
  </si>
  <si>
    <t>(1) Dollar amounts are in January 1, _______ Dollars</t>
  </si>
  <si>
    <t>(2) Bond Counsel's fee schedule for Assessment District bonds is</t>
  </si>
  <si>
    <t xml:space="preserve">          Effective Total Rate</t>
  </si>
  <si>
    <t xml:space="preserve">Rate  For </t>
  </si>
  <si>
    <t xml:space="preserve">Variable  </t>
  </si>
  <si>
    <t>Range</t>
  </si>
  <si>
    <t>The Range</t>
  </si>
  <si>
    <t>$0 - $750,000</t>
  </si>
  <si>
    <t>$750,000 - $2,000,000</t>
  </si>
  <si>
    <t>$2,000,000 - $10,000,000</t>
  </si>
  <si>
    <t>Over $10,000,000</t>
  </si>
  <si>
    <t>(3) Contingency is calculated as 10% of all costs of issuance except Bond Counsel's Fee</t>
  </si>
  <si>
    <t xml:space="preserve">     and Underwriter's Discount.</t>
  </si>
  <si>
    <t>PFF Water FeeStorm Drainage Collection Fee</t>
  </si>
  <si>
    <t>Total EDUs Served</t>
  </si>
  <si>
    <t>Soft Costs</t>
  </si>
  <si>
    <t xml:space="preserve">   Soft Cost % of Construction Costs</t>
  </si>
  <si>
    <t>Dwelling Units Served</t>
  </si>
  <si>
    <t>Administrative Costs</t>
  </si>
  <si>
    <t>Distribution System Fee (Rounded)</t>
  </si>
  <si>
    <t>(1) Groundwater fee based on the per EDU cost of one well.</t>
  </si>
  <si>
    <t>See Note (5),(6)</t>
  </si>
  <si>
    <t>Note (6)</t>
  </si>
  <si>
    <t>Note (1)</t>
  </si>
  <si>
    <t>Water Fee Calculation Summary</t>
  </si>
  <si>
    <t>(4) Soft cost estimates shown in Tables A2-A9.</t>
  </si>
  <si>
    <t>Sub total Distribution System</t>
  </si>
  <si>
    <t>TOTAL DISTRIBUTION SYSTEM COST</t>
  </si>
  <si>
    <t>(6) Distribution System Fee based on estimate of the cost of infrastructure to serve buildout.</t>
  </si>
  <si>
    <t>PEAKING Summary</t>
  </si>
  <si>
    <t>DISTRIBUTION SYSTEM SUMMARY</t>
  </si>
  <si>
    <t>from another file</t>
  </si>
  <si>
    <t>PFF Updates - 5 Year</t>
  </si>
  <si>
    <t>PFF Updates - Annual</t>
  </si>
  <si>
    <t>City Administrative Costs - Annual</t>
  </si>
  <si>
    <t>City Administrative Costs - Variable</t>
  </si>
  <si>
    <t>(7) EDU = 660 gpd (200 per capita x 3.3 persons per household)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</si>
</sst>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%"/>
    <numFmt numFmtId="166" formatCode="_(* #,##0_);_(* \(#,##0\);_(* &quot;-&quot;??_);_(@_)"/>
    <numFmt numFmtId="167" formatCode="_(&quot;$&quot;* #,##0_);_(&quot;$&quot;* \(#,##0\);_(&quot;$&quot;* &quot;-&quot;??_);_(@_)"/>
    <numFmt numFmtId="168" formatCode="&quot;$&quot;#,##0"/>
    <numFmt numFmtId="169" formatCode="_(* #,##0_);_(* \(#,##0\);_(* &quot;-&quot;?_);_(@_)"/>
    <numFmt numFmtId="170" formatCode="m/d/yy;@"/>
    <numFmt numFmtId="171" formatCode="0.0000%"/>
    <numFmt numFmtId="172" formatCode="dd\-mmm\-yy_)"/>
    <numFmt numFmtId="173" formatCode="hh:mm\ AM/PM_)"/>
  </numFmts>
  <fonts count="2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i/>
      <sz val="12"/>
      <color rgb="FF0070C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color indexed="72"/>
      <name val="MS Sans Serif"/>
      <family val="2"/>
    </font>
    <font>
      <sz val="10"/>
      <color indexed="72"/>
      <name val="Arial"/>
      <family val="2"/>
    </font>
    <font>
      <u/>
      <sz val="10"/>
      <name val="Arial"/>
      <family val="2"/>
    </font>
    <font>
      <sz val="12"/>
      <name val="Helv"/>
    </font>
    <font>
      <sz val="6"/>
      <name val="Tms Rmn"/>
    </font>
    <font>
      <u/>
      <sz val="12"/>
      <name val="Helv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5" fontId="1" fillId="0" borderId="0" applyFont="0" applyFill="0" applyBorder="0" applyAlignment="0" applyProtection="0">
      <alignment vertical="top"/>
    </xf>
    <xf numFmtId="2" fontId="1" fillId="0" borderId="0" applyFont="0" applyFill="0" applyBorder="0" applyAlignment="0" applyProtection="0">
      <alignment vertical="top"/>
    </xf>
    <xf numFmtId="0" fontId="1" fillId="0" borderId="0"/>
    <xf numFmtId="0" fontId="1" fillId="0" borderId="0"/>
    <xf numFmtId="0" fontId="19" fillId="0" borderId="0"/>
    <xf numFmtId="9" fontId="14" fillId="0" borderId="0" applyFont="0" applyFill="0" applyBorder="0" applyAlignment="0" applyProtection="0"/>
  </cellStyleXfs>
  <cellXfs count="260">
    <xf numFmtId="0" fontId="0" fillId="0" borderId="0" xfId="0"/>
    <xf numFmtId="44" fontId="0" fillId="0" borderId="0" xfId="2" applyFont="1"/>
    <xf numFmtId="9" fontId="0" fillId="0" borderId="0" xfId="3" applyFont="1"/>
    <xf numFmtId="0" fontId="3" fillId="0" borderId="0" xfId="0" applyFont="1"/>
    <xf numFmtId="0" fontId="4" fillId="0" borderId="0" xfId="0" applyFont="1"/>
    <xf numFmtId="0" fontId="0" fillId="0" borderId="0" xfId="0" applyBorder="1"/>
    <xf numFmtId="44" fontId="0" fillId="0" borderId="0" xfId="0" applyNumberFormat="1" applyBorder="1"/>
    <xf numFmtId="0" fontId="4" fillId="0" borderId="0" xfId="0" applyFont="1" applyBorder="1"/>
    <xf numFmtId="0" fontId="0" fillId="0" borderId="0" xfId="0" applyBorder="1" applyAlignment="1">
      <alignment vertic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 indent="1"/>
    </xf>
    <xf numFmtId="164" fontId="0" fillId="0" borderId="0" xfId="0" applyNumberFormat="1"/>
    <xf numFmtId="0" fontId="4" fillId="0" borderId="0" xfId="0" applyFont="1" applyAlignment="1">
      <alignment horizontal="left" indent="1"/>
    </xf>
    <xf numFmtId="0" fontId="4" fillId="0" borderId="0" xfId="0" applyFont="1" applyAlignment="1">
      <alignment horizontal="left"/>
    </xf>
    <xf numFmtId="0" fontId="4" fillId="0" borderId="0" xfId="0" applyFont="1" applyFill="1" applyBorder="1" applyAlignment="1">
      <alignment horizontal="left" vertical="center"/>
    </xf>
    <xf numFmtId="0" fontId="0" fillId="0" borderId="2" xfId="0" applyBorder="1"/>
    <xf numFmtId="167" fontId="0" fillId="0" borderId="0" xfId="2" applyNumberFormat="1" applyFont="1"/>
    <xf numFmtId="167" fontId="0" fillId="0" borderId="0" xfId="0" applyNumberFormat="1"/>
    <xf numFmtId="166" fontId="0" fillId="0" borderId="0" xfId="1" applyNumberFormat="1" applyFont="1"/>
    <xf numFmtId="0" fontId="0" fillId="0" borderId="0" xfId="0" applyAlignment="1">
      <alignment horizontal="left"/>
    </xf>
    <xf numFmtId="167" fontId="0" fillId="0" borderId="1" xfId="0" applyNumberFormat="1" applyBorder="1"/>
    <xf numFmtId="168" fontId="0" fillId="0" borderId="0" xfId="2" applyNumberFormat="1" applyFont="1"/>
    <xf numFmtId="168" fontId="0" fillId="0" borderId="0" xfId="0" applyNumberFormat="1"/>
    <xf numFmtId="169" fontId="0" fillId="0" borderId="0" xfId="0" applyNumberFormat="1"/>
    <xf numFmtId="166" fontId="0" fillId="0" borderId="0" xfId="0" applyNumberFormat="1"/>
    <xf numFmtId="0" fontId="4" fillId="0" borderId="0" xfId="0" applyFont="1" applyBorder="1" applyAlignment="1">
      <alignment vertical="top" wrapText="1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wrapText="1"/>
    </xf>
    <xf numFmtId="168" fontId="4" fillId="0" borderId="0" xfId="2" applyNumberFormat="1" applyFont="1"/>
    <xf numFmtId="0" fontId="3" fillId="0" borderId="1" xfId="0" applyFont="1" applyBorder="1" applyAlignment="1">
      <alignment horizontal="center"/>
    </xf>
    <xf numFmtId="9" fontId="4" fillId="0" borderId="0" xfId="0" applyNumberFormat="1" applyFont="1" applyAlignment="1">
      <alignment horizontal="center"/>
    </xf>
    <xf numFmtId="9" fontId="7" fillId="0" borderId="0" xfId="3" applyFont="1" applyFill="1"/>
    <xf numFmtId="0" fontId="0" fillId="0" borderId="0" xfId="0" applyFill="1"/>
    <xf numFmtId="166" fontId="4" fillId="0" borderId="0" xfId="1" applyNumberFormat="1" applyFont="1" applyBorder="1" applyAlignment="1">
      <alignment vertical="top" wrapText="1"/>
    </xf>
    <xf numFmtId="166" fontId="0" fillId="0" borderId="0" xfId="1" applyNumberFormat="1" applyFont="1" applyBorder="1"/>
    <xf numFmtId="167" fontId="4" fillId="0" borderId="0" xfId="2" applyNumberFormat="1" applyFont="1" applyBorder="1" applyAlignment="1">
      <alignment vertical="top" wrapText="1"/>
    </xf>
    <xf numFmtId="169" fontId="0" fillId="0" borderId="1" xfId="0" applyNumberFormat="1" applyBorder="1"/>
    <xf numFmtId="166" fontId="0" fillId="0" borderId="1" xfId="1" applyNumberFormat="1" applyFont="1" applyBorder="1"/>
    <xf numFmtId="167" fontId="4" fillId="0" borderId="1" xfId="2" applyNumberFormat="1" applyFont="1" applyBorder="1" applyAlignment="1">
      <alignment vertical="top" wrapText="1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68" fontId="0" fillId="0" borderId="0" xfId="2" applyNumberFormat="1" applyFont="1" applyBorder="1"/>
    <xf numFmtId="0" fontId="3" fillId="0" borderId="0" xfId="0" applyFont="1" applyAlignment="1">
      <alignment horizontal="right"/>
    </xf>
    <xf numFmtId="0" fontId="0" fillId="0" borderId="1" xfId="0" applyBorder="1"/>
    <xf numFmtId="168" fontId="3" fillId="0" borderId="0" xfId="2" applyNumberFormat="1" applyFont="1" applyBorder="1"/>
    <xf numFmtId="0" fontId="6" fillId="0" borderId="0" xfId="0" applyFont="1"/>
    <xf numFmtId="167" fontId="0" fillId="0" borderId="1" xfId="2" applyNumberFormat="1" applyFont="1" applyBorder="1"/>
    <xf numFmtId="168" fontId="0" fillId="0" borderId="0" xfId="0" applyNumberFormat="1" applyBorder="1"/>
    <xf numFmtId="166" fontId="0" fillId="0" borderId="0" xfId="1" applyNumberFormat="1" applyFont="1" applyFill="1"/>
    <xf numFmtId="44" fontId="3" fillId="0" borderId="0" xfId="2" applyFont="1"/>
    <xf numFmtId="0" fontId="0" fillId="0" borderId="0" xfId="0"/>
    <xf numFmtId="0" fontId="0" fillId="0" borderId="5" xfId="0" applyBorder="1"/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168" fontId="6" fillId="0" borderId="10" xfId="0" applyNumberFormat="1" applyFont="1" applyBorder="1"/>
    <xf numFmtId="9" fontId="0" fillId="0" borderId="0" xfId="3" applyFont="1" applyAlignment="1">
      <alignment horizontal="left"/>
    </xf>
    <xf numFmtId="0" fontId="5" fillId="0" borderId="0" xfId="0" applyFont="1" applyAlignment="1">
      <alignment horizontal="left"/>
    </xf>
    <xf numFmtId="166" fontId="6" fillId="0" borderId="10" xfId="0" applyNumberFormat="1" applyFont="1" applyBorder="1"/>
    <xf numFmtId="168" fontId="6" fillId="0" borderId="0" xfId="0" applyNumberFormat="1" applyFont="1" applyBorder="1"/>
    <xf numFmtId="44" fontId="3" fillId="0" borderId="0" xfId="0" applyNumberFormat="1" applyFont="1"/>
    <xf numFmtId="44" fontId="3" fillId="0" borderId="0" xfId="0" applyNumberFormat="1" applyFont="1" applyBorder="1"/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167" fontId="0" fillId="0" borderId="3" xfId="2" applyNumberFormat="1" applyFont="1" applyBorder="1"/>
    <xf numFmtId="167" fontId="6" fillId="0" borderId="10" xfId="2" applyNumberFormat="1" applyFont="1" applyBorder="1"/>
    <xf numFmtId="165" fontId="0" fillId="0" borderId="0" xfId="3" applyNumberFormat="1" applyFont="1" applyAlignment="1">
      <alignment horizontal="left"/>
    </xf>
    <xf numFmtId="10" fontId="0" fillId="0" borderId="0" xfId="3" applyNumberFormat="1" applyFont="1" applyBorder="1" applyAlignment="1">
      <alignment vertical="center"/>
    </xf>
    <xf numFmtId="0" fontId="12" fillId="0" borderId="0" xfId="0" applyFont="1"/>
    <xf numFmtId="167" fontId="12" fillId="0" borderId="0" xfId="0" applyNumberFormat="1" applyFont="1"/>
    <xf numFmtId="166" fontId="12" fillId="0" borderId="0" xfId="1" applyNumberFormat="1" applyFont="1"/>
    <xf numFmtId="0" fontId="12" fillId="0" borderId="1" xfId="0" applyFont="1" applyBorder="1"/>
    <xf numFmtId="170" fontId="12" fillId="0" borderId="0" xfId="0" applyNumberFormat="1" applyFont="1"/>
    <xf numFmtId="170" fontId="12" fillId="0" borderId="1" xfId="0" applyNumberFormat="1" applyFont="1" applyBorder="1"/>
    <xf numFmtId="0" fontId="12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167" fontId="12" fillId="0" borderId="0" xfId="2" applyNumberFormat="1" applyFont="1" applyBorder="1"/>
    <xf numFmtId="0" fontId="1" fillId="0" borderId="0" xfId="0" applyFont="1"/>
    <xf numFmtId="0" fontId="12" fillId="0" borderId="0" xfId="0" applyFont="1" applyBorder="1" applyAlignment="1">
      <alignment horizontal="center"/>
    </xf>
    <xf numFmtId="0" fontId="12" fillId="0" borderId="0" xfId="0" applyFont="1" applyBorder="1"/>
    <xf numFmtId="0" fontId="12" fillId="0" borderId="0" xfId="0" applyFont="1" applyAlignment="1">
      <alignment horizontal="left" indent="1"/>
    </xf>
    <xf numFmtId="166" fontId="12" fillId="0" borderId="0" xfId="0" applyNumberFormat="1" applyFont="1"/>
    <xf numFmtId="9" fontId="12" fillId="0" borderId="0" xfId="3" applyFont="1"/>
    <xf numFmtId="0" fontId="1" fillId="0" borderId="0" xfId="0" applyFont="1" applyAlignment="1">
      <alignment horizontal="left" indent="1"/>
    </xf>
    <xf numFmtId="0" fontId="0" fillId="0" borderId="1" xfId="0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5" fontId="0" fillId="0" borderId="0" xfId="3" applyNumberFormat="1" applyFont="1"/>
    <xf numFmtId="0" fontId="12" fillId="0" borderId="1" xfId="0" applyFont="1" applyBorder="1" applyAlignment="1">
      <alignment horizontal="left" indent="1"/>
    </xf>
    <xf numFmtId="168" fontId="12" fillId="0" borderId="0" xfId="2" applyNumberFormat="1" applyFont="1"/>
    <xf numFmtId="168" fontId="12" fillId="0" borderId="1" xfId="2" applyNumberFormat="1" applyFont="1" applyBorder="1"/>
    <xf numFmtId="0" fontId="0" fillId="0" borderId="0" xfId="0" applyBorder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0" fillId="0" borderId="0" xfId="0" applyFont="1" applyAlignment="1">
      <alignment horizontal="left" indent="1"/>
    </xf>
    <xf numFmtId="0" fontId="12" fillId="0" borderId="0" xfId="0" applyFont="1" applyAlignment="1">
      <alignment horizontal="right"/>
    </xf>
    <xf numFmtId="2" fontId="12" fillId="0" borderId="0" xfId="0" applyNumberFormat="1" applyFont="1"/>
    <xf numFmtId="0" fontId="6" fillId="0" borderId="14" xfId="0" applyFont="1" applyBorder="1"/>
    <xf numFmtId="0" fontId="6" fillId="0" borderId="1" xfId="0" applyFont="1" applyBorder="1"/>
    <xf numFmtId="166" fontId="13" fillId="0" borderId="0" xfId="1" applyNumberFormat="1" applyFont="1"/>
    <xf numFmtId="166" fontId="6" fillId="0" borderId="0" xfId="0" applyNumberFormat="1" applyFont="1"/>
    <xf numFmtId="0" fontId="12" fillId="0" borderId="0" xfId="0" applyFont="1" applyBorder="1" applyAlignment="1">
      <alignment horizontal="right"/>
    </xf>
    <xf numFmtId="0" fontId="12" fillId="0" borderId="1" xfId="0" applyFont="1" applyBorder="1" applyAlignment="1">
      <alignment horizontal="right"/>
    </xf>
    <xf numFmtId="43" fontId="12" fillId="0" borderId="0" xfId="1" applyFont="1"/>
    <xf numFmtId="167" fontId="12" fillId="0" borderId="0" xfId="2" applyNumberFormat="1" applyFont="1"/>
    <xf numFmtId="167" fontId="12" fillId="0" borderId="1" xfId="2" applyNumberFormat="1" applyFont="1" applyBorder="1"/>
    <xf numFmtId="164" fontId="12" fillId="0" borderId="0" xfId="0" applyNumberFormat="1" applyFont="1"/>
    <xf numFmtId="0" fontId="12" fillId="0" borderId="0" xfId="0" applyFont="1" applyAlignment="1">
      <alignment horizontal="left"/>
    </xf>
    <xf numFmtId="9" fontId="12" fillId="0" borderId="0" xfId="0" applyNumberFormat="1" applyFont="1" applyAlignment="1">
      <alignment horizontal="center"/>
    </xf>
    <xf numFmtId="168" fontId="12" fillId="0" borderId="0" xfId="0" applyNumberFormat="1" applyFont="1"/>
    <xf numFmtId="168" fontId="12" fillId="0" borderId="1" xfId="0" applyNumberFormat="1" applyFont="1" applyBorder="1"/>
    <xf numFmtId="168" fontId="12" fillId="0" borderId="0" xfId="0" applyNumberFormat="1" applyFont="1" applyBorder="1"/>
    <xf numFmtId="168" fontId="12" fillId="0" borderId="3" xfId="0" applyNumberFormat="1" applyFont="1" applyBorder="1"/>
    <xf numFmtId="168" fontId="12" fillId="0" borderId="0" xfId="2" applyNumberFormat="1" applyFont="1" applyBorder="1"/>
    <xf numFmtId="168" fontId="6" fillId="0" borderId="3" xfId="0" applyNumberFormat="1" applyFont="1" applyBorder="1"/>
    <xf numFmtId="167" fontId="12" fillId="0" borderId="1" xfId="0" applyNumberFormat="1" applyFont="1" applyBorder="1"/>
    <xf numFmtId="167" fontId="12" fillId="0" borderId="3" xfId="0" applyNumberFormat="1" applyFont="1" applyBorder="1"/>
    <xf numFmtId="167" fontId="6" fillId="0" borderId="0" xfId="0" applyNumberFormat="1" applyFont="1"/>
    <xf numFmtId="44" fontId="12" fillId="0" borderId="0" xfId="0" applyNumberFormat="1" applyFont="1"/>
    <xf numFmtId="0" fontId="12" fillId="0" borderId="0" xfId="0" applyFont="1" applyAlignment="1">
      <alignment horizontal="left" indent="3"/>
    </xf>
    <xf numFmtId="168" fontId="6" fillId="0" borderId="3" xfId="2" applyNumberFormat="1" applyFont="1" applyBorder="1"/>
    <xf numFmtId="164" fontId="12" fillId="0" borderId="0" xfId="2" applyNumberFormat="1" applyFont="1"/>
    <xf numFmtId="0" fontId="2" fillId="0" borderId="0" xfId="0" applyFont="1"/>
    <xf numFmtId="166" fontId="2" fillId="0" borderId="0" xfId="1" applyNumberFormat="1" applyFont="1"/>
    <xf numFmtId="166" fontId="2" fillId="0" borderId="0" xfId="0" applyNumberFormat="1" applyFont="1"/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8" fontId="12" fillId="0" borderId="4" xfId="0" applyNumberFormat="1" applyFont="1" applyBorder="1" applyAlignment="1">
      <alignment vertical="center"/>
    </xf>
    <xf numFmtId="168" fontId="12" fillId="0" borderId="0" xfId="0" applyNumberFormat="1" applyFont="1" applyBorder="1" applyAlignment="1">
      <alignment vertical="center"/>
    </xf>
    <xf numFmtId="168" fontId="12" fillId="0" borderId="9" xfId="0" applyNumberFormat="1" applyFont="1" applyBorder="1" applyAlignment="1">
      <alignment vertical="center"/>
    </xf>
    <xf numFmtId="168" fontId="12" fillId="0" borderId="3" xfId="0" applyNumberFormat="1" applyFont="1" applyBorder="1" applyAlignment="1">
      <alignment vertical="center"/>
    </xf>
    <xf numFmtId="8" fontId="2" fillId="0" borderId="0" xfId="0" applyNumberFormat="1" applyFont="1"/>
    <xf numFmtId="0" fontId="1" fillId="0" borderId="1" xfId="0" applyFont="1" applyBorder="1"/>
    <xf numFmtId="0" fontId="0" fillId="0" borderId="15" xfId="0" applyBorder="1"/>
    <xf numFmtId="0" fontId="0" fillId="0" borderId="16" xfId="0" applyBorder="1"/>
    <xf numFmtId="0" fontId="1" fillId="0" borderId="16" xfId="0" applyFont="1" applyBorder="1"/>
    <xf numFmtId="0" fontId="0" fillId="0" borderId="17" xfId="0" applyBorder="1"/>
    <xf numFmtId="166" fontId="12" fillId="0" borderId="4" xfId="1" applyNumberFormat="1" applyFont="1" applyBorder="1"/>
    <xf numFmtId="0" fontId="0" fillId="0" borderId="18" xfId="0" applyBorder="1"/>
    <xf numFmtId="0" fontId="2" fillId="0" borderId="4" xfId="0" applyFont="1" applyBorder="1"/>
    <xf numFmtId="0" fontId="2" fillId="0" borderId="0" xfId="0" applyFont="1" applyBorder="1"/>
    <xf numFmtId="1" fontId="0" fillId="0" borderId="0" xfId="0" applyNumberFormat="1" applyBorder="1"/>
    <xf numFmtId="0" fontId="1" fillId="0" borderId="18" xfId="0" applyFont="1" applyBorder="1"/>
    <xf numFmtId="166" fontId="0" fillId="0" borderId="4" xfId="0" applyNumberFormat="1" applyBorder="1"/>
    <xf numFmtId="0" fontId="1" fillId="0" borderId="0" xfId="0" applyFont="1" applyBorder="1"/>
    <xf numFmtId="0" fontId="0" fillId="0" borderId="4" xfId="0" applyBorder="1"/>
    <xf numFmtId="166" fontId="6" fillId="0" borderId="19" xfId="0" applyNumberFormat="1" applyFont="1" applyBorder="1"/>
    <xf numFmtId="166" fontId="0" fillId="0" borderId="1" xfId="0" applyNumberFormat="1" applyBorder="1"/>
    <xf numFmtId="0" fontId="0" fillId="0" borderId="20" xfId="0" applyBorder="1"/>
    <xf numFmtId="0" fontId="6" fillId="0" borderId="0" xfId="0" applyFont="1" applyAlignment="1">
      <alignment horizontal="center"/>
    </xf>
    <xf numFmtId="165" fontId="6" fillId="0" borderId="0" xfId="3" applyNumberFormat="1" applyFont="1" applyAlignment="1">
      <alignment horizontal="center"/>
    </xf>
    <xf numFmtId="165" fontId="12" fillId="0" borderId="0" xfId="0" applyNumberFormat="1" applyFont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14" fontId="1" fillId="2" borderId="23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5" fillId="0" borderId="0" xfId="0" applyFont="1"/>
    <xf numFmtId="0" fontId="17" fillId="0" borderId="0" xfId="4" applyFont="1"/>
    <xf numFmtId="166" fontId="17" fillId="0" borderId="0" xfId="5" applyNumberFormat="1" applyFont="1"/>
    <xf numFmtId="166" fontId="17" fillId="0" borderId="1" xfId="5" applyNumberFormat="1" applyFont="1" applyBorder="1"/>
    <xf numFmtId="166" fontId="17" fillId="0" borderId="0" xfId="4" applyNumberFormat="1" applyFont="1"/>
    <xf numFmtId="0" fontId="1" fillId="0" borderId="0" xfId="0" quotePrefix="1" applyFont="1" applyAlignment="1">
      <alignment horizontal="center"/>
    </xf>
    <xf numFmtId="0" fontId="17" fillId="0" borderId="0" xfId="4" applyFont="1" applyFill="1"/>
    <xf numFmtId="166" fontId="1" fillId="0" borderId="0" xfId="6" applyNumberFormat="1" applyFont="1"/>
    <xf numFmtId="166" fontId="1" fillId="0" borderId="0" xfId="5" applyNumberFormat="1" applyFont="1" applyFill="1"/>
    <xf numFmtId="166" fontId="17" fillId="0" borderId="0" xfId="5" applyNumberFormat="1" applyFont="1" applyFill="1"/>
    <xf numFmtId="166" fontId="1" fillId="0" borderId="1" xfId="5" applyNumberFormat="1" applyFont="1" applyBorder="1"/>
    <xf numFmtId="165" fontId="1" fillId="0" borderId="0" xfId="7" applyNumberFormat="1" applyFont="1"/>
    <xf numFmtId="166" fontId="1" fillId="0" borderId="1" xfId="6" applyNumberFormat="1" applyFont="1" applyBorder="1"/>
    <xf numFmtId="166" fontId="1" fillId="0" borderId="0" xfId="0" applyNumberFormat="1" applyFont="1"/>
    <xf numFmtId="166" fontId="1" fillId="0" borderId="0" xfId="5" applyNumberFormat="1" applyFont="1"/>
    <xf numFmtId="166" fontId="1" fillId="0" borderId="1" xfId="0" applyNumberFormat="1" applyFont="1" applyBorder="1"/>
    <xf numFmtId="166" fontId="1" fillId="0" borderId="1" xfId="5" applyNumberFormat="1" applyFont="1" applyFill="1" applyBorder="1"/>
    <xf numFmtId="166" fontId="17" fillId="0" borderId="1" xfId="5" applyNumberFormat="1" applyFont="1" applyFill="1" applyBorder="1"/>
    <xf numFmtId="166" fontId="1" fillId="3" borderId="0" xfId="0" applyNumberFormat="1" applyFont="1" applyFill="1"/>
    <xf numFmtId="167" fontId="1" fillId="4" borderId="0" xfId="8" applyNumberFormat="1" applyFont="1" applyFill="1"/>
    <xf numFmtId="0" fontId="18" fillId="0" borderId="0" xfId="4" applyFont="1" applyBorder="1"/>
    <xf numFmtId="0" fontId="1" fillId="4" borderId="21" xfId="0" applyFont="1" applyFill="1" applyBorder="1" applyAlignment="1">
      <alignment horizontal="center"/>
    </xf>
    <xf numFmtId="0" fontId="12" fillId="0" borderId="0" xfId="14" applyFont="1"/>
    <xf numFmtId="0" fontId="19" fillId="0" borderId="0" xfId="14"/>
    <xf numFmtId="0" fontId="19" fillId="0" borderId="0" xfId="14" applyAlignment="1">
      <alignment horizontal="right"/>
    </xf>
    <xf numFmtId="0" fontId="1" fillId="4" borderId="22" xfId="0" applyFont="1" applyFill="1" applyBorder="1" applyAlignment="1">
      <alignment horizontal="center"/>
    </xf>
    <xf numFmtId="14" fontId="1" fillId="4" borderId="23" xfId="0" applyNumberFormat="1" applyFont="1" applyFill="1" applyBorder="1" applyAlignment="1">
      <alignment horizontal="center"/>
    </xf>
    <xf numFmtId="8" fontId="12" fillId="0" borderId="0" xfId="14" applyNumberFormat="1" applyFont="1"/>
    <xf numFmtId="0" fontId="19" fillId="0" borderId="0" xfId="14" applyBorder="1"/>
    <xf numFmtId="0" fontId="12" fillId="0" borderId="1" xfId="14" applyFont="1" applyBorder="1"/>
    <xf numFmtId="0" fontId="12" fillId="0" borderId="1" xfId="14" applyFont="1" applyBorder="1" applyAlignment="1">
      <alignment horizontal="center"/>
    </xf>
    <xf numFmtId="0" fontId="12" fillId="0" borderId="0" xfId="14" applyFont="1" applyAlignment="1">
      <alignment horizontal="fill"/>
    </xf>
    <xf numFmtId="0" fontId="19" fillId="0" borderId="0" xfId="14" applyBorder="1" applyAlignment="1">
      <alignment horizontal="fill"/>
    </xf>
    <xf numFmtId="10" fontId="12" fillId="0" borderId="0" xfId="14" applyNumberFormat="1" applyFont="1" applyProtection="1"/>
    <xf numFmtId="166" fontId="12" fillId="0" borderId="0" xfId="6" applyNumberFormat="1" applyFont="1"/>
    <xf numFmtId="7" fontId="12" fillId="0" borderId="0" xfId="14" applyNumberFormat="1" applyFont="1" applyProtection="1"/>
    <xf numFmtId="171" fontId="12" fillId="0" borderId="0" xfId="15" applyNumberFormat="1" applyFont="1" applyProtection="1"/>
    <xf numFmtId="5" fontId="19" fillId="0" borderId="0" xfId="14" applyNumberFormat="1" applyProtection="1"/>
    <xf numFmtId="5" fontId="12" fillId="0" borderId="0" xfId="14" applyNumberFormat="1" applyFont="1" applyProtection="1"/>
    <xf numFmtId="7" fontId="12" fillId="0" borderId="0" xfId="14" applyNumberFormat="1" applyFont="1"/>
    <xf numFmtId="7" fontId="19" fillId="0" borderId="0" xfId="14" applyNumberFormat="1"/>
    <xf numFmtId="37" fontId="12" fillId="0" borderId="1" xfId="14" applyNumberFormat="1" applyFont="1" applyBorder="1" applyAlignment="1" applyProtection="1">
      <alignment horizontal="fill"/>
    </xf>
    <xf numFmtId="43" fontId="19" fillId="0" borderId="0" xfId="5" applyFont="1"/>
    <xf numFmtId="43" fontId="19" fillId="0" borderId="0" xfId="14" applyNumberFormat="1"/>
    <xf numFmtId="165" fontId="12" fillId="0" borderId="0" xfId="14" applyNumberFormat="1" applyFont="1" applyProtection="1"/>
    <xf numFmtId="165" fontId="12" fillId="0" borderId="0" xfId="7" applyNumberFormat="1" applyFont="1" applyProtection="1"/>
    <xf numFmtId="37" fontId="12" fillId="0" borderId="0" xfId="14" applyNumberFormat="1" applyFont="1" applyProtection="1"/>
    <xf numFmtId="0" fontId="2" fillId="0" borderId="0" xfId="14" applyFont="1"/>
    <xf numFmtId="0" fontId="20" fillId="0" borderId="0" xfId="14" applyFont="1"/>
    <xf numFmtId="0" fontId="19" fillId="0" borderId="1" xfId="14" applyBorder="1"/>
    <xf numFmtId="172" fontId="19" fillId="0" borderId="0" xfId="14" applyNumberFormat="1" applyProtection="1"/>
    <xf numFmtId="173" fontId="19" fillId="0" borderId="0" xfId="14" applyNumberFormat="1" applyProtection="1"/>
    <xf numFmtId="0" fontId="19" fillId="0" borderId="0" xfId="14" applyBorder="1" applyAlignment="1">
      <alignment horizontal="center"/>
    </xf>
    <xf numFmtId="0" fontId="19" fillId="0" borderId="0" xfId="14" applyAlignment="1">
      <alignment horizontal="center"/>
    </xf>
    <xf numFmtId="0" fontId="19" fillId="0" borderId="1" xfId="14" applyBorder="1" applyAlignment="1">
      <alignment horizontal="center"/>
    </xf>
    <xf numFmtId="43" fontId="19" fillId="2" borderId="0" xfId="5" applyFont="1" applyFill="1"/>
    <xf numFmtId="10" fontId="19" fillId="5" borderId="0" xfId="14" applyNumberFormat="1" applyFill="1" applyProtection="1"/>
    <xf numFmtId="10" fontId="19" fillId="2" borderId="0" xfId="14" applyNumberFormat="1" applyFill="1" applyProtection="1"/>
    <xf numFmtId="5" fontId="19" fillId="2" borderId="0" xfId="14" applyNumberFormat="1" applyFill="1" applyProtection="1"/>
    <xf numFmtId="43" fontId="19" fillId="2" borderId="0" xfId="5" applyFont="1" applyFill="1" applyProtection="1"/>
    <xf numFmtId="43" fontId="19" fillId="0" borderId="0" xfId="5" applyFont="1" applyProtection="1"/>
    <xf numFmtId="5" fontId="19" fillId="5" borderId="0" xfId="14" applyNumberFormat="1" applyFill="1" applyProtection="1"/>
    <xf numFmtId="5" fontId="19" fillId="0" borderId="0" xfId="14" applyNumberFormat="1" applyAlignment="1" applyProtection="1">
      <alignment horizontal="right"/>
    </xf>
    <xf numFmtId="10" fontId="19" fillId="0" borderId="0" xfId="14" applyNumberFormat="1" applyProtection="1"/>
    <xf numFmtId="10" fontId="19" fillId="0" borderId="0" xfId="14" applyNumberFormat="1"/>
    <xf numFmtId="5" fontId="19" fillId="0" borderId="0" xfId="14" applyNumberFormat="1"/>
    <xf numFmtId="165" fontId="19" fillId="0" borderId="0" xfId="7" applyNumberFormat="1" applyFont="1"/>
    <xf numFmtId="5" fontId="19" fillId="0" borderId="1" xfId="14" applyNumberFormat="1" applyBorder="1"/>
    <xf numFmtId="165" fontId="19" fillId="0" borderId="1" xfId="7" applyNumberFormat="1" applyFont="1" applyBorder="1"/>
    <xf numFmtId="165" fontId="19" fillId="0" borderId="0" xfId="14" applyNumberFormat="1"/>
    <xf numFmtId="0" fontId="21" fillId="0" borderId="0" xfId="14" applyFont="1"/>
    <xf numFmtId="0" fontId="19" fillId="0" borderId="24" xfId="14" applyBorder="1"/>
    <xf numFmtId="0" fontId="19" fillId="0" borderId="25" xfId="14" applyBorder="1"/>
    <xf numFmtId="0" fontId="19" fillId="0" borderId="1" xfId="14" applyBorder="1" applyAlignment="1">
      <alignment horizontal="right"/>
    </xf>
    <xf numFmtId="43" fontId="12" fillId="4" borderId="0" xfId="1" applyNumberFormat="1" applyFont="1" applyFill="1"/>
    <xf numFmtId="9" fontId="2" fillId="0" borderId="0" xfId="3" applyFont="1"/>
    <xf numFmtId="166" fontId="1" fillId="0" borderId="0" xfId="1" applyNumberFormat="1" applyFont="1"/>
    <xf numFmtId="0" fontId="4" fillId="0" borderId="0" xfId="0" applyFont="1" applyBorder="1" applyAlignment="1">
      <alignment horizontal="center" wrapText="1"/>
    </xf>
    <xf numFmtId="168" fontId="0" fillId="0" borderId="1" xfId="2" applyNumberFormat="1" applyFont="1" applyBorder="1"/>
    <xf numFmtId="165" fontId="0" fillId="0" borderId="0" xfId="3" applyNumberFormat="1" applyFont="1" applyBorder="1"/>
    <xf numFmtId="2" fontId="12" fillId="0" borderId="0" xfId="0" applyNumberFormat="1" applyFont="1" applyBorder="1" applyAlignment="1">
      <alignment horizontal="center" vertical="center"/>
    </xf>
    <xf numFmtId="2" fontId="12" fillId="0" borderId="3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168" fontId="6" fillId="0" borderId="22" xfId="0" applyNumberFormat="1" applyFont="1" applyBorder="1" applyAlignment="1">
      <alignment vertical="center"/>
    </xf>
    <xf numFmtId="0" fontId="0" fillId="0" borderId="0" xfId="0" applyFont="1"/>
    <xf numFmtId="0" fontId="0" fillId="0" borderId="0" xfId="0" applyAlignment="1">
      <alignment horizontal="center" wrapText="1"/>
    </xf>
    <xf numFmtId="0" fontId="6" fillId="0" borderId="24" xfId="0" applyFont="1" applyBorder="1" applyAlignment="1">
      <alignment horizontal="center" vertical="center" wrapText="1"/>
    </xf>
    <xf numFmtId="168" fontId="6" fillId="0" borderId="27" xfId="0" applyNumberFormat="1" applyFont="1" applyBorder="1" applyAlignment="1">
      <alignment vertical="center"/>
    </xf>
    <xf numFmtId="0" fontId="11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9" fillId="0" borderId="0" xfId="0" applyFont="1" applyAlignment="1">
      <alignment horizontal="center" wrapText="1"/>
    </xf>
    <xf numFmtId="166" fontId="22" fillId="0" borderId="0" xfId="0" applyNumberFormat="1" applyFont="1"/>
    <xf numFmtId="166" fontId="22" fillId="0" borderId="1" xfId="0" applyNumberFormat="1" applyFont="1" applyBorder="1"/>
    <xf numFmtId="0" fontId="22" fillId="0" borderId="0" xfId="0" applyFont="1"/>
  </cellXfs>
  <cellStyles count="16">
    <cellStyle name="Comma" xfId="1" builtinId="3"/>
    <cellStyle name="Comma 2" xfId="5"/>
    <cellStyle name="Comma 3" xfId="6"/>
    <cellStyle name="Currency" xfId="2" builtinId="4"/>
    <cellStyle name="Currency 2" xfId="8"/>
    <cellStyle name="Currency 3" xfId="9"/>
    <cellStyle name="Currency0" xfId="10"/>
    <cellStyle name="Fixed" xfId="11"/>
    <cellStyle name="Normal" xfId="0" builtinId="0"/>
    <cellStyle name="Normal 2" xfId="12"/>
    <cellStyle name="Normal 3" xfId="13"/>
    <cellStyle name="Normal_BNDSIZ01 Template ver 2.0" xfId="14"/>
    <cellStyle name="Normal_Equivalence_drainage_taz2 ver 2" xfId="4"/>
    <cellStyle name="Percent" xfId="3" builtinId="5"/>
    <cellStyle name="Percent 2" xfId="7"/>
    <cellStyle name="Percent 3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tabSelected="1" zoomScale="90" zoomScaleNormal="90" workbookViewId="0">
      <selection activeCell="H6" sqref="H6"/>
    </sheetView>
  </sheetViews>
  <sheetFormatPr defaultColWidth="9.140625" defaultRowHeight="12.75" x14ac:dyDescent="0.2"/>
  <cols>
    <col min="1" max="1" width="7.85546875" style="5" customWidth="1"/>
    <col min="2" max="2" width="12.140625" style="5" customWidth="1"/>
    <col min="3" max="3" width="15.7109375" style="5" customWidth="1"/>
    <col min="4" max="4" width="13.85546875" style="5" customWidth="1"/>
    <col min="5" max="5" width="14.85546875" style="5" customWidth="1"/>
    <col min="6" max="6" width="13.7109375" style="5" customWidth="1"/>
    <col min="7" max="16384" width="9.140625" style="5"/>
  </cols>
  <sheetData>
    <row r="1" spans="1:9" ht="18" x14ac:dyDescent="0.25">
      <c r="A1" s="246" t="s">
        <v>61</v>
      </c>
      <c r="B1" s="246"/>
      <c r="C1" s="246"/>
      <c r="D1" s="246"/>
      <c r="E1" s="246"/>
      <c r="F1" s="246"/>
    </row>
    <row r="2" spans="1:9" ht="15.75" x14ac:dyDescent="0.25">
      <c r="A2" s="56"/>
      <c r="B2" s="56"/>
      <c r="C2" s="56"/>
      <c r="D2" s="56"/>
      <c r="E2" s="56"/>
      <c r="F2" s="56"/>
    </row>
    <row r="3" spans="1:9" ht="20.25" x14ac:dyDescent="0.3">
      <c r="A3" s="247" t="s">
        <v>142</v>
      </c>
      <c r="B3" s="247"/>
      <c r="C3" s="247"/>
      <c r="D3" s="247"/>
      <c r="E3" s="247"/>
      <c r="F3" s="247"/>
    </row>
    <row r="4" spans="1:9" ht="20.25" x14ac:dyDescent="0.3">
      <c r="A4" s="64"/>
      <c r="B4" s="64"/>
      <c r="C4" s="64"/>
      <c r="D4" s="64"/>
      <c r="E4" s="64"/>
      <c r="F4" s="64"/>
    </row>
    <row r="5" spans="1:9" ht="13.5" thickBot="1" x14ac:dyDescent="0.25"/>
    <row r="6" spans="1:9" ht="35.450000000000003" customHeight="1" thickTop="1" x14ac:dyDescent="0.25">
      <c r="A6" s="53"/>
      <c r="B6" s="17"/>
      <c r="C6" s="248" t="s">
        <v>103</v>
      </c>
      <c r="D6" s="249"/>
      <c r="E6" s="249"/>
      <c r="F6" s="250"/>
    </row>
    <row r="7" spans="1:9" ht="76.5" customHeight="1" x14ac:dyDescent="0.2">
      <c r="A7" s="126" t="s">
        <v>0</v>
      </c>
      <c r="B7" s="127" t="s">
        <v>50</v>
      </c>
      <c r="C7" s="244" t="s">
        <v>1</v>
      </c>
      <c r="D7" s="127" t="s">
        <v>2</v>
      </c>
      <c r="E7" s="127" t="s">
        <v>98</v>
      </c>
      <c r="F7" s="240" t="s">
        <v>104</v>
      </c>
    </row>
    <row r="8" spans="1:9" s="8" customFormat="1" ht="19.5" customHeight="1" x14ac:dyDescent="0.2">
      <c r="A8" s="54" t="s">
        <v>3</v>
      </c>
      <c r="B8" s="238">
        <v>1</v>
      </c>
      <c r="C8" s="128">
        <f>'A-1.1 Water Fee Calc Sum'!$B$48*B8</f>
        <v>2234.8718944987822</v>
      </c>
      <c r="D8" s="129">
        <f>'A-1.1 Water Fee Calc Sum'!$C$48*B8</f>
        <v>1631.8580492298968</v>
      </c>
      <c r="E8" s="129">
        <f>'A-1.1 Water Fee Calc Sum'!$D$48*B8</f>
        <v>704.9808196288966</v>
      </c>
      <c r="F8" s="241">
        <f t="shared" ref="F8:F15" si="0">+C8+D8+E8</f>
        <v>4571.7107633575761</v>
      </c>
      <c r="I8" s="69"/>
    </row>
    <row r="9" spans="1:9" s="8" customFormat="1" ht="19.5" customHeight="1" x14ac:dyDescent="0.2">
      <c r="A9" s="54" t="s">
        <v>4</v>
      </c>
      <c r="B9" s="238">
        <v>1.67</v>
      </c>
      <c r="C9" s="128">
        <f>+C$8*B9</f>
        <v>3732.2360638129662</v>
      </c>
      <c r="D9" s="129">
        <f>+D$8*B9</f>
        <v>2725.2029422139276</v>
      </c>
      <c r="E9" s="129">
        <f t="shared" ref="E9:E15" si="1">+E$8*B9</f>
        <v>1177.3179687802572</v>
      </c>
      <c r="F9" s="241">
        <f t="shared" si="0"/>
        <v>7634.756974807151</v>
      </c>
    </row>
    <row r="10" spans="1:9" s="8" customFormat="1" ht="19.5" customHeight="1" x14ac:dyDescent="0.2">
      <c r="A10" s="54" t="s">
        <v>5</v>
      </c>
      <c r="B10" s="238">
        <v>3.33</v>
      </c>
      <c r="C10" s="128">
        <f t="shared" ref="C10:C15" si="2">+C$8*B10</f>
        <v>7442.1234086809454</v>
      </c>
      <c r="D10" s="129">
        <f t="shared" ref="D10:D15" si="3">+D$8*B10</f>
        <v>5434.0873039355565</v>
      </c>
      <c r="E10" s="129">
        <f t="shared" si="1"/>
        <v>2347.5861293642256</v>
      </c>
      <c r="F10" s="241">
        <f t="shared" si="0"/>
        <v>15223.796841980729</v>
      </c>
    </row>
    <row r="11" spans="1:9" s="8" customFormat="1" ht="19.5" customHeight="1" x14ac:dyDescent="0.2">
      <c r="A11" s="54" t="s">
        <v>6</v>
      </c>
      <c r="B11" s="238">
        <v>5.33</v>
      </c>
      <c r="C11" s="128">
        <f t="shared" si="2"/>
        <v>11911.86719767851</v>
      </c>
      <c r="D11" s="129">
        <f t="shared" si="3"/>
        <v>8697.8034023953496</v>
      </c>
      <c r="E11" s="129">
        <f t="shared" si="1"/>
        <v>3757.5477686220188</v>
      </c>
      <c r="F11" s="241">
        <f t="shared" si="0"/>
        <v>24367.218368695878</v>
      </c>
    </row>
    <row r="12" spans="1:9" s="8" customFormat="1" ht="19.5" customHeight="1" x14ac:dyDescent="0.2">
      <c r="A12" s="54" t="s">
        <v>7</v>
      </c>
      <c r="B12" s="238">
        <v>10</v>
      </c>
      <c r="C12" s="128">
        <f t="shared" si="2"/>
        <v>22348.718944987821</v>
      </c>
      <c r="D12" s="129">
        <f t="shared" si="3"/>
        <v>16318.580492298968</v>
      </c>
      <c r="E12" s="129">
        <f t="shared" si="1"/>
        <v>7049.8081962889664</v>
      </c>
      <c r="F12" s="241">
        <f t="shared" si="0"/>
        <v>45717.107633575753</v>
      </c>
    </row>
    <row r="13" spans="1:9" s="8" customFormat="1" ht="19.5" customHeight="1" x14ac:dyDescent="0.2">
      <c r="A13" s="54" t="s">
        <v>8</v>
      </c>
      <c r="B13" s="238">
        <v>16.670000000000002</v>
      </c>
      <c r="C13" s="128">
        <f t="shared" si="2"/>
        <v>37255.314481294707</v>
      </c>
      <c r="D13" s="129">
        <f t="shared" si="3"/>
        <v>27203.073680662383</v>
      </c>
      <c r="E13" s="129">
        <f t="shared" si="1"/>
        <v>11752.030263213708</v>
      </c>
      <c r="F13" s="241">
        <f t="shared" si="0"/>
        <v>76210.418425170792</v>
      </c>
    </row>
    <row r="14" spans="1:9" s="8" customFormat="1" ht="19.5" customHeight="1" x14ac:dyDescent="0.2">
      <c r="A14" s="54" t="s">
        <v>9</v>
      </c>
      <c r="B14" s="238">
        <v>33.33</v>
      </c>
      <c r="C14" s="128">
        <f t="shared" si="2"/>
        <v>74488.280243644404</v>
      </c>
      <c r="D14" s="129">
        <f t="shared" si="3"/>
        <v>54389.82878083246</v>
      </c>
      <c r="E14" s="129">
        <f t="shared" si="1"/>
        <v>23497.010718231122</v>
      </c>
      <c r="F14" s="241">
        <f t="shared" si="0"/>
        <v>152375.11974270799</v>
      </c>
    </row>
    <row r="15" spans="1:9" s="8" customFormat="1" ht="19.5" customHeight="1" thickBot="1" x14ac:dyDescent="0.25">
      <c r="A15" s="55" t="s">
        <v>10</v>
      </c>
      <c r="B15" s="239">
        <v>53.33</v>
      </c>
      <c r="C15" s="130">
        <f t="shared" si="2"/>
        <v>119185.71813362006</v>
      </c>
      <c r="D15" s="131">
        <f t="shared" si="3"/>
        <v>87026.989765430393</v>
      </c>
      <c r="E15" s="131">
        <f t="shared" si="1"/>
        <v>37596.627110809051</v>
      </c>
      <c r="F15" s="245">
        <f t="shared" si="0"/>
        <v>243809.3350098595</v>
      </c>
    </row>
    <row r="16" spans="1:9" ht="13.5" thickTop="1" x14ac:dyDescent="0.2"/>
    <row r="17" spans="1:6" x14ac:dyDescent="0.2">
      <c r="A17" s="7"/>
    </row>
    <row r="18" spans="1:6" x14ac:dyDescent="0.2">
      <c r="A18" s="16"/>
    </row>
    <row r="22" spans="1:6" x14ac:dyDescent="0.2">
      <c r="C22" s="6"/>
    </row>
    <row r="23" spans="1:6" x14ac:dyDescent="0.2">
      <c r="D23" s="52"/>
      <c r="E23" s="52"/>
      <c r="F23" s="52"/>
    </row>
  </sheetData>
  <mergeCells count="3">
    <mergeCell ref="A1:F1"/>
    <mergeCell ref="A3:F3"/>
    <mergeCell ref="C6:F6"/>
  </mergeCells>
  <phoneticPr fontId="2" type="noConversion"/>
  <printOptions horizontalCentered="1"/>
  <pageMargins left="0.75" right="0.75" top="2" bottom="1" header="1" footer="0.5"/>
  <pageSetup orientation="portrait" r:id="rId1"/>
  <headerFooter alignWithMargins="0">
    <oddFooter>&amp;L&amp;Z&amp;F &amp;A&amp;R&amp;T&amp;D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opLeftCell="A19" workbookViewId="0">
      <selection sqref="A1:E1"/>
    </sheetView>
  </sheetViews>
  <sheetFormatPr defaultRowHeight="12.75" x14ac:dyDescent="0.2"/>
  <cols>
    <col min="1" max="1" width="57.5703125" bestFit="1" customWidth="1"/>
    <col min="2" max="2" width="7.140625" bestFit="1" customWidth="1"/>
    <col min="3" max="3" width="9" bestFit="1" customWidth="1"/>
    <col min="4" max="4" width="10.140625" customWidth="1"/>
    <col min="5" max="5" width="5.140625" bestFit="1" customWidth="1"/>
  </cols>
  <sheetData>
    <row r="1" spans="1:5" ht="18" x14ac:dyDescent="0.25">
      <c r="A1" s="251" t="s">
        <v>87</v>
      </c>
      <c r="B1" s="251"/>
      <c r="C1" s="251"/>
      <c r="D1" s="251"/>
      <c r="E1" s="251"/>
    </row>
    <row r="2" spans="1:5" ht="15.75" x14ac:dyDescent="0.25">
      <c r="A2" s="47"/>
      <c r="D2" s="61"/>
    </row>
    <row r="3" spans="1:5" ht="20.25" x14ac:dyDescent="0.3">
      <c r="A3" s="252" t="s">
        <v>141</v>
      </c>
      <c r="B3" s="252"/>
      <c r="C3" s="252"/>
      <c r="D3" s="252"/>
      <c r="E3" s="252"/>
    </row>
    <row r="5" spans="1:5" x14ac:dyDescent="0.2">
      <c r="A5" s="3" t="s">
        <v>97</v>
      </c>
      <c r="D5" s="31" t="s">
        <v>100</v>
      </c>
      <c r="E5" s="45" t="s">
        <v>122</v>
      </c>
    </row>
    <row r="6" spans="1:5" x14ac:dyDescent="0.2">
      <c r="A6" s="15" t="s">
        <v>101</v>
      </c>
      <c r="D6" s="20">
        <v>450000</v>
      </c>
      <c r="E6" s="20">
        <f>+D6/5280</f>
        <v>85.227272727272734</v>
      </c>
    </row>
    <row r="7" spans="1:5" x14ac:dyDescent="0.2">
      <c r="A7" s="15" t="s">
        <v>105</v>
      </c>
      <c r="C7" s="32">
        <v>0.66666666665999996</v>
      </c>
      <c r="D7" s="20">
        <f>+D6*C7</f>
        <v>299999.99999699998</v>
      </c>
      <c r="E7" s="20">
        <f>+D7/5280</f>
        <v>56.818181817613635</v>
      </c>
    </row>
    <row r="8" spans="1:5" x14ac:dyDescent="0.2">
      <c r="A8" s="15" t="s">
        <v>106</v>
      </c>
      <c r="C8" s="32">
        <v>0.33333333333300003</v>
      </c>
      <c r="D8" s="20">
        <f>+D6*C8</f>
        <v>149999.99999985</v>
      </c>
      <c r="E8" s="20">
        <f>+D8/5280</f>
        <v>28.409090909062499</v>
      </c>
    </row>
    <row r="9" spans="1:5" s="52" customFormat="1" x14ac:dyDescent="0.2">
      <c r="A9" s="15"/>
      <c r="C9" s="32"/>
      <c r="D9" s="20"/>
      <c r="E9" s="20"/>
    </row>
    <row r="10" spans="1:5" s="52" customFormat="1" x14ac:dyDescent="0.2">
      <c r="A10" s="15"/>
      <c r="C10" s="32"/>
      <c r="D10" s="20"/>
      <c r="E10" s="20"/>
    </row>
    <row r="12" spans="1:5" ht="27" customHeight="1" x14ac:dyDescent="0.2">
      <c r="A12" s="3" t="s">
        <v>123</v>
      </c>
      <c r="B12" t="s">
        <v>109</v>
      </c>
      <c r="C12" s="243" t="s">
        <v>111</v>
      </c>
      <c r="D12" s="10" t="s">
        <v>114</v>
      </c>
    </row>
    <row r="13" spans="1:5" x14ac:dyDescent="0.2">
      <c r="A13" s="27" t="s">
        <v>116</v>
      </c>
      <c r="B13" s="35">
        <v>1000</v>
      </c>
      <c r="C13" s="36">
        <v>18</v>
      </c>
      <c r="D13" s="37">
        <f>+B13*C13</f>
        <v>18000</v>
      </c>
      <c r="E13" s="5"/>
    </row>
    <row r="14" spans="1:5" x14ac:dyDescent="0.2">
      <c r="A14" s="12" t="s">
        <v>110</v>
      </c>
      <c r="B14" s="25">
        <v>3</v>
      </c>
      <c r="C14" s="20">
        <v>1500</v>
      </c>
      <c r="D14" s="37">
        <f>+B14*C14</f>
        <v>4500</v>
      </c>
    </row>
    <row r="15" spans="1:5" x14ac:dyDescent="0.2">
      <c r="A15" s="12" t="s">
        <v>112</v>
      </c>
      <c r="B15" s="25">
        <v>3</v>
      </c>
      <c r="C15" s="20">
        <v>3500</v>
      </c>
      <c r="D15" s="37">
        <f>+B15*C15</f>
        <v>10500</v>
      </c>
    </row>
    <row r="16" spans="1:5" x14ac:dyDescent="0.2">
      <c r="A16" s="12" t="s">
        <v>113</v>
      </c>
      <c r="B16" s="38">
        <v>1</v>
      </c>
      <c r="C16" s="39">
        <v>3000</v>
      </c>
      <c r="D16" s="40">
        <f>+B16*C16</f>
        <v>3000</v>
      </c>
    </row>
    <row r="17" spans="1:5" x14ac:dyDescent="0.2">
      <c r="A17" s="12"/>
      <c r="B17" s="25"/>
      <c r="D17" s="37">
        <f>+D13+D14+D15+D16</f>
        <v>36000</v>
      </c>
    </row>
    <row r="18" spans="1:5" x14ac:dyDescent="0.2">
      <c r="A18" s="41" t="s">
        <v>118</v>
      </c>
      <c r="B18" s="21"/>
      <c r="D18" s="51">
        <f>1.15*D17/1000</f>
        <v>41.4</v>
      </c>
    </row>
    <row r="19" spans="1:5" s="52" customFormat="1" x14ac:dyDescent="0.2">
      <c r="A19" s="12"/>
      <c r="B19" s="21"/>
      <c r="C19" s="41"/>
      <c r="D19" s="51"/>
    </row>
    <row r="21" spans="1:5" ht="32.450000000000003" customHeight="1" x14ac:dyDescent="0.2">
      <c r="A21" s="3" t="s">
        <v>107</v>
      </c>
      <c r="B21" t="s">
        <v>109</v>
      </c>
      <c r="C21" s="243" t="s">
        <v>111</v>
      </c>
      <c r="D21" s="10" t="s">
        <v>114</v>
      </c>
    </row>
    <row r="22" spans="1:5" x14ac:dyDescent="0.2">
      <c r="A22" s="27" t="s">
        <v>108</v>
      </c>
      <c r="B22" s="35">
        <v>1000</v>
      </c>
      <c r="C22" s="36">
        <v>30</v>
      </c>
      <c r="D22" s="37">
        <f>+B22*C22</f>
        <v>30000</v>
      </c>
      <c r="E22" s="5"/>
    </row>
    <row r="23" spans="1:5" x14ac:dyDescent="0.2">
      <c r="A23" s="12" t="s">
        <v>110</v>
      </c>
      <c r="B23" s="25">
        <v>3</v>
      </c>
      <c r="C23" s="20">
        <v>2500</v>
      </c>
      <c r="D23" s="37">
        <f>+B23*C23</f>
        <v>7500</v>
      </c>
    </row>
    <row r="24" spans="1:5" x14ac:dyDescent="0.2">
      <c r="A24" s="12" t="s">
        <v>112</v>
      </c>
      <c r="B24" s="25">
        <v>3</v>
      </c>
      <c r="C24" s="20">
        <v>3500</v>
      </c>
      <c r="D24" s="37">
        <f>+B24*C24</f>
        <v>10500</v>
      </c>
    </row>
    <row r="25" spans="1:5" x14ac:dyDescent="0.2">
      <c r="A25" s="12" t="s">
        <v>113</v>
      </c>
      <c r="B25" s="38">
        <v>1</v>
      </c>
      <c r="C25" s="39">
        <v>3000</v>
      </c>
      <c r="D25" s="40">
        <f>+B25*C25</f>
        <v>3000</v>
      </c>
    </row>
    <row r="26" spans="1:5" x14ac:dyDescent="0.2">
      <c r="A26" s="12"/>
      <c r="B26" s="25"/>
      <c r="D26" s="37">
        <f>+D22+D23+D24+D25</f>
        <v>51000</v>
      </c>
    </row>
    <row r="27" spans="1:5" x14ac:dyDescent="0.2">
      <c r="A27" s="41" t="s">
        <v>118</v>
      </c>
      <c r="D27" s="51">
        <f>1.15*D26/1000</f>
        <v>58.649999999999991</v>
      </c>
    </row>
    <row r="28" spans="1:5" s="52" customFormat="1" x14ac:dyDescent="0.2">
      <c r="C28" s="41"/>
      <c r="D28" s="51"/>
    </row>
    <row r="30" spans="1:5" ht="32.450000000000003" customHeight="1" x14ac:dyDescent="0.2">
      <c r="A30" s="3" t="s">
        <v>124</v>
      </c>
      <c r="B30" t="s">
        <v>109</v>
      </c>
      <c r="C30" s="243" t="s">
        <v>111</v>
      </c>
      <c r="D30" s="10" t="s">
        <v>114</v>
      </c>
    </row>
    <row r="31" spans="1:5" x14ac:dyDescent="0.2">
      <c r="A31" s="27" t="s">
        <v>117</v>
      </c>
      <c r="B31" s="35">
        <v>1000</v>
      </c>
      <c r="C31" s="36">
        <v>46</v>
      </c>
      <c r="D31" s="37">
        <f>+B31*C31</f>
        <v>46000</v>
      </c>
    </row>
    <row r="32" spans="1:5" x14ac:dyDescent="0.2">
      <c r="A32" s="12" t="s">
        <v>115</v>
      </c>
      <c r="B32" s="25">
        <v>3</v>
      </c>
      <c r="C32" s="20">
        <v>3000</v>
      </c>
      <c r="D32" s="37">
        <f>+B32*C32</f>
        <v>9000</v>
      </c>
    </row>
    <row r="33" spans="1:4" x14ac:dyDescent="0.2">
      <c r="A33" s="12" t="s">
        <v>112</v>
      </c>
      <c r="B33" s="25">
        <v>3</v>
      </c>
      <c r="C33" s="20">
        <v>3500</v>
      </c>
      <c r="D33" s="37">
        <f>+B33*C33</f>
        <v>10500</v>
      </c>
    </row>
    <row r="34" spans="1:4" x14ac:dyDescent="0.2">
      <c r="A34" s="12" t="s">
        <v>113</v>
      </c>
      <c r="B34" s="38">
        <v>1</v>
      </c>
      <c r="C34" s="39">
        <v>3000</v>
      </c>
      <c r="D34" s="40">
        <f>+B34*C34</f>
        <v>3000</v>
      </c>
    </row>
    <row r="35" spans="1:4" x14ac:dyDescent="0.2">
      <c r="A35" s="12"/>
      <c r="B35" s="25"/>
      <c r="D35" s="37">
        <f>+D31+D32+D33+D34</f>
        <v>68500</v>
      </c>
    </row>
    <row r="36" spans="1:4" x14ac:dyDescent="0.2">
      <c r="A36" s="41" t="s">
        <v>121</v>
      </c>
      <c r="B36" s="21"/>
      <c r="D36" s="51">
        <f>1.2*D35/1000</f>
        <v>82.2</v>
      </c>
    </row>
    <row r="37" spans="1:4" x14ac:dyDescent="0.2">
      <c r="A37" s="21"/>
      <c r="C37" s="10"/>
      <c r="D37" s="19"/>
    </row>
    <row r="38" spans="1:4" x14ac:dyDescent="0.2">
      <c r="A38" s="42" t="s">
        <v>127</v>
      </c>
      <c r="C38" s="9"/>
      <c r="D38" s="2">
        <f>0.02+0.04+0.04</f>
        <v>0.1</v>
      </c>
    </row>
    <row r="39" spans="1:4" x14ac:dyDescent="0.2">
      <c r="A39" s="85" t="s">
        <v>203</v>
      </c>
      <c r="C39" s="9"/>
      <c r="D39" s="18"/>
    </row>
    <row r="40" spans="1:4" x14ac:dyDescent="0.2">
      <c r="A40" s="14"/>
      <c r="C40" s="9"/>
      <c r="D40" s="18"/>
    </row>
    <row r="41" spans="1:4" x14ac:dyDescent="0.2">
      <c r="A41" s="14"/>
      <c r="C41" s="9"/>
      <c r="D41" s="18"/>
    </row>
    <row r="42" spans="1:4" x14ac:dyDescent="0.2">
      <c r="A42" s="14"/>
      <c r="C42" s="9"/>
      <c r="D42" s="18"/>
    </row>
  </sheetData>
  <mergeCells count="2">
    <mergeCell ref="A3:E3"/>
    <mergeCell ref="A1:E1"/>
  </mergeCells>
  <pageMargins left="0.7" right="0.7" top="0.75" bottom="0.75" header="0.3" footer="0.3"/>
  <pageSetup orientation="portrait" horizontalDpi="0" verticalDpi="0" r:id="rId1"/>
  <headerFooter>
    <oddFooter>&amp;L&amp;Z&amp;F&amp;A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opLeftCell="A21" zoomScaleNormal="100" workbookViewId="0">
      <selection activeCell="A21" sqref="A21"/>
    </sheetView>
  </sheetViews>
  <sheetFormatPr defaultRowHeight="12.75" x14ac:dyDescent="0.2"/>
  <cols>
    <col min="1" max="1" width="26.28515625" customWidth="1"/>
    <col min="2" max="2" width="12.5703125" customWidth="1"/>
    <col min="3" max="3" width="15" customWidth="1"/>
    <col min="4" max="4" width="14.7109375" customWidth="1"/>
    <col min="5" max="5" width="6" customWidth="1"/>
    <col min="6" max="6" width="10.28515625" customWidth="1"/>
  </cols>
  <sheetData>
    <row r="1" spans="1:6" hidden="1" x14ac:dyDescent="0.2">
      <c r="C1" s="20"/>
      <c r="D1" s="20"/>
    </row>
    <row r="2" spans="1:6" hidden="1" x14ac:dyDescent="0.2">
      <c r="C2" s="20"/>
      <c r="D2" s="20"/>
    </row>
    <row r="3" spans="1:6" ht="15.75" hidden="1" x14ac:dyDescent="0.25">
      <c r="A3" s="253" t="s">
        <v>148</v>
      </c>
      <c r="B3" s="253"/>
      <c r="C3" s="253"/>
      <c r="D3" s="253"/>
      <c r="E3" s="253"/>
      <c r="F3" s="253"/>
    </row>
    <row r="4" spans="1:6" ht="15.75" hidden="1" x14ac:dyDescent="0.25">
      <c r="A4" s="11"/>
      <c r="B4" s="11"/>
      <c r="C4" s="11"/>
      <c r="D4" s="20"/>
    </row>
    <row r="5" spans="1:6" ht="54" hidden="1" customHeight="1" x14ac:dyDescent="0.3">
      <c r="A5" s="256" t="s">
        <v>136</v>
      </c>
      <c r="B5" s="256"/>
      <c r="C5" s="256"/>
      <c r="D5" s="256"/>
      <c r="E5" s="256"/>
      <c r="F5" s="256"/>
    </row>
    <row r="6" spans="1:6" hidden="1" x14ac:dyDescent="0.2">
      <c r="A6" s="3"/>
      <c r="B6" s="3"/>
      <c r="C6" s="3"/>
      <c r="D6" s="20"/>
    </row>
    <row r="7" spans="1:6" hidden="1" x14ac:dyDescent="0.2">
      <c r="C7" s="24"/>
      <c r="D7" s="20"/>
    </row>
    <row r="8" spans="1:6" hidden="1" x14ac:dyDescent="0.2">
      <c r="A8" s="4" t="s">
        <v>130</v>
      </c>
      <c r="D8" s="18">
        <v>4436000</v>
      </c>
    </row>
    <row r="9" spans="1:6" hidden="1" x14ac:dyDescent="0.2">
      <c r="A9" s="12" t="s">
        <v>131</v>
      </c>
      <c r="B9" s="2"/>
      <c r="D9" s="48">
        <v>5026000</v>
      </c>
    </row>
    <row r="10" spans="1:6" hidden="1" x14ac:dyDescent="0.2">
      <c r="A10" s="59" t="s">
        <v>139</v>
      </c>
      <c r="B10" s="58"/>
      <c r="D10" s="18">
        <f>+D8+D9</f>
        <v>9462000</v>
      </c>
    </row>
    <row r="11" spans="1:6" hidden="1" x14ac:dyDescent="0.2">
      <c r="B11" s="2"/>
      <c r="D11" s="24"/>
    </row>
    <row r="12" spans="1:6" ht="13.5" hidden="1" thickBot="1" x14ac:dyDescent="0.25">
      <c r="A12" s="14" t="s">
        <v>132</v>
      </c>
      <c r="C12" s="68">
        <v>0.373</v>
      </c>
      <c r="D12" s="66">
        <f>+C12*D10</f>
        <v>3529326</v>
      </c>
    </row>
    <row r="13" spans="1:6" ht="13.5" hidden="1" thickTop="1" x14ac:dyDescent="0.2">
      <c r="A13" s="14"/>
      <c r="B13" s="2"/>
      <c r="D13" s="49"/>
    </row>
    <row r="14" spans="1:6" hidden="1" x14ac:dyDescent="0.2">
      <c r="B14" s="2"/>
      <c r="D14" s="24"/>
    </row>
    <row r="15" spans="1:6" hidden="1" x14ac:dyDescent="0.2">
      <c r="A15" s="15" t="s">
        <v>129</v>
      </c>
      <c r="B15" s="33"/>
      <c r="D15" s="50">
        <v>10400</v>
      </c>
    </row>
    <row r="16" spans="1:6" ht="13.5" hidden="1" thickBot="1" x14ac:dyDescent="0.25">
      <c r="B16" s="34"/>
      <c r="D16" s="34"/>
    </row>
    <row r="17" spans="1:6" ht="16.5" hidden="1" thickBot="1" x14ac:dyDescent="0.3">
      <c r="A17" s="47" t="s">
        <v>138</v>
      </c>
      <c r="E17" s="67">
        <f>ROUND(+D12/D15,-1)</f>
        <v>340</v>
      </c>
    </row>
    <row r="18" spans="1:6" hidden="1" x14ac:dyDescent="0.2"/>
    <row r="19" spans="1:6" ht="26.25" hidden="1" customHeight="1" x14ac:dyDescent="0.2">
      <c r="A19" s="255" t="s">
        <v>137</v>
      </c>
      <c r="B19" s="255"/>
      <c r="C19" s="255"/>
      <c r="D19" s="255"/>
      <c r="E19" s="255"/>
    </row>
    <row r="20" spans="1:6" hidden="1" x14ac:dyDescent="0.2"/>
    <row r="22" spans="1:6" x14ac:dyDescent="0.2">
      <c r="E22" s="20"/>
    </row>
    <row r="23" spans="1:6" ht="15.75" x14ac:dyDescent="0.25">
      <c r="A23" s="253" t="s">
        <v>148</v>
      </c>
      <c r="B23" s="253"/>
      <c r="C23" s="253"/>
      <c r="D23" s="253"/>
      <c r="E23" s="253"/>
      <c r="F23" s="253"/>
    </row>
    <row r="24" spans="1:6" ht="15.75" x14ac:dyDescent="0.25">
      <c r="A24" s="11"/>
      <c r="B24" s="11"/>
      <c r="C24" s="11"/>
      <c r="D24" s="20"/>
      <c r="E24" s="52"/>
      <c r="F24" s="52"/>
    </row>
    <row r="25" spans="1:6" ht="20.25" x14ac:dyDescent="0.3">
      <c r="A25" s="256" t="s">
        <v>218</v>
      </c>
      <c r="B25" s="256"/>
      <c r="C25" s="256"/>
      <c r="D25" s="256"/>
      <c r="E25" s="256"/>
      <c r="F25" s="256"/>
    </row>
    <row r="27" spans="1:6" x14ac:dyDescent="0.2">
      <c r="B27" s="45" t="s">
        <v>95</v>
      </c>
      <c r="C27" s="45" t="s">
        <v>152</v>
      </c>
      <c r="D27" s="45" t="s">
        <v>150</v>
      </c>
      <c r="E27" s="45"/>
      <c r="F27" s="45"/>
    </row>
    <row r="28" spans="1:6" x14ac:dyDescent="0.2">
      <c r="A28" s="3" t="s">
        <v>149</v>
      </c>
      <c r="B28" s="18">
        <v>250000</v>
      </c>
      <c r="C28">
        <v>10</v>
      </c>
      <c r="D28" s="18">
        <f>+B28/C28*0.5</f>
        <v>12500</v>
      </c>
      <c r="F28" s="19">
        <f>+D28</f>
        <v>12500</v>
      </c>
    </row>
    <row r="29" spans="1:6" x14ac:dyDescent="0.2">
      <c r="A29" s="52" t="s">
        <v>151</v>
      </c>
    </row>
    <row r="30" spans="1:6" x14ac:dyDescent="0.2">
      <c r="A30" s="52" t="s">
        <v>201</v>
      </c>
      <c r="B30" s="18">
        <v>200000</v>
      </c>
      <c r="C30">
        <v>10</v>
      </c>
      <c r="D30" s="18">
        <f>+B30/C30/4</f>
        <v>5000</v>
      </c>
      <c r="F30" s="19">
        <f>+D30</f>
        <v>5000</v>
      </c>
    </row>
    <row r="31" spans="1:6" x14ac:dyDescent="0.2">
      <c r="A31" s="3" t="s">
        <v>153</v>
      </c>
    </row>
    <row r="32" spans="1:6" x14ac:dyDescent="0.2">
      <c r="A32" s="52" t="s">
        <v>188</v>
      </c>
      <c r="B32" s="18">
        <v>175000</v>
      </c>
      <c r="C32" s="88" t="s">
        <v>189</v>
      </c>
      <c r="D32" s="18">
        <f>+B32/8</f>
        <v>21875</v>
      </c>
      <c r="E32" s="2">
        <v>0.5</v>
      </c>
      <c r="F32" s="19">
        <f>+E32*B32</f>
        <v>87500</v>
      </c>
    </row>
    <row r="33" spans="1:6" x14ac:dyDescent="0.2">
      <c r="A33" s="52" t="s">
        <v>191</v>
      </c>
      <c r="B33" s="18">
        <v>150000</v>
      </c>
      <c r="C33" s="10" t="s">
        <v>190</v>
      </c>
      <c r="D33" s="18">
        <f>+B33/4</f>
        <v>37500</v>
      </c>
      <c r="E33" s="2">
        <v>0.25</v>
      </c>
      <c r="F33" s="19">
        <f>+E33*B33</f>
        <v>37500</v>
      </c>
    </row>
    <row r="34" spans="1:6" x14ac:dyDescent="0.2">
      <c r="A34" s="52" t="s">
        <v>192</v>
      </c>
      <c r="D34" s="18">
        <v>10000</v>
      </c>
      <c r="F34" s="19">
        <f>+D34</f>
        <v>10000</v>
      </c>
    </row>
    <row r="35" spans="1:6" x14ac:dyDescent="0.2">
      <c r="A35" s="52" t="s">
        <v>154</v>
      </c>
      <c r="D35" s="48">
        <v>5000</v>
      </c>
      <c r="F35" s="22">
        <f>+D35</f>
        <v>5000</v>
      </c>
    </row>
    <row r="37" spans="1:6" x14ac:dyDescent="0.2">
      <c r="B37" s="52" t="s">
        <v>155</v>
      </c>
      <c r="D37" s="19">
        <f>SUM(D28:D35)</f>
        <v>91875</v>
      </c>
      <c r="F37" s="19">
        <f>SUM(F28:F35)</f>
        <v>157500</v>
      </c>
    </row>
    <row r="38" spans="1:6" x14ac:dyDescent="0.2">
      <c r="F38" s="52"/>
    </row>
    <row r="39" spans="1:6" x14ac:dyDescent="0.2">
      <c r="B39" s="52" t="s">
        <v>156</v>
      </c>
      <c r="D39">
        <v>400</v>
      </c>
      <c r="F39" s="52">
        <v>400</v>
      </c>
    </row>
    <row r="40" spans="1:6" ht="13.5" thickBot="1" x14ac:dyDescent="0.25">
      <c r="F40" s="52"/>
    </row>
    <row r="41" spans="1:6" ht="16.5" thickBot="1" x14ac:dyDescent="0.3">
      <c r="B41" s="52" t="s">
        <v>157</v>
      </c>
      <c r="D41" s="67">
        <f>ROUND(+D37/D39,-1)</f>
        <v>230</v>
      </c>
      <c r="F41" s="67">
        <f>ROUND(+F37/F39,-1)</f>
        <v>390</v>
      </c>
    </row>
    <row r="43" spans="1:6" x14ac:dyDescent="0.2">
      <c r="D43" s="89">
        <f>+D41/3180</f>
        <v>7.2327044025157231E-2</v>
      </c>
      <c r="F43" s="89">
        <f>+F41/3180</f>
        <v>0.12264150943396226</v>
      </c>
    </row>
    <row r="45" spans="1:6" x14ac:dyDescent="0.2">
      <c r="A45" s="3" t="s">
        <v>202</v>
      </c>
    </row>
    <row r="47" spans="1:6" x14ac:dyDescent="0.2">
      <c r="B47" s="86">
        <v>2008</v>
      </c>
      <c r="C47" s="86">
        <v>2009</v>
      </c>
      <c r="D47" s="86">
        <v>2010</v>
      </c>
    </row>
    <row r="48" spans="1:6" s="52" customFormat="1" x14ac:dyDescent="0.2">
      <c r="A48" s="79" t="s">
        <v>219</v>
      </c>
      <c r="B48" s="93"/>
      <c r="C48" s="94">
        <v>285628</v>
      </c>
      <c r="D48" s="94">
        <v>401333</v>
      </c>
    </row>
    <row r="49" spans="1:4" s="52" customFormat="1" x14ac:dyDescent="0.2">
      <c r="B49" s="93"/>
      <c r="C49" s="93"/>
      <c r="D49" s="93"/>
    </row>
    <row r="50" spans="1:4" s="52" customFormat="1" x14ac:dyDescent="0.2">
      <c r="A50" s="79" t="s">
        <v>220</v>
      </c>
      <c r="B50" s="93"/>
      <c r="C50" s="93"/>
      <c r="D50" s="93"/>
    </row>
    <row r="51" spans="1:4" x14ac:dyDescent="0.2">
      <c r="A51" s="12" t="s">
        <v>193</v>
      </c>
      <c r="B51" s="20">
        <v>94414</v>
      </c>
      <c r="C51" s="20">
        <v>106060</v>
      </c>
      <c r="D51" s="20">
        <v>131135</v>
      </c>
    </row>
    <row r="52" spans="1:4" x14ac:dyDescent="0.2">
      <c r="A52" s="12" t="s">
        <v>194</v>
      </c>
      <c r="B52" s="20"/>
      <c r="C52" s="20">
        <v>7898</v>
      </c>
      <c r="D52" s="20">
        <v>3361</v>
      </c>
    </row>
    <row r="53" spans="1:4" x14ac:dyDescent="0.2">
      <c r="A53" s="12" t="s">
        <v>195</v>
      </c>
      <c r="B53" s="20">
        <v>3812</v>
      </c>
      <c r="C53" s="20">
        <v>2691</v>
      </c>
      <c r="D53" s="20">
        <v>17478</v>
      </c>
    </row>
    <row r="54" spans="1:4" x14ac:dyDescent="0.2">
      <c r="A54" s="12" t="s">
        <v>196</v>
      </c>
      <c r="B54" s="20">
        <v>6047</v>
      </c>
      <c r="C54" s="20"/>
      <c r="D54" s="20">
        <v>1820</v>
      </c>
    </row>
    <row r="55" spans="1:4" x14ac:dyDescent="0.2">
      <c r="A55" s="12" t="s">
        <v>197</v>
      </c>
      <c r="B55" s="20"/>
      <c r="C55" s="20"/>
      <c r="D55" s="20">
        <v>211</v>
      </c>
    </row>
    <row r="56" spans="1:4" x14ac:dyDescent="0.2">
      <c r="A56" s="12" t="s">
        <v>198</v>
      </c>
      <c r="B56" s="20"/>
      <c r="C56" s="20"/>
      <c r="D56" s="20"/>
    </row>
    <row r="57" spans="1:4" x14ac:dyDescent="0.2">
      <c r="A57" s="12" t="s">
        <v>199</v>
      </c>
      <c r="B57" s="20"/>
      <c r="C57" s="20">
        <v>760</v>
      </c>
      <c r="D57" s="20"/>
    </row>
    <row r="58" spans="1:4" x14ac:dyDescent="0.2">
      <c r="A58" s="12" t="s">
        <v>200</v>
      </c>
      <c r="B58" s="39"/>
      <c r="C58" s="39"/>
      <c r="D58" s="39"/>
    </row>
    <row r="59" spans="1:4" x14ac:dyDescent="0.2">
      <c r="B59" s="20">
        <f>SUM(B51:B58)</f>
        <v>104273</v>
      </c>
      <c r="C59" s="20">
        <f>SUM(C51:C58)</f>
        <v>117409</v>
      </c>
      <c r="D59" s="20">
        <f>SUM(D51:D58)</f>
        <v>154005</v>
      </c>
    </row>
    <row r="61" spans="1:4" x14ac:dyDescent="0.2">
      <c r="A61" s="95" t="s">
        <v>221</v>
      </c>
      <c r="C61" s="26">
        <f>+C48-C59</f>
        <v>168219</v>
      </c>
      <c r="D61" s="26">
        <f>+D48-D59</f>
        <v>247328</v>
      </c>
    </row>
  </sheetData>
  <mergeCells count="5">
    <mergeCell ref="A19:E19"/>
    <mergeCell ref="A3:F3"/>
    <mergeCell ref="A5:F5"/>
    <mergeCell ref="A23:F23"/>
    <mergeCell ref="A25:F25"/>
  </mergeCells>
  <phoneticPr fontId="2" type="noConversion"/>
  <printOptions horizontalCentered="1"/>
  <pageMargins left="1" right="0.5" top="1" bottom="1" header="0.5" footer="0.5"/>
  <pageSetup orientation="portrait" r:id="rId1"/>
  <headerFooter alignWithMargins="0">
    <oddFooter>&amp;L&amp;Z&amp;F &amp;A&amp;R&amp;T  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00"/>
  <sheetViews>
    <sheetView topLeftCell="A7" zoomScaleNormal="100" workbookViewId="0">
      <selection activeCell="B45" sqref="B45"/>
    </sheetView>
  </sheetViews>
  <sheetFormatPr defaultColWidth="11.42578125" defaultRowHeight="15.75" x14ac:dyDescent="0.25"/>
  <cols>
    <col min="1" max="1" width="51.5703125" style="181" bestFit="1" customWidth="1"/>
    <col min="2" max="2" width="16.140625" style="181" bestFit="1" customWidth="1"/>
    <col min="3" max="3" width="14.28515625" style="181" customWidth="1"/>
    <col min="4" max="4" width="17.5703125" style="181" bestFit="1" customWidth="1"/>
    <col min="5" max="5" width="11.42578125" style="181" customWidth="1"/>
    <col min="6" max="6" width="13.28515625" style="181" customWidth="1"/>
    <col min="7" max="8" width="11.42578125" style="181" customWidth="1"/>
    <col min="9" max="9" width="48.7109375" style="181" customWidth="1"/>
    <col min="10" max="11" width="11.42578125" style="181" customWidth="1"/>
    <col min="12" max="12" width="16.5703125" style="181" bestFit="1" customWidth="1"/>
    <col min="13" max="13" width="11.42578125" style="181" customWidth="1"/>
    <col min="14" max="14" width="30.42578125" style="181" bestFit="1" customWidth="1"/>
    <col min="15" max="16384" width="11.42578125" style="181"/>
  </cols>
  <sheetData>
    <row r="1" spans="1:7" x14ac:dyDescent="0.25">
      <c r="A1" s="70" t="s">
        <v>300</v>
      </c>
      <c r="B1" s="179" t="str">
        <f>'A-1.1 Water Fee Calc Sum'!$G$1</f>
        <v>Internal</v>
      </c>
      <c r="C1" s="180"/>
      <c r="G1" s="182" t="s">
        <v>301</v>
      </c>
    </row>
    <row r="2" spans="1:7" x14ac:dyDescent="0.25">
      <c r="A2" s="70" t="s">
        <v>256</v>
      </c>
      <c r="B2" s="183" t="str">
        <f>'A-1.1 Water Fee Calc Sum'!$G$2</f>
        <v>Working Draft - v1</v>
      </c>
      <c r="C2" s="180"/>
      <c r="G2" s="182"/>
    </row>
    <row r="3" spans="1:7" x14ac:dyDescent="0.25">
      <c r="A3" s="70" t="s">
        <v>363</v>
      </c>
      <c r="B3" s="184">
        <f>'A-1.1 Water Fee Calc Sum'!$G$3</f>
        <v>41075</v>
      </c>
      <c r="C3" s="180"/>
      <c r="G3" s="182"/>
    </row>
    <row r="4" spans="1:7" x14ac:dyDescent="0.25">
      <c r="A4" s="70" t="s">
        <v>302</v>
      </c>
      <c r="B4" s="79"/>
      <c r="C4" s="180"/>
      <c r="G4" s="182"/>
    </row>
    <row r="5" spans="1:7" x14ac:dyDescent="0.25">
      <c r="A5" s="180"/>
      <c r="B5" s="180"/>
      <c r="C5" s="180"/>
      <c r="G5" s="182"/>
    </row>
    <row r="6" spans="1:7" x14ac:dyDescent="0.25">
      <c r="A6" s="180"/>
      <c r="B6" s="180"/>
      <c r="C6" s="180"/>
      <c r="G6" s="182"/>
    </row>
    <row r="7" spans="1:7" x14ac:dyDescent="0.25">
      <c r="A7" s="180"/>
      <c r="B7" s="185"/>
      <c r="C7" s="180"/>
      <c r="G7" s="182"/>
    </row>
    <row r="8" spans="1:7" x14ac:dyDescent="0.25">
      <c r="A8" s="180"/>
      <c r="B8" s="180"/>
      <c r="C8" s="180"/>
      <c r="D8" s="186"/>
      <c r="E8" s="186"/>
      <c r="F8" s="186"/>
      <c r="G8" s="182"/>
    </row>
    <row r="9" spans="1:7" x14ac:dyDescent="0.25">
      <c r="A9" s="187" t="s">
        <v>260</v>
      </c>
      <c r="B9" s="188" t="s">
        <v>109</v>
      </c>
      <c r="C9" s="180"/>
      <c r="D9" s="186"/>
      <c r="E9" s="186"/>
      <c r="F9" s="186"/>
      <c r="G9" s="182"/>
    </row>
    <row r="10" spans="1:7" x14ac:dyDescent="0.25">
      <c r="A10" s="189"/>
      <c r="B10" s="189"/>
      <c r="C10" s="180"/>
      <c r="D10" s="190"/>
      <c r="E10" s="190"/>
      <c r="F10" s="186"/>
      <c r="G10" s="182"/>
    </row>
    <row r="11" spans="1:7" x14ac:dyDescent="0.25">
      <c r="A11" s="180" t="s">
        <v>303</v>
      </c>
      <c r="B11" s="191">
        <v>0.02</v>
      </c>
      <c r="C11" s="180"/>
      <c r="D11" s="186"/>
      <c r="E11" s="186"/>
      <c r="F11" s="186"/>
      <c r="G11" s="182"/>
    </row>
    <row r="12" spans="1:7" x14ac:dyDescent="0.25">
      <c r="A12" s="180" t="s">
        <v>304</v>
      </c>
      <c r="B12" s="192">
        <v>30</v>
      </c>
      <c r="C12" s="180"/>
      <c r="G12" s="182"/>
    </row>
    <row r="13" spans="1:7" x14ac:dyDescent="0.25">
      <c r="A13" s="180" t="s">
        <v>305</v>
      </c>
      <c r="B13" s="192">
        <v>1</v>
      </c>
      <c r="C13" s="180"/>
      <c r="G13" s="182"/>
    </row>
    <row r="14" spans="1:7" x14ac:dyDescent="0.25">
      <c r="A14" s="180" t="s">
        <v>306</v>
      </c>
      <c r="B14" s="193">
        <f>(PMT(B11/B13,B12*B13,-1000))*B13</f>
        <v>44.649922293402959</v>
      </c>
      <c r="C14" s="194"/>
      <c r="D14" s="195"/>
      <c r="E14" s="195"/>
      <c r="F14" s="195"/>
      <c r="G14" s="182"/>
    </row>
    <row r="15" spans="1:7" hidden="1" x14ac:dyDescent="0.25">
      <c r="A15" s="180" t="s">
        <v>307</v>
      </c>
      <c r="B15" s="193">
        <f>(-PMT(B11/B13,B12*B13,B34,0))*B13</f>
        <v>137306.71444091131</v>
      </c>
      <c r="C15" s="196"/>
      <c r="D15" s="195"/>
      <c r="E15" s="195"/>
      <c r="F15" s="195"/>
      <c r="G15" s="182"/>
    </row>
    <row r="16" spans="1:7" x14ac:dyDescent="0.25">
      <c r="A16" s="180" t="s">
        <v>308</v>
      </c>
      <c r="B16" s="193">
        <f>(B14-((PMT(0/B13,B12*B13,-1000))*B13))</f>
        <v>11.316588960069623</v>
      </c>
      <c r="C16" s="196"/>
      <c r="D16" s="195"/>
      <c r="E16" s="195"/>
      <c r="F16" s="195"/>
      <c r="G16" s="182"/>
    </row>
    <row r="17" spans="1:7" x14ac:dyDescent="0.25">
      <c r="A17" s="180"/>
      <c r="B17" s="193"/>
      <c r="C17" s="196"/>
      <c r="D17" s="195"/>
      <c r="E17" s="195"/>
      <c r="F17" s="195"/>
      <c r="G17" s="182"/>
    </row>
    <row r="18" spans="1:7" hidden="1" x14ac:dyDescent="0.25">
      <c r="A18" s="180"/>
      <c r="B18" s="193"/>
      <c r="C18" s="196"/>
      <c r="D18" s="195"/>
      <c r="E18" s="195"/>
      <c r="F18" s="195"/>
      <c r="G18" s="182"/>
    </row>
    <row r="19" spans="1:7" hidden="1" x14ac:dyDescent="0.25">
      <c r="A19" s="180"/>
      <c r="B19" s="196"/>
      <c r="C19" s="196"/>
      <c r="D19" s="195"/>
      <c r="E19" s="195"/>
      <c r="F19" s="195"/>
      <c r="G19" s="182"/>
    </row>
    <row r="20" spans="1:7" hidden="1" x14ac:dyDescent="0.25">
      <c r="A20" s="180" t="s">
        <v>309</v>
      </c>
      <c r="B20" s="196">
        <f>'A-1.1 Water Fee Calc Sum'!B44</f>
        <v>3075183.7268303246</v>
      </c>
      <c r="C20" s="197"/>
      <c r="D20" s="198"/>
      <c r="G20" s="182"/>
    </row>
    <row r="21" spans="1:7" hidden="1" x14ac:dyDescent="0.25">
      <c r="A21" s="180"/>
      <c r="B21" s="199"/>
      <c r="C21" s="180"/>
      <c r="D21" s="200"/>
      <c r="E21" s="201"/>
      <c r="G21" s="182"/>
    </row>
    <row r="22" spans="1:7" hidden="1" x14ac:dyDescent="0.25">
      <c r="A22" s="180" t="s">
        <v>310</v>
      </c>
      <c r="B22" s="196">
        <f>SUM(B20:B20)</f>
        <v>3075183.7268303246</v>
      </c>
      <c r="C22" s="202">
        <f>B22/B34</f>
        <v>1</v>
      </c>
      <c r="E22" s="201"/>
      <c r="F22" s="201"/>
      <c r="G22" s="182"/>
    </row>
    <row r="23" spans="1:7" hidden="1" x14ac:dyDescent="0.25">
      <c r="A23" s="180"/>
      <c r="B23" s="180"/>
      <c r="C23" s="180"/>
      <c r="G23" s="182"/>
    </row>
    <row r="24" spans="1:7" hidden="1" x14ac:dyDescent="0.25">
      <c r="A24" s="180" t="s">
        <v>311</v>
      </c>
      <c r="B24" s="196"/>
      <c r="C24" s="196"/>
      <c r="D24" s="195"/>
      <c r="E24" s="195"/>
      <c r="F24" s="195"/>
      <c r="G24" s="182"/>
    </row>
    <row r="25" spans="1:7" hidden="1" x14ac:dyDescent="0.25">
      <c r="A25" s="180" t="s">
        <v>312</v>
      </c>
      <c r="B25" s="196">
        <f>B62+$B$34*C62</f>
        <v>0</v>
      </c>
      <c r="C25" s="196"/>
      <c r="D25" s="195"/>
      <c r="E25" s="195"/>
      <c r="F25" s="195"/>
      <c r="G25" s="182"/>
    </row>
    <row r="26" spans="1:7" hidden="1" x14ac:dyDescent="0.25">
      <c r="A26" s="180" t="s">
        <v>313</v>
      </c>
      <c r="B26" s="196">
        <f>B63+$B$34*C63</f>
        <v>0</v>
      </c>
      <c r="C26" s="203">
        <f>B26/B34</f>
        <v>0</v>
      </c>
      <c r="D26" s="195"/>
      <c r="E26" s="195"/>
      <c r="F26" s="195"/>
      <c r="G26" s="182"/>
    </row>
    <row r="27" spans="1:7" hidden="1" x14ac:dyDescent="0.25">
      <c r="A27" s="180" t="s">
        <v>314</v>
      </c>
      <c r="B27" s="196">
        <f>B64+$B$34*C64</f>
        <v>0</v>
      </c>
      <c r="C27" s="180"/>
      <c r="G27" s="182"/>
    </row>
    <row r="28" spans="1:7" hidden="1" x14ac:dyDescent="0.25">
      <c r="A28" s="180" t="s">
        <v>315</v>
      </c>
      <c r="B28" s="196">
        <f>B65+$B$34*C65</f>
        <v>0</v>
      </c>
      <c r="C28" s="202"/>
      <c r="D28" s="195"/>
      <c r="E28" s="195"/>
      <c r="F28" s="195"/>
      <c r="G28" s="182"/>
    </row>
    <row r="29" spans="1:7" hidden="1" x14ac:dyDescent="0.25">
      <c r="A29" s="180" t="s">
        <v>316</v>
      </c>
      <c r="B29" s="196">
        <f>B66+$B$34*C66</f>
        <v>0</v>
      </c>
      <c r="C29" s="202"/>
      <c r="G29" s="182"/>
    </row>
    <row r="30" spans="1:7" hidden="1" x14ac:dyDescent="0.25">
      <c r="A30" s="180" t="s">
        <v>317</v>
      </c>
      <c r="B30" s="196">
        <f>SUM(B68:B71)+$B$34*SUM(C68:C71)</f>
        <v>0</v>
      </c>
      <c r="C30" s="202"/>
      <c r="G30" s="182"/>
    </row>
    <row r="31" spans="1:7" hidden="1" x14ac:dyDescent="0.25">
      <c r="A31" s="180"/>
      <c r="B31" s="199"/>
      <c r="C31" s="204"/>
      <c r="D31" s="195"/>
      <c r="E31" s="195"/>
      <c r="F31" s="195"/>
      <c r="G31" s="182"/>
    </row>
    <row r="32" spans="1:7" hidden="1" x14ac:dyDescent="0.25">
      <c r="A32" s="180" t="s">
        <v>318</v>
      </c>
      <c r="B32" s="196">
        <f>SUM(B24:B31)</f>
        <v>0</v>
      </c>
      <c r="C32" s="191">
        <f>B32/B34</f>
        <v>0</v>
      </c>
      <c r="G32" s="182"/>
    </row>
    <row r="33" spans="1:7" hidden="1" x14ac:dyDescent="0.25">
      <c r="A33" s="180"/>
      <c r="B33" s="199"/>
      <c r="C33" s="191"/>
      <c r="G33" s="182"/>
    </row>
    <row r="34" spans="1:7" hidden="1" x14ac:dyDescent="0.25">
      <c r="A34" s="196" t="s">
        <v>319</v>
      </c>
      <c r="B34" s="196">
        <f>(+B22+B73)/(1-C73)</f>
        <v>3075183.7268303246</v>
      </c>
      <c r="C34" s="191">
        <f>SUM(C22:C33)</f>
        <v>1</v>
      </c>
      <c r="G34" s="182"/>
    </row>
    <row r="35" spans="1:7" hidden="1" x14ac:dyDescent="0.25">
      <c r="A35" s="180"/>
      <c r="B35" s="180"/>
      <c r="C35" s="180"/>
      <c r="G35" s="182"/>
    </row>
    <row r="36" spans="1:7" hidden="1" x14ac:dyDescent="0.25">
      <c r="A36" s="180" t="s">
        <v>320</v>
      </c>
      <c r="B36" s="196">
        <f>B22+B32</f>
        <v>3075183.7268303246</v>
      </c>
      <c r="C36" s="180"/>
      <c r="D36" s="195"/>
      <c r="E36" s="195"/>
      <c r="F36" s="195"/>
      <c r="G36" s="182"/>
    </row>
    <row r="37" spans="1:7" hidden="1" x14ac:dyDescent="0.25">
      <c r="A37" s="180"/>
      <c r="B37" s="180"/>
      <c r="C37" s="180"/>
      <c r="G37" s="182"/>
    </row>
    <row r="38" spans="1:7" hidden="1" x14ac:dyDescent="0.25">
      <c r="A38" s="180" t="s">
        <v>321</v>
      </c>
      <c r="B38" s="196">
        <f>IF(MOD(B34,5000)&gt;0,TRUNC(B34/5000)*5000+5000,B34)</f>
        <v>3080000</v>
      </c>
      <c r="C38" s="196"/>
      <c r="G38" s="182"/>
    </row>
    <row r="39" spans="1:7" x14ac:dyDescent="0.25">
      <c r="A39" s="189" t="s">
        <v>322</v>
      </c>
      <c r="B39" s="196"/>
      <c r="C39" s="196"/>
      <c r="G39" s="182"/>
    </row>
    <row r="40" spans="1:7" x14ac:dyDescent="0.25">
      <c r="A40" s="180"/>
      <c r="B40" s="180"/>
      <c r="C40" s="180"/>
      <c r="G40" s="182"/>
    </row>
    <row r="41" spans="1:7" hidden="1" x14ac:dyDescent="0.25">
      <c r="A41" s="180" t="s">
        <v>323</v>
      </c>
      <c r="B41" s="180"/>
      <c r="C41" s="180"/>
      <c r="G41" s="182"/>
    </row>
    <row r="42" spans="1:7" x14ac:dyDescent="0.25">
      <c r="A42" s="180"/>
      <c r="B42" s="180"/>
      <c r="C42" s="180"/>
      <c r="G42" s="182"/>
    </row>
    <row r="43" spans="1:7" x14ac:dyDescent="0.25">
      <c r="A43" s="205" t="s">
        <v>324</v>
      </c>
      <c r="B43" s="180"/>
      <c r="C43" s="180"/>
      <c r="G43" s="182"/>
    </row>
    <row r="44" spans="1:7" x14ac:dyDescent="0.25">
      <c r="A44" s="180"/>
      <c r="B44" s="180"/>
      <c r="C44" s="180"/>
      <c r="G44" s="182"/>
    </row>
    <row r="45" spans="1:7" x14ac:dyDescent="0.25">
      <c r="A45" s="205" t="s">
        <v>325</v>
      </c>
      <c r="B45" s="180"/>
      <c r="C45" s="180"/>
      <c r="G45" s="182"/>
    </row>
    <row r="46" spans="1:7" x14ac:dyDescent="0.25">
      <c r="A46" s="206"/>
      <c r="G46" s="182"/>
    </row>
    <row r="47" spans="1:7" hidden="1" x14ac:dyDescent="0.25"/>
    <row r="48" spans="1:7" hidden="1" x14ac:dyDescent="0.25">
      <c r="A48" s="207"/>
      <c r="B48" s="207"/>
      <c r="C48" s="207"/>
      <c r="D48" s="207"/>
      <c r="E48" s="207"/>
      <c r="F48" s="207"/>
      <c r="G48" s="207"/>
    </row>
    <row r="49" spans="1:4" hidden="1" x14ac:dyDescent="0.25"/>
    <row r="50" spans="1:4" hidden="1" x14ac:dyDescent="0.25">
      <c r="A50" s="181" t="s">
        <v>326</v>
      </c>
    </row>
    <row r="51" spans="1:4" hidden="1" x14ac:dyDescent="0.25"/>
    <row r="52" spans="1:4" hidden="1" x14ac:dyDescent="0.25">
      <c r="A52" s="181" t="s">
        <v>327</v>
      </c>
    </row>
    <row r="53" spans="1:4" hidden="1" x14ac:dyDescent="0.25"/>
    <row r="54" spans="1:4" hidden="1" x14ac:dyDescent="0.25"/>
    <row r="55" spans="1:4" hidden="1" x14ac:dyDescent="0.25">
      <c r="A55" s="208"/>
    </row>
    <row r="56" spans="1:4" hidden="1" x14ac:dyDescent="0.25">
      <c r="A56" s="209"/>
    </row>
    <row r="57" spans="1:4" hidden="1" x14ac:dyDescent="0.25"/>
    <row r="58" spans="1:4" hidden="1" x14ac:dyDescent="0.25"/>
    <row r="59" spans="1:4" hidden="1" x14ac:dyDescent="0.25">
      <c r="A59" s="210"/>
      <c r="B59" s="210" t="s">
        <v>328</v>
      </c>
      <c r="C59" s="210" t="s">
        <v>329</v>
      </c>
      <c r="D59" s="211"/>
    </row>
    <row r="60" spans="1:4" hidden="1" x14ac:dyDescent="0.25">
      <c r="A60" s="212" t="s">
        <v>94</v>
      </c>
      <c r="B60" s="212" t="s">
        <v>330</v>
      </c>
      <c r="C60" s="212" t="s">
        <v>330</v>
      </c>
      <c r="D60" s="212" t="s">
        <v>331</v>
      </c>
    </row>
    <row r="61" spans="1:4" hidden="1" x14ac:dyDescent="0.25"/>
    <row r="62" spans="1:4" hidden="1" x14ac:dyDescent="0.25">
      <c r="A62" s="181" t="s">
        <v>332</v>
      </c>
      <c r="B62" s="213">
        <v>0</v>
      </c>
      <c r="C62" s="214">
        <v>0</v>
      </c>
      <c r="D62" s="181" t="s">
        <v>333</v>
      </c>
    </row>
    <row r="63" spans="1:4" hidden="1" x14ac:dyDescent="0.25">
      <c r="A63" s="181" t="s">
        <v>334</v>
      </c>
      <c r="B63" s="213">
        <v>0</v>
      </c>
      <c r="C63" s="215">
        <v>0</v>
      </c>
      <c r="D63" s="181" t="s">
        <v>335</v>
      </c>
    </row>
    <row r="64" spans="1:4" hidden="1" x14ac:dyDescent="0.25">
      <c r="A64" s="181" t="s">
        <v>336</v>
      </c>
      <c r="B64" s="213">
        <v>0</v>
      </c>
      <c r="C64" s="215">
        <v>0</v>
      </c>
    </row>
    <row r="65" spans="1:6" hidden="1" x14ac:dyDescent="0.25">
      <c r="A65" s="181" t="s">
        <v>337</v>
      </c>
      <c r="B65" s="216">
        <v>0</v>
      </c>
      <c r="C65" s="215">
        <v>0</v>
      </c>
      <c r="D65" s="181" t="s">
        <v>338</v>
      </c>
    </row>
    <row r="66" spans="1:6" hidden="1" x14ac:dyDescent="0.25">
      <c r="A66" s="181" t="s">
        <v>339</v>
      </c>
      <c r="B66" s="217">
        <v>0</v>
      </c>
      <c r="C66" s="217">
        <v>0</v>
      </c>
    </row>
    <row r="67" spans="1:6" hidden="1" x14ac:dyDescent="0.25">
      <c r="A67" s="181" t="s">
        <v>340</v>
      </c>
      <c r="B67" s="195"/>
      <c r="C67" s="218"/>
    </row>
    <row r="68" spans="1:6" hidden="1" x14ac:dyDescent="0.25">
      <c r="A68" s="181" t="s">
        <v>341</v>
      </c>
      <c r="B68" s="216">
        <v>0</v>
      </c>
      <c r="C68" s="217">
        <v>0</v>
      </c>
    </row>
    <row r="69" spans="1:6" hidden="1" x14ac:dyDescent="0.25">
      <c r="A69" s="181" t="s">
        <v>342</v>
      </c>
      <c r="B69" s="216">
        <v>0</v>
      </c>
      <c r="C69" s="217">
        <v>0</v>
      </c>
    </row>
    <row r="70" spans="1:6" hidden="1" x14ac:dyDescent="0.25">
      <c r="A70" s="181" t="s">
        <v>343</v>
      </c>
      <c r="B70" s="216">
        <v>0</v>
      </c>
      <c r="C70" s="217">
        <v>0</v>
      </c>
    </row>
    <row r="71" spans="1:6" hidden="1" x14ac:dyDescent="0.25">
      <c r="A71" s="181" t="s">
        <v>344</v>
      </c>
      <c r="B71" s="219">
        <f>0.1*(B68+B69+B70)</f>
        <v>0</v>
      </c>
      <c r="C71" s="215">
        <v>0</v>
      </c>
    </row>
    <row r="72" spans="1:6" hidden="1" x14ac:dyDescent="0.25">
      <c r="B72" s="220" t="s">
        <v>345</v>
      </c>
      <c r="C72" s="220" t="s">
        <v>345</v>
      </c>
    </row>
    <row r="73" spans="1:6" hidden="1" x14ac:dyDescent="0.25">
      <c r="B73" s="195">
        <f>SUM(B61:B72)</f>
        <v>0</v>
      </c>
      <c r="C73" s="221">
        <f>SUM(C61:C72)</f>
        <v>0</v>
      </c>
      <c r="F73" s="222"/>
    </row>
    <row r="74" spans="1:6" hidden="1" x14ac:dyDescent="0.25">
      <c r="B74" s="195"/>
      <c r="C74" s="221"/>
      <c r="F74" s="222"/>
    </row>
    <row r="75" spans="1:6" hidden="1" x14ac:dyDescent="0.25">
      <c r="B75" s="195"/>
      <c r="F75" s="223"/>
    </row>
    <row r="76" spans="1:6" hidden="1" x14ac:dyDescent="0.25">
      <c r="A76" s="181" t="s">
        <v>346</v>
      </c>
      <c r="B76" s="195">
        <f>B22</f>
        <v>3075183.7268303246</v>
      </c>
      <c r="C76" s="224">
        <f>B76/$B$79</f>
        <v>1</v>
      </c>
      <c r="F76" s="198"/>
    </row>
    <row r="77" spans="1:6" hidden="1" x14ac:dyDescent="0.25">
      <c r="A77" s="181" t="s">
        <v>347</v>
      </c>
      <c r="B77" s="195">
        <f>B73</f>
        <v>0</v>
      </c>
      <c r="C77" s="224">
        <f>B77/$B$79</f>
        <v>0</v>
      </c>
      <c r="F77" s="198"/>
    </row>
    <row r="78" spans="1:6" hidden="1" x14ac:dyDescent="0.25">
      <c r="A78" s="181" t="s">
        <v>348</v>
      </c>
      <c r="B78" s="225">
        <f>C73*B34</f>
        <v>0</v>
      </c>
      <c r="C78" s="226">
        <f>B78/$B$79</f>
        <v>0</v>
      </c>
      <c r="F78" s="223"/>
    </row>
    <row r="79" spans="1:6" hidden="1" x14ac:dyDescent="0.25">
      <c r="A79" s="181" t="s">
        <v>349</v>
      </c>
      <c r="B79" s="223">
        <f>SUM(B76:B78)</f>
        <v>3075183.7268303246</v>
      </c>
      <c r="C79" s="227">
        <f>SUM(C76:C78)</f>
        <v>1</v>
      </c>
    </row>
    <row r="80" spans="1:6" hidden="1" x14ac:dyDescent="0.25">
      <c r="D80" s="198"/>
    </row>
    <row r="81" spans="1:6" hidden="1" x14ac:dyDescent="0.25">
      <c r="D81" s="198"/>
    </row>
    <row r="82" spans="1:6" hidden="1" x14ac:dyDescent="0.25">
      <c r="A82" s="228" t="s">
        <v>288</v>
      </c>
      <c r="D82" s="198"/>
    </row>
    <row r="83" spans="1:6" hidden="1" x14ac:dyDescent="0.25">
      <c r="A83" s="181" t="s">
        <v>350</v>
      </c>
    </row>
    <row r="84" spans="1:6" hidden="1" x14ac:dyDescent="0.25">
      <c r="A84" s="181" t="s">
        <v>351</v>
      </c>
    </row>
    <row r="85" spans="1:6" hidden="1" x14ac:dyDescent="0.25">
      <c r="F85" s="198"/>
    </row>
    <row r="86" spans="1:6" hidden="1" x14ac:dyDescent="0.25">
      <c r="A86" s="211"/>
      <c r="C86" s="229" t="s">
        <v>352</v>
      </c>
      <c r="D86" s="230"/>
    </row>
    <row r="87" spans="1:6" hidden="1" x14ac:dyDescent="0.25">
      <c r="A87" s="210"/>
      <c r="B87" s="182" t="s">
        <v>353</v>
      </c>
      <c r="C87" s="210" t="s">
        <v>328</v>
      </c>
      <c r="D87" s="210" t="s">
        <v>354</v>
      </c>
    </row>
    <row r="88" spans="1:6" hidden="1" x14ac:dyDescent="0.25">
      <c r="A88" s="212" t="s">
        <v>355</v>
      </c>
      <c r="B88" s="231" t="s">
        <v>356</v>
      </c>
      <c r="C88" s="212" t="s">
        <v>330</v>
      </c>
      <c r="D88" s="212" t="s">
        <v>330</v>
      </c>
    </row>
    <row r="89" spans="1:6" hidden="1" x14ac:dyDescent="0.25"/>
    <row r="90" spans="1:6" hidden="1" x14ac:dyDescent="0.25">
      <c r="A90" s="211" t="s">
        <v>357</v>
      </c>
      <c r="B90" s="195">
        <v>15000</v>
      </c>
      <c r="C90" s="195">
        <v>15000</v>
      </c>
      <c r="D90" s="221">
        <v>0</v>
      </c>
    </row>
    <row r="91" spans="1:6" hidden="1" x14ac:dyDescent="0.25">
      <c r="A91" s="211" t="s">
        <v>358</v>
      </c>
      <c r="B91" s="221">
        <v>0.02</v>
      </c>
      <c r="C91" s="195">
        <v>0</v>
      </c>
      <c r="D91" s="221">
        <v>0.02</v>
      </c>
    </row>
    <row r="92" spans="1:6" hidden="1" x14ac:dyDescent="0.25">
      <c r="A92" s="211" t="s">
        <v>359</v>
      </c>
      <c r="B92" s="221">
        <v>0.01</v>
      </c>
      <c r="C92" s="195">
        <v>20000</v>
      </c>
      <c r="D92" s="221">
        <v>0.01</v>
      </c>
    </row>
    <row r="93" spans="1:6" hidden="1" x14ac:dyDescent="0.25">
      <c r="A93" s="211" t="s">
        <v>360</v>
      </c>
      <c r="B93" s="221">
        <v>5.0000000000000001E-3</v>
      </c>
      <c r="C93" s="195">
        <v>70000</v>
      </c>
      <c r="D93" s="221">
        <v>5.0000000000000001E-3</v>
      </c>
    </row>
    <row r="94" spans="1:6" hidden="1" x14ac:dyDescent="0.25"/>
    <row r="95" spans="1:6" hidden="1" x14ac:dyDescent="0.25">
      <c r="A95" s="181" t="s">
        <v>361</v>
      </c>
    </row>
    <row r="96" spans="1:6" hidden="1" x14ac:dyDescent="0.25">
      <c r="A96" s="181" t="s">
        <v>362</v>
      </c>
    </row>
    <row r="97" spans="1:2" hidden="1" x14ac:dyDescent="0.25"/>
    <row r="98" spans="1:2" hidden="1" x14ac:dyDescent="0.25"/>
    <row r="100" spans="1:2" x14ac:dyDescent="0.25">
      <c r="A100" s="206"/>
      <c r="B100" s="206"/>
    </row>
  </sheetData>
  <pageMargins left="0.75" right="0.75" top="1" bottom="1" header="0.5" footer="0.5"/>
  <pageSetup orientation="portrait" r:id="rId1"/>
  <headerFooter alignWithMargins="0">
    <oddHeader>&amp;L&amp;T&amp;D</oddHeader>
    <oddFooter>&amp;L&amp;Z&amp;F&amp;A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zoomScaleNormal="100" workbookViewId="0">
      <selection activeCell="G5" sqref="G5"/>
    </sheetView>
  </sheetViews>
  <sheetFormatPr defaultColWidth="9.140625" defaultRowHeight="15" x14ac:dyDescent="0.2"/>
  <cols>
    <col min="1" max="1" width="26.85546875" style="70" customWidth="1"/>
    <col min="2" max="2" width="11.28515625" style="70" customWidth="1"/>
    <col min="3" max="3" width="11.5703125" style="70" bestFit="1" customWidth="1"/>
    <col min="4" max="4" width="12.28515625" style="70" bestFit="1" customWidth="1"/>
    <col min="5" max="5" width="11.28515625" style="70" bestFit="1" customWidth="1"/>
    <col min="6" max="6" width="15.42578125" style="70" customWidth="1"/>
    <col min="7" max="7" width="16.5703125" style="70" customWidth="1"/>
    <col min="8" max="16384" width="9.140625" style="70"/>
  </cols>
  <sheetData>
    <row r="1" spans="1:7" ht="7.5" customHeight="1" x14ac:dyDescent="0.25">
      <c r="A1" s="11"/>
      <c r="B1" s="11"/>
      <c r="C1" s="11"/>
      <c r="D1" s="87"/>
      <c r="E1" s="11"/>
    </row>
    <row r="2" spans="1:7" ht="18" x14ac:dyDescent="0.25">
      <c r="A2" s="251" t="s">
        <v>158</v>
      </c>
      <c r="B2" s="251"/>
      <c r="C2" s="251"/>
      <c r="D2" s="251"/>
      <c r="E2" s="251"/>
      <c r="F2" s="251"/>
    </row>
    <row r="3" spans="1:7" ht="7.5" customHeight="1" x14ac:dyDescent="0.25">
      <c r="A3" s="11"/>
      <c r="B3" s="11"/>
      <c r="C3" s="11"/>
      <c r="D3" s="87"/>
      <c r="E3" s="80"/>
      <c r="F3" s="81"/>
    </row>
    <row r="4" spans="1:7" x14ac:dyDescent="0.2">
      <c r="A4" s="70" t="s">
        <v>183</v>
      </c>
      <c r="F4" s="91">
        <v>-2176761.0499999998</v>
      </c>
      <c r="G4" s="70" t="s">
        <v>381</v>
      </c>
    </row>
    <row r="5" spans="1:7" x14ac:dyDescent="0.2">
      <c r="A5" s="70" t="s">
        <v>186</v>
      </c>
      <c r="C5" s="84">
        <v>0.1</v>
      </c>
      <c r="D5" s="84"/>
      <c r="E5" s="71"/>
      <c r="F5" s="92">
        <f>+F4*C5</f>
        <v>-217676.10499999998</v>
      </c>
    </row>
    <row r="6" spans="1:7" x14ac:dyDescent="0.2">
      <c r="A6" s="70" t="s">
        <v>204</v>
      </c>
      <c r="C6" s="84"/>
      <c r="D6" s="84"/>
      <c r="E6" s="71"/>
      <c r="F6" s="91">
        <f>+F4+F5</f>
        <v>-2394437.1549999998</v>
      </c>
    </row>
    <row r="7" spans="1:7" x14ac:dyDescent="0.2">
      <c r="A7" s="70" t="s">
        <v>181</v>
      </c>
      <c r="F7" s="72">
        <f>+F45</f>
        <v>1794</v>
      </c>
    </row>
    <row r="8" spans="1:7" x14ac:dyDescent="0.2">
      <c r="A8" s="70" t="s">
        <v>180</v>
      </c>
      <c r="F8" s="78">
        <v>1340</v>
      </c>
    </row>
    <row r="9" spans="1:7" ht="15.75" thickBot="1" x14ac:dyDescent="0.25">
      <c r="A9" s="70" t="s">
        <v>182</v>
      </c>
      <c r="F9" s="78">
        <f>+F7*F8</f>
        <v>2403960</v>
      </c>
    </row>
    <row r="10" spans="1:7" ht="16.5" thickBot="1" x14ac:dyDescent="0.3">
      <c r="A10" s="70" t="s">
        <v>217</v>
      </c>
      <c r="F10" s="57">
        <f>+F9+F6</f>
        <v>9522.8450000002049</v>
      </c>
    </row>
    <row r="11" spans="1:7" x14ac:dyDescent="0.2">
      <c r="F11" s="78"/>
    </row>
    <row r="12" spans="1:7" x14ac:dyDescent="0.2">
      <c r="C12" s="77" t="s">
        <v>177</v>
      </c>
      <c r="E12" s="77" t="s">
        <v>179</v>
      </c>
      <c r="F12" s="77" t="s">
        <v>176</v>
      </c>
    </row>
    <row r="13" spans="1:7" x14ac:dyDescent="0.2">
      <c r="B13" s="70" t="s">
        <v>174</v>
      </c>
      <c r="C13" s="77" t="s">
        <v>178</v>
      </c>
      <c r="D13" s="77" t="s">
        <v>205</v>
      </c>
      <c r="E13" s="77" t="s">
        <v>207</v>
      </c>
      <c r="F13" s="77" t="s">
        <v>215</v>
      </c>
    </row>
    <row r="14" spans="1:7" x14ac:dyDescent="0.2">
      <c r="A14" s="73"/>
      <c r="B14" s="73" t="s">
        <v>175</v>
      </c>
      <c r="C14" s="76" t="s">
        <v>176</v>
      </c>
      <c r="D14" s="76" t="s">
        <v>206</v>
      </c>
      <c r="E14" s="76" t="s">
        <v>208</v>
      </c>
      <c r="F14" s="76" t="s">
        <v>216</v>
      </c>
    </row>
    <row r="15" spans="1:7" ht="15.75" x14ac:dyDescent="0.25">
      <c r="A15" s="98" t="s">
        <v>185</v>
      </c>
      <c r="B15" s="81"/>
      <c r="C15" s="80"/>
      <c r="D15" s="80"/>
      <c r="E15" s="81"/>
      <c r="F15" s="80"/>
    </row>
    <row r="16" spans="1:7" x14ac:dyDescent="0.2">
      <c r="A16" s="70" t="s">
        <v>209</v>
      </c>
      <c r="B16" s="81"/>
      <c r="C16" s="102">
        <v>51</v>
      </c>
      <c r="D16" s="102"/>
      <c r="E16" s="102"/>
      <c r="F16" s="102">
        <f>+C16-D16-E16</f>
        <v>51</v>
      </c>
    </row>
    <row r="17" spans="1:6" x14ac:dyDescent="0.2">
      <c r="A17" s="70" t="s">
        <v>210</v>
      </c>
      <c r="B17" s="81"/>
      <c r="C17" s="102">
        <v>12</v>
      </c>
      <c r="D17" s="102"/>
      <c r="E17" s="102"/>
      <c r="F17" s="102">
        <f t="shared" ref="F17:F22" si="0">+C17-D17-E17</f>
        <v>12</v>
      </c>
    </row>
    <row r="18" spans="1:6" x14ac:dyDescent="0.2">
      <c r="A18" s="70" t="s">
        <v>211</v>
      </c>
      <c r="B18" s="81"/>
      <c r="C18" s="102">
        <v>54</v>
      </c>
      <c r="D18" s="102"/>
      <c r="E18" s="102"/>
      <c r="F18" s="102">
        <f t="shared" si="0"/>
        <v>54</v>
      </c>
    </row>
    <row r="19" spans="1:6" x14ac:dyDescent="0.2">
      <c r="A19" s="70" t="s">
        <v>212</v>
      </c>
      <c r="B19" s="81"/>
      <c r="C19" s="102">
        <v>117</v>
      </c>
      <c r="D19" s="102"/>
      <c r="E19" s="102"/>
      <c r="F19" s="102">
        <f t="shared" si="0"/>
        <v>117</v>
      </c>
    </row>
    <row r="20" spans="1:6" x14ac:dyDescent="0.2">
      <c r="A20" s="70" t="s">
        <v>213</v>
      </c>
      <c r="B20" s="81"/>
      <c r="C20" s="102">
        <v>222</v>
      </c>
      <c r="D20" s="102"/>
      <c r="E20" s="102"/>
      <c r="F20" s="102">
        <f t="shared" si="0"/>
        <v>222</v>
      </c>
    </row>
    <row r="21" spans="1:6" x14ac:dyDescent="0.2">
      <c r="A21" s="70" t="s">
        <v>214</v>
      </c>
      <c r="B21" s="81"/>
      <c r="C21" s="102">
        <v>116</v>
      </c>
      <c r="D21" s="102">
        <v>116</v>
      </c>
      <c r="E21" s="102"/>
      <c r="F21" s="102">
        <f t="shared" si="0"/>
        <v>0</v>
      </c>
    </row>
    <row r="22" spans="1:6" x14ac:dyDescent="0.2">
      <c r="A22" s="73" t="s">
        <v>170</v>
      </c>
      <c r="B22" s="73"/>
      <c r="C22" s="103">
        <v>192</v>
      </c>
      <c r="D22" s="103">
        <v>144</v>
      </c>
      <c r="E22" s="103"/>
      <c r="F22" s="103">
        <f t="shared" si="0"/>
        <v>48</v>
      </c>
    </row>
    <row r="23" spans="1:6" x14ac:dyDescent="0.2">
      <c r="B23" s="81"/>
      <c r="C23" s="102">
        <f>SUM(C15:C22)</f>
        <v>764</v>
      </c>
      <c r="D23" s="102">
        <f t="shared" ref="D23:F23" si="1">SUM(D15:D22)</f>
        <v>260</v>
      </c>
      <c r="E23" s="102">
        <f t="shared" si="1"/>
        <v>0</v>
      </c>
      <c r="F23" s="102">
        <f t="shared" si="1"/>
        <v>504</v>
      </c>
    </row>
    <row r="24" spans="1:6" ht="15.75" x14ac:dyDescent="0.25">
      <c r="A24" s="99" t="s">
        <v>184</v>
      </c>
      <c r="B24" s="81"/>
      <c r="C24" s="80"/>
      <c r="D24" s="80"/>
      <c r="E24" s="81"/>
      <c r="F24" s="80"/>
    </row>
    <row r="25" spans="1:6" x14ac:dyDescent="0.2">
      <c r="A25" s="82" t="s">
        <v>171</v>
      </c>
      <c r="B25" s="74">
        <v>38301</v>
      </c>
      <c r="C25" s="70">
        <v>708</v>
      </c>
      <c r="E25" s="70">
        <v>708</v>
      </c>
      <c r="F25" s="70">
        <f>+C25-D25-E25</f>
        <v>0</v>
      </c>
    </row>
    <row r="26" spans="1:6" x14ac:dyDescent="0.2">
      <c r="A26" s="82" t="s">
        <v>161</v>
      </c>
      <c r="B26" s="74">
        <v>38327</v>
      </c>
      <c r="C26" s="70">
        <v>50</v>
      </c>
      <c r="F26" s="70">
        <f t="shared" ref="F26:F38" si="2">+C26-D26-E26</f>
        <v>50</v>
      </c>
    </row>
    <row r="27" spans="1:6" x14ac:dyDescent="0.2">
      <c r="A27" s="82" t="s">
        <v>169</v>
      </c>
      <c r="B27" s="74">
        <v>38565</v>
      </c>
      <c r="C27" s="70">
        <v>778</v>
      </c>
      <c r="D27" s="70">
        <v>778</v>
      </c>
      <c r="F27" s="70">
        <f t="shared" si="2"/>
        <v>0</v>
      </c>
    </row>
    <row r="28" spans="1:6" x14ac:dyDescent="0.2">
      <c r="A28" s="82" t="s">
        <v>170</v>
      </c>
      <c r="B28" s="74">
        <v>38565</v>
      </c>
      <c r="C28" s="70">
        <v>203</v>
      </c>
      <c r="F28" s="70">
        <f t="shared" si="2"/>
        <v>203</v>
      </c>
    </row>
    <row r="29" spans="1:6" x14ac:dyDescent="0.2">
      <c r="A29" s="82" t="s">
        <v>166</v>
      </c>
      <c r="B29" s="74">
        <v>38734</v>
      </c>
      <c r="C29" s="70">
        <v>497</v>
      </c>
      <c r="F29" s="70">
        <f t="shared" si="2"/>
        <v>497</v>
      </c>
    </row>
    <row r="30" spans="1:6" x14ac:dyDescent="0.2">
      <c r="A30" s="82" t="s">
        <v>163</v>
      </c>
      <c r="B30" s="74">
        <v>38936</v>
      </c>
      <c r="C30" s="70">
        <v>21</v>
      </c>
      <c r="F30" s="70">
        <f t="shared" si="2"/>
        <v>21</v>
      </c>
    </row>
    <row r="31" spans="1:6" x14ac:dyDescent="0.2">
      <c r="A31" s="82" t="s">
        <v>164</v>
      </c>
      <c r="B31" s="74">
        <v>39105</v>
      </c>
      <c r="C31" s="70">
        <v>544</v>
      </c>
      <c r="E31" s="70">
        <v>544</v>
      </c>
      <c r="F31" s="70">
        <f t="shared" si="2"/>
        <v>0</v>
      </c>
    </row>
    <row r="32" spans="1:6" x14ac:dyDescent="0.2">
      <c r="A32" s="82" t="s">
        <v>168</v>
      </c>
      <c r="B32" s="74">
        <v>39105</v>
      </c>
      <c r="C32" s="70">
        <v>451</v>
      </c>
      <c r="E32" s="70">
        <v>451</v>
      </c>
      <c r="F32" s="70">
        <f t="shared" si="2"/>
        <v>0</v>
      </c>
    </row>
    <row r="33" spans="1:6" x14ac:dyDescent="0.2">
      <c r="A33" s="82" t="s">
        <v>159</v>
      </c>
      <c r="B33" s="74">
        <v>39970</v>
      </c>
      <c r="C33" s="70">
        <v>62</v>
      </c>
      <c r="F33" s="70">
        <f t="shared" si="2"/>
        <v>62</v>
      </c>
    </row>
    <row r="34" spans="1:6" x14ac:dyDescent="0.2">
      <c r="A34" s="82" t="s">
        <v>160</v>
      </c>
      <c r="B34" s="74">
        <v>40106</v>
      </c>
      <c r="C34" s="70">
        <v>24</v>
      </c>
      <c r="F34" s="70">
        <f t="shared" si="2"/>
        <v>24</v>
      </c>
    </row>
    <row r="35" spans="1:6" x14ac:dyDescent="0.2">
      <c r="A35" s="82" t="s">
        <v>172</v>
      </c>
      <c r="B35" s="74">
        <v>40106</v>
      </c>
      <c r="C35" s="70">
        <v>40</v>
      </c>
      <c r="F35" s="70">
        <f t="shared" si="2"/>
        <v>40</v>
      </c>
    </row>
    <row r="36" spans="1:6" x14ac:dyDescent="0.2">
      <c r="A36" s="82" t="s">
        <v>162</v>
      </c>
      <c r="B36" s="74">
        <v>40211</v>
      </c>
      <c r="C36" s="70">
        <v>586</v>
      </c>
      <c r="E36" s="70">
        <v>586</v>
      </c>
      <c r="F36" s="70">
        <f t="shared" si="2"/>
        <v>0</v>
      </c>
    </row>
    <row r="37" spans="1:6" x14ac:dyDescent="0.2">
      <c r="A37" s="82" t="s">
        <v>165</v>
      </c>
      <c r="B37" s="74">
        <v>40211</v>
      </c>
      <c r="C37" s="70">
        <v>275</v>
      </c>
      <c r="E37" s="70">
        <v>275</v>
      </c>
      <c r="F37" s="70">
        <f t="shared" si="2"/>
        <v>0</v>
      </c>
    </row>
    <row r="38" spans="1:6" x14ac:dyDescent="0.2">
      <c r="A38" s="90" t="s">
        <v>167</v>
      </c>
      <c r="B38" s="75">
        <v>40316</v>
      </c>
      <c r="C38" s="73">
        <v>93</v>
      </c>
      <c r="D38" s="73"/>
      <c r="E38" s="73"/>
      <c r="F38" s="73">
        <f t="shared" si="2"/>
        <v>93</v>
      </c>
    </row>
    <row r="39" spans="1:6" x14ac:dyDescent="0.2">
      <c r="B39" s="74"/>
      <c r="C39" s="72">
        <f>SUM(C25:C38)</f>
        <v>4332</v>
      </c>
      <c r="D39" s="72">
        <f t="shared" ref="D39:F39" si="3">SUM(D25:D38)</f>
        <v>778</v>
      </c>
      <c r="E39" s="72">
        <f t="shared" si="3"/>
        <v>2564</v>
      </c>
      <c r="F39" s="72">
        <f t="shared" si="3"/>
        <v>990</v>
      </c>
    </row>
    <row r="40" spans="1:6" ht="15.75" x14ac:dyDescent="0.25">
      <c r="A40" s="99" t="s">
        <v>224</v>
      </c>
    </row>
    <row r="41" spans="1:6" x14ac:dyDescent="0.2">
      <c r="A41" s="70" t="s">
        <v>223</v>
      </c>
      <c r="B41" s="74">
        <v>38301</v>
      </c>
      <c r="C41" s="70">
        <v>163</v>
      </c>
      <c r="E41" s="70">
        <v>163</v>
      </c>
      <c r="F41" s="70">
        <f t="shared" ref="F41:F42" si="4">+C41-D41-E41</f>
        <v>0</v>
      </c>
    </row>
    <row r="42" spans="1:6" x14ac:dyDescent="0.2">
      <c r="A42" s="73" t="s">
        <v>173</v>
      </c>
      <c r="B42" s="75">
        <v>39678</v>
      </c>
      <c r="C42" s="73">
        <v>300</v>
      </c>
      <c r="D42" s="73"/>
      <c r="E42" s="73"/>
      <c r="F42" s="73">
        <f t="shared" si="4"/>
        <v>300</v>
      </c>
    </row>
    <row r="43" spans="1:6" x14ac:dyDescent="0.2">
      <c r="C43" s="70">
        <f>SUM(C41:C42)</f>
        <v>463</v>
      </c>
      <c r="D43" s="70">
        <f t="shared" ref="D43:F43" si="5">SUM(D41:D42)</f>
        <v>0</v>
      </c>
      <c r="E43" s="70">
        <f t="shared" si="5"/>
        <v>163</v>
      </c>
      <c r="F43" s="70">
        <f t="shared" si="5"/>
        <v>300</v>
      </c>
    </row>
    <row r="45" spans="1:6" ht="15.75" x14ac:dyDescent="0.25">
      <c r="A45" s="70" t="s">
        <v>225</v>
      </c>
      <c r="C45" s="101">
        <f>+C23+C39+C43</f>
        <v>5559</v>
      </c>
      <c r="D45" s="101">
        <f>+D23+D39+D43</f>
        <v>1038</v>
      </c>
      <c r="E45" s="101">
        <f>+E23+E39+E43</f>
        <v>2727</v>
      </c>
      <c r="F45" s="101">
        <f>+F23+F39+F43</f>
        <v>1794</v>
      </c>
    </row>
    <row r="46" spans="1:6" x14ac:dyDescent="0.2">
      <c r="C46" s="83"/>
      <c r="D46" s="83"/>
      <c r="E46" s="83"/>
      <c r="F46" s="83"/>
    </row>
    <row r="47" spans="1:6" x14ac:dyDescent="0.2">
      <c r="A47" s="96" t="s">
        <v>222</v>
      </c>
      <c r="B47" s="97">
        <f>0.474*2.8*1.15</f>
        <v>1.5262799999999999</v>
      </c>
      <c r="C47" s="100">
        <f>+C45*$B47</f>
        <v>8484.5905199999997</v>
      </c>
      <c r="D47" s="100">
        <f t="shared" ref="D47:F47" si="6">+D45*$B47</f>
        <v>1584.2786399999998</v>
      </c>
      <c r="E47" s="100">
        <f t="shared" si="6"/>
        <v>4162.1655599999995</v>
      </c>
      <c r="F47" s="100">
        <f t="shared" si="6"/>
        <v>2738.1463199999998</v>
      </c>
    </row>
  </sheetData>
  <sortState ref="A27:C40">
    <sortCondition ref="B27:B40"/>
  </sortState>
  <mergeCells count="1">
    <mergeCell ref="A2:F2"/>
  </mergeCells>
  <phoneticPr fontId="8" type="noConversion"/>
  <printOptions horizontalCentered="1"/>
  <pageMargins left="0.7" right="0.7" top="0.75" bottom="0.75" header="0.3" footer="0.3"/>
  <pageSetup orientation="portrait" r:id="rId1"/>
  <headerFooter>
    <oddFooter>&amp;L&amp;Z&amp;F &amp;A&amp;R&amp;T 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7"/>
  <sheetViews>
    <sheetView topLeftCell="G1" workbookViewId="0">
      <selection activeCell="C39" sqref="C39"/>
    </sheetView>
  </sheetViews>
  <sheetFormatPr defaultColWidth="9.140625" defaultRowHeight="12.75" x14ac:dyDescent="0.2"/>
  <cols>
    <col min="1" max="1" width="3.7109375" style="52" customWidth="1"/>
    <col min="2" max="2" width="9.140625" style="52"/>
    <col min="3" max="3" width="15.5703125" style="52" customWidth="1"/>
    <col min="4" max="4" width="13" style="52" customWidth="1"/>
    <col min="5" max="5" width="12.28515625" style="52" bestFit="1" customWidth="1"/>
    <col min="6" max="6" width="9.140625" style="52"/>
    <col min="7" max="7" width="3.42578125" style="52" customWidth="1"/>
    <col min="8" max="8" width="9.140625" style="52"/>
    <col min="9" max="9" width="19.7109375" style="52" customWidth="1"/>
    <col min="10" max="10" width="13" style="52" customWidth="1"/>
    <col min="11" max="11" width="12.28515625" style="52" bestFit="1" customWidth="1"/>
    <col min="12" max="12" width="9.140625" style="52"/>
    <col min="13" max="13" width="10.28515625" style="52" bestFit="1" customWidth="1"/>
    <col min="14" max="14" width="3.5703125" style="52" customWidth="1"/>
    <col min="15" max="15" width="22" style="52" bestFit="1" customWidth="1"/>
    <col min="16" max="16" width="10.5703125" style="52" customWidth="1"/>
    <col min="17" max="16384" width="9.140625" style="52"/>
  </cols>
  <sheetData>
    <row r="1" spans="2:17" x14ac:dyDescent="0.2">
      <c r="B1" s="79" t="s">
        <v>234</v>
      </c>
      <c r="D1" s="132">
        <f>PMT(0.05,30,C4)</f>
        <v>-253700.59681307865</v>
      </c>
      <c r="E1" s="2">
        <v>0.05</v>
      </c>
      <c r="F1" s="52" t="s">
        <v>240</v>
      </c>
      <c r="H1" s="79" t="s">
        <v>235</v>
      </c>
      <c r="J1" s="132">
        <f>PMT(0.05,20,I4)</f>
        <v>-312946.09004369611</v>
      </c>
      <c r="K1" s="2">
        <v>0.05</v>
      </c>
    </row>
    <row r="2" spans="2:17" x14ac:dyDescent="0.2">
      <c r="C2" s="52" t="s">
        <v>242</v>
      </c>
      <c r="D2" s="18">
        <f>+'A-6 Peaking Summary'!E12</f>
        <v>810</v>
      </c>
      <c r="F2" s="52" t="s">
        <v>241</v>
      </c>
      <c r="M2"/>
      <c r="N2"/>
      <c r="O2"/>
      <c r="P2"/>
      <c r="Q2"/>
    </row>
    <row r="3" spans="2:17" x14ac:dyDescent="0.2">
      <c r="B3" s="52" t="s">
        <v>231</v>
      </c>
      <c r="C3" s="10" t="s">
        <v>229</v>
      </c>
      <c r="D3" s="10" t="s">
        <v>228</v>
      </c>
      <c r="E3" s="52" t="s">
        <v>230</v>
      </c>
      <c r="H3" s="52" t="s">
        <v>231</v>
      </c>
      <c r="I3" s="10" t="s">
        <v>229</v>
      </c>
      <c r="J3" s="10" t="s">
        <v>228</v>
      </c>
      <c r="K3" s="52" t="s">
        <v>230</v>
      </c>
      <c r="M3" s="134"/>
      <c r="N3" s="135"/>
      <c r="O3" s="135"/>
      <c r="P3" s="136" t="s">
        <v>237</v>
      </c>
      <c r="Q3" s="137"/>
    </row>
    <row r="4" spans="2:17" ht="15" x14ac:dyDescent="0.2">
      <c r="B4" s="52">
        <v>1</v>
      </c>
      <c r="C4" s="18">
        <f>+P20</f>
        <v>3900000</v>
      </c>
      <c r="D4" s="18">
        <f t="shared" ref="D4:D33" si="0">+C4*E$1</f>
        <v>195000</v>
      </c>
      <c r="E4" s="18">
        <f t="shared" ref="E4:E33" si="1">-D$1-D4</f>
        <v>58700.59681307865</v>
      </c>
      <c r="F4" s="20">
        <f>+D4/D$2</f>
        <v>240.74074074074073</v>
      </c>
      <c r="H4" s="52">
        <v>1</v>
      </c>
      <c r="I4" s="18">
        <f>+C4</f>
        <v>3900000</v>
      </c>
      <c r="J4" s="18">
        <f t="shared" ref="J4:J24" si="2">+I4*K$1</f>
        <v>195000</v>
      </c>
      <c r="K4" s="18">
        <f t="shared" ref="K4:K24" si="3">-J$1-J4</f>
        <v>117946.09004369611</v>
      </c>
      <c r="M4" s="138">
        <f>+'A-6 Peaking Summary'!E4</f>
        <v>16200</v>
      </c>
      <c r="N4" s="5"/>
      <c r="O4" s="5"/>
      <c r="P4" s="5"/>
      <c r="Q4" s="139"/>
    </row>
    <row r="5" spans="2:17" s="123" customFormat="1" x14ac:dyDescent="0.2">
      <c r="B5" s="123">
        <v>2</v>
      </c>
      <c r="C5" s="18">
        <f>+C4-E4</f>
        <v>3841299.4031869215</v>
      </c>
      <c r="D5" s="18">
        <f t="shared" si="0"/>
        <v>192064.97015934609</v>
      </c>
      <c r="E5" s="18">
        <f t="shared" si="1"/>
        <v>61635.626653732557</v>
      </c>
      <c r="F5" s="20">
        <f t="shared" ref="F5:F33" si="4">+D5/D$2</f>
        <v>237.11724711030382</v>
      </c>
      <c r="H5" s="123">
        <v>2</v>
      </c>
      <c r="I5" s="18">
        <f>+I4-K4</f>
        <v>3782053.9099563039</v>
      </c>
      <c r="J5" s="18">
        <f t="shared" si="2"/>
        <v>189102.69549781521</v>
      </c>
      <c r="K5" s="18">
        <f t="shared" si="3"/>
        <v>123843.3945458809</v>
      </c>
      <c r="M5" s="140"/>
      <c r="N5" s="141"/>
      <c r="O5" s="141"/>
      <c r="P5" s="141"/>
      <c r="Q5" s="139"/>
    </row>
    <row r="6" spans="2:17" ht="15" x14ac:dyDescent="0.2">
      <c r="B6" s="52">
        <v>3</v>
      </c>
      <c r="C6" s="18">
        <f t="shared" ref="C6:C22" si="5">+C5-E5</f>
        <v>3779663.7765331888</v>
      </c>
      <c r="D6" s="18">
        <f t="shared" si="0"/>
        <v>188983.18882665946</v>
      </c>
      <c r="E6" s="18">
        <f t="shared" si="1"/>
        <v>64717.407986419188</v>
      </c>
      <c r="F6" s="20">
        <f t="shared" si="4"/>
        <v>233.31257879834502</v>
      </c>
      <c r="H6" s="52">
        <v>3</v>
      </c>
      <c r="I6" s="18">
        <f t="shared" ref="I6:I22" si="6">+I5-K5</f>
        <v>3658210.5154104228</v>
      </c>
      <c r="J6" s="18">
        <f t="shared" si="2"/>
        <v>182910.52577052114</v>
      </c>
      <c r="K6" s="18">
        <f t="shared" si="3"/>
        <v>130035.56427317497</v>
      </c>
      <c r="M6" s="138">
        <f>ROUND(M4/(0.474*2.8*1.15),-1)</f>
        <v>10610</v>
      </c>
      <c r="N6" s="5"/>
      <c r="O6" s="5"/>
      <c r="P6" s="142">
        <f>+M6/20</f>
        <v>530.5</v>
      </c>
      <c r="Q6" s="143" t="s">
        <v>233</v>
      </c>
    </row>
    <row r="7" spans="2:17" s="123" customFormat="1" x14ac:dyDescent="0.2">
      <c r="B7" s="123">
        <v>4</v>
      </c>
      <c r="C7" s="18">
        <f t="shared" si="5"/>
        <v>3714946.3685467695</v>
      </c>
      <c r="D7" s="18">
        <f t="shared" si="0"/>
        <v>185747.3184273385</v>
      </c>
      <c r="E7" s="18">
        <f t="shared" si="1"/>
        <v>67953.278385740152</v>
      </c>
      <c r="F7" s="20">
        <f t="shared" si="4"/>
        <v>229.31767707078828</v>
      </c>
      <c r="H7" s="123">
        <v>4</v>
      </c>
      <c r="I7" s="18">
        <f t="shared" si="6"/>
        <v>3528174.951137248</v>
      </c>
      <c r="J7" s="18">
        <f t="shared" si="2"/>
        <v>176408.74755686242</v>
      </c>
      <c r="K7" s="18">
        <f t="shared" si="3"/>
        <v>136537.34248683369</v>
      </c>
      <c r="M7" s="140"/>
      <c r="N7" s="141"/>
      <c r="O7" s="141"/>
      <c r="P7" s="141"/>
      <c r="Q7" s="139"/>
    </row>
    <row r="8" spans="2:17" x14ac:dyDescent="0.2">
      <c r="B8" s="52">
        <v>5</v>
      </c>
      <c r="C8" s="18">
        <f t="shared" si="5"/>
        <v>3646993.0901610292</v>
      </c>
      <c r="D8" s="18">
        <f t="shared" si="0"/>
        <v>182349.65450805146</v>
      </c>
      <c r="E8" s="18">
        <f t="shared" si="1"/>
        <v>71350.942305027187</v>
      </c>
      <c r="F8" s="20">
        <f t="shared" si="4"/>
        <v>225.12303025685367</v>
      </c>
      <c r="H8" s="52">
        <v>5</v>
      </c>
      <c r="I8" s="18">
        <f t="shared" si="6"/>
        <v>3391637.6086504143</v>
      </c>
      <c r="J8" s="18">
        <f t="shared" si="2"/>
        <v>169581.88043252073</v>
      </c>
      <c r="K8" s="18">
        <f t="shared" si="3"/>
        <v>143364.20961117538</v>
      </c>
      <c r="M8" s="144">
        <f>+P12</f>
        <v>7510706.1610487085</v>
      </c>
      <c r="N8" s="5"/>
      <c r="O8" s="5" t="s">
        <v>239</v>
      </c>
      <c r="P8" s="36">
        <f>+'3.6'!I4</f>
        <v>3900000</v>
      </c>
      <c r="Q8" s="139"/>
    </row>
    <row r="9" spans="2:17" s="123" customFormat="1" x14ac:dyDescent="0.2">
      <c r="B9" s="123">
        <v>6</v>
      </c>
      <c r="C9" s="18">
        <f t="shared" si="5"/>
        <v>3575642.1478560022</v>
      </c>
      <c r="D9" s="18">
        <f t="shared" si="0"/>
        <v>178782.10739280013</v>
      </c>
      <c r="E9" s="18">
        <f t="shared" si="1"/>
        <v>74918.489420278522</v>
      </c>
      <c r="F9" s="20">
        <f t="shared" si="4"/>
        <v>220.71865110222237</v>
      </c>
      <c r="H9" s="123">
        <v>6</v>
      </c>
      <c r="I9" s="18">
        <f t="shared" si="6"/>
        <v>3248273.3990392387</v>
      </c>
      <c r="J9" s="18">
        <f t="shared" si="2"/>
        <v>162413.66995196196</v>
      </c>
      <c r="K9" s="18">
        <f t="shared" si="3"/>
        <v>150532.42009173415</v>
      </c>
      <c r="M9" s="140"/>
      <c r="N9" s="141"/>
      <c r="O9" s="141"/>
      <c r="P9" s="141"/>
      <c r="Q9" s="139"/>
    </row>
    <row r="10" spans="2:17" ht="15" x14ac:dyDescent="0.2">
      <c r="B10" s="52">
        <v>7</v>
      </c>
      <c r="C10" s="18">
        <f t="shared" si="5"/>
        <v>3500723.6584357237</v>
      </c>
      <c r="D10" s="18">
        <f t="shared" si="0"/>
        <v>175036.18292178621</v>
      </c>
      <c r="E10" s="18">
        <f t="shared" si="1"/>
        <v>78664.413891292439</v>
      </c>
      <c r="F10" s="20">
        <f t="shared" si="4"/>
        <v>216.09405298985951</v>
      </c>
      <c r="H10" s="52">
        <v>7</v>
      </c>
      <c r="I10" s="18">
        <f t="shared" si="6"/>
        <v>3097740.9789475044</v>
      </c>
      <c r="J10" s="18">
        <f t="shared" si="2"/>
        <v>154887.04894737524</v>
      </c>
      <c r="K10" s="18">
        <f t="shared" si="3"/>
        <v>158059.04109632087</v>
      </c>
      <c r="M10" s="138">
        <f>+M8/M6</f>
        <v>707.8893648490772</v>
      </c>
      <c r="N10" s="5"/>
      <c r="O10" s="145" t="s">
        <v>232</v>
      </c>
      <c r="P10" s="36">
        <f>+'3.6'!J35</f>
        <v>2358921.8008739236</v>
      </c>
      <c r="Q10" s="139"/>
    </row>
    <row r="11" spans="2:17" ht="13.5" thickBot="1" x14ac:dyDescent="0.25">
      <c r="B11" s="123">
        <v>8</v>
      </c>
      <c r="C11" s="18">
        <f t="shared" si="5"/>
        <v>3422059.2445444311</v>
      </c>
      <c r="D11" s="18">
        <f t="shared" si="0"/>
        <v>171102.96222722158</v>
      </c>
      <c r="E11" s="18">
        <f t="shared" si="1"/>
        <v>82597.634585857071</v>
      </c>
      <c r="F11" s="20">
        <f t="shared" si="4"/>
        <v>211.23822497187848</v>
      </c>
      <c r="H11" s="123">
        <v>8</v>
      </c>
      <c r="I11" s="18">
        <f t="shared" si="6"/>
        <v>2939681.9378511836</v>
      </c>
      <c r="J11" s="18">
        <f t="shared" si="2"/>
        <v>146984.09689255917</v>
      </c>
      <c r="K11" s="18">
        <f t="shared" si="3"/>
        <v>165961.99315113694</v>
      </c>
      <c r="M11" s="146"/>
      <c r="N11" s="5"/>
      <c r="O11" s="133" t="s">
        <v>238</v>
      </c>
      <c r="P11" s="39">
        <f>-'3.6'!J1*4</f>
        <v>1251784.3601747844</v>
      </c>
      <c r="Q11" s="139"/>
    </row>
    <row r="12" spans="2:17" ht="15.75" x14ac:dyDescent="0.25">
      <c r="B12" s="52">
        <v>9</v>
      </c>
      <c r="C12" s="18">
        <f t="shared" si="5"/>
        <v>3339461.6099585742</v>
      </c>
      <c r="D12" s="18">
        <f t="shared" si="0"/>
        <v>166973.08049792872</v>
      </c>
      <c r="E12" s="18">
        <f t="shared" si="1"/>
        <v>86727.516315149929</v>
      </c>
      <c r="F12" s="20">
        <f t="shared" si="4"/>
        <v>206.13960555299843</v>
      </c>
      <c r="H12" s="52">
        <v>9</v>
      </c>
      <c r="I12" s="18">
        <f t="shared" si="6"/>
        <v>2773719.9447000464</v>
      </c>
      <c r="J12" s="18">
        <f t="shared" si="2"/>
        <v>138685.99723500232</v>
      </c>
      <c r="K12" s="18">
        <f t="shared" si="3"/>
        <v>174260.09280869379</v>
      </c>
      <c r="M12" s="147">
        <f>ROUND(M10,-1)</f>
        <v>710</v>
      </c>
      <c r="N12" s="45"/>
      <c r="O12" s="133" t="s">
        <v>104</v>
      </c>
      <c r="P12" s="148">
        <f>+P8+P10+P11</f>
        <v>7510706.1610487085</v>
      </c>
      <c r="Q12" s="149"/>
    </row>
    <row r="13" spans="2:17" x14ac:dyDescent="0.2">
      <c r="B13" s="123">
        <v>10</v>
      </c>
      <c r="C13" s="18">
        <f t="shared" si="5"/>
        <v>3252734.0936434241</v>
      </c>
      <c r="D13" s="18">
        <f t="shared" si="0"/>
        <v>162636.70468217123</v>
      </c>
      <c r="E13" s="18">
        <f t="shared" si="1"/>
        <v>91063.892130907421</v>
      </c>
      <c r="F13" s="20">
        <f t="shared" si="4"/>
        <v>200.78605516317435</v>
      </c>
      <c r="H13" s="123">
        <v>10</v>
      </c>
      <c r="I13" s="18">
        <f t="shared" si="6"/>
        <v>2599459.8518913528</v>
      </c>
      <c r="J13" s="18">
        <f t="shared" si="2"/>
        <v>129972.99259456765</v>
      </c>
      <c r="K13" s="18">
        <f t="shared" si="3"/>
        <v>182973.09744912846</v>
      </c>
      <c r="M13"/>
      <c r="N13"/>
      <c r="O13"/>
      <c r="P13"/>
      <c r="Q13"/>
    </row>
    <row r="14" spans="2:17" x14ac:dyDescent="0.2">
      <c r="B14" s="52">
        <v>11</v>
      </c>
      <c r="C14" s="18">
        <f t="shared" si="5"/>
        <v>3161670.2015125165</v>
      </c>
      <c r="D14" s="18">
        <f t="shared" si="0"/>
        <v>158083.51007562585</v>
      </c>
      <c r="E14" s="18">
        <f t="shared" si="1"/>
        <v>95617.086737452802</v>
      </c>
      <c r="F14" s="20">
        <f t="shared" si="4"/>
        <v>195.16482725385907</v>
      </c>
      <c r="H14" s="52">
        <v>11</v>
      </c>
      <c r="I14" s="18">
        <f t="shared" si="6"/>
        <v>2416486.7544422243</v>
      </c>
      <c r="J14" s="18">
        <f t="shared" si="2"/>
        <v>120824.33772211122</v>
      </c>
      <c r="K14" s="18">
        <f t="shared" si="3"/>
        <v>192121.75232158491</v>
      </c>
    </row>
    <row r="15" spans="2:17" x14ac:dyDescent="0.2">
      <c r="B15" s="123">
        <v>12</v>
      </c>
      <c r="C15" s="18">
        <f t="shared" si="5"/>
        <v>3066053.1147750635</v>
      </c>
      <c r="D15" s="18">
        <f t="shared" si="0"/>
        <v>153302.65573875318</v>
      </c>
      <c r="E15" s="18">
        <f t="shared" si="1"/>
        <v>100397.94107432547</v>
      </c>
      <c r="F15" s="20">
        <f t="shared" si="4"/>
        <v>189.26253794907799</v>
      </c>
      <c r="H15" s="123">
        <v>12</v>
      </c>
      <c r="I15" s="18">
        <f t="shared" si="6"/>
        <v>2224365.0021206392</v>
      </c>
      <c r="J15" s="18">
        <f t="shared" si="2"/>
        <v>111218.25010603196</v>
      </c>
      <c r="K15" s="18">
        <f t="shared" si="3"/>
        <v>201727.83993766416</v>
      </c>
      <c r="O15" s="52" t="s">
        <v>243</v>
      </c>
      <c r="P15" s="20">
        <v>3225000</v>
      </c>
    </row>
    <row r="16" spans="2:17" x14ac:dyDescent="0.2">
      <c r="B16" s="52">
        <v>13</v>
      </c>
      <c r="C16" s="18">
        <f t="shared" si="5"/>
        <v>2965655.1737007378</v>
      </c>
      <c r="D16" s="18">
        <f t="shared" si="0"/>
        <v>148282.75868503688</v>
      </c>
      <c r="E16" s="18">
        <f t="shared" si="1"/>
        <v>105417.83812804177</v>
      </c>
      <c r="F16" s="20">
        <f t="shared" si="4"/>
        <v>183.06513417905788</v>
      </c>
      <c r="H16" s="52">
        <v>13</v>
      </c>
      <c r="I16" s="18">
        <f t="shared" si="6"/>
        <v>2022637.1621829751</v>
      </c>
      <c r="J16" s="18">
        <f t="shared" si="2"/>
        <v>101131.85810914876</v>
      </c>
      <c r="K16" s="18">
        <f t="shared" si="3"/>
        <v>211814.23193454737</v>
      </c>
      <c r="O16" s="52" t="s">
        <v>244</v>
      </c>
      <c r="P16" s="89">
        <v>0.19400000000000001</v>
      </c>
    </row>
    <row r="17" spans="2:16" x14ac:dyDescent="0.2">
      <c r="B17" s="123">
        <v>14</v>
      </c>
      <c r="C17" s="18">
        <f t="shared" si="5"/>
        <v>2860237.3355726958</v>
      </c>
      <c r="D17" s="18">
        <f t="shared" si="0"/>
        <v>143011.86677863481</v>
      </c>
      <c r="E17" s="18">
        <f t="shared" si="1"/>
        <v>110688.73003444384</v>
      </c>
      <c r="F17" s="20">
        <f t="shared" si="4"/>
        <v>176.55786022053681</v>
      </c>
      <c r="H17" s="123">
        <v>14</v>
      </c>
      <c r="I17" s="18">
        <f t="shared" si="6"/>
        <v>1810822.9302484277</v>
      </c>
      <c r="J17" s="18">
        <f t="shared" si="2"/>
        <v>90541.146512421386</v>
      </c>
      <c r="K17" s="18">
        <f t="shared" si="3"/>
        <v>222404.94353127474</v>
      </c>
      <c r="P17" s="26">
        <f>+P16*P15</f>
        <v>625650</v>
      </c>
    </row>
    <row r="18" spans="2:16" x14ac:dyDescent="0.2">
      <c r="B18" s="52">
        <v>15</v>
      </c>
      <c r="C18" s="18">
        <f t="shared" si="5"/>
        <v>2749548.6055382518</v>
      </c>
      <c r="D18" s="18">
        <f t="shared" si="0"/>
        <v>137477.43027691261</v>
      </c>
      <c r="E18" s="18">
        <f t="shared" si="1"/>
        <v>116223.16653616604</v>
      </c>
      <c r="F18" s="20">
        <f t="shared" si="4"/>
        <v>169.72522256408965</v>
      </c>
      <c r="H18" s="52">
        <v>15</v>
      </c>
      <c r="I18" s="18">
        <f t="shared" si="6"/>
        <v>1588417.9867171529</v>
      </c>
      <c r="J18" s="18">
        <f t="shared" si="2"/>
        <v>79420.899335857655</v>
      </c>
      <c r="K18" s="18">
        <f t="shared" si="3"/>
        <v>233525.19070783845</v>
      </c>
      <c r="O18" s="52" t="s">
        <v>95</v>
      </c>
      <c r="P18" s="26">
        <f>+P17+P15</f>
        <v>3850650</v>
      </c>
    </row>
    <row r="19" spans="2:16" x14ac:dyDescent="0.2">
      <c r="B19" s="123">
        <v>16</v>
      </c>
      <c r="C19" s="18">
        <f t="shared" si="5"/>
        <v>2633325.4390020859</v>
      </c>
      <c r="D19" s="18">
        <f t="shared" si="0"/>
        <v>131666.2719501043</v>
      </c>
      <c r="E19" s="18">
        <f t="shared" si="1"/>
        <v>122034.32486297435</v>
      </c>
      <c r="F19" s="20">
        <f t="shared" si="4"/>
        <v>162.55095302482013</v>
      </c>
      <c r="H19" s="123">
        <v>16</v>
      </c>
      <c r="I19" s="18">
        <f t="shared" si="6"/>
        <v>1354892.7960093145</v>
      </c>
      <c r="J19" s="18">
        <f t="shared" si="2"/>
        <v>67744.639800465724</v>
      </c>
      <c r="K19" s="18">
        <f t="shared" si="3"/>
        <v>245201.45024323039</v>
      </c>
    </row>
    <row r="20" spans="2:16" x14ac:dyDescent="0.2">
      <c r="B20" s="52">
        <v>17</v>
      </c>
      <c r="C20" s="18">
        <f t="shared" si="5"/>
        <v>2511291.1141391117</v>
      </c>
      <c r="D20" s="18">
        <f t="shared" si="0"/>
        <v>125564.55570695559</v>
      </c>
      <c r="E20" s="18">
        <f t="shared" si="1"/>
        <v>128136.04110612306</v>
      </c>
      <c r="F20" s="20">
        <f t="shared" si="4"/>
        <v>155.01797000858716</v>
      </c>
      <c r="H20" s="52">
        <v>17</v>
      </c>
      <c r="I20" s="18">
        <f t="shared" si="6"/>
        <v>1109691.345766084</v>
      </c>
      <c r="J20" s="18">
        <f t="shared" si="2"/>
        <v>55484.567288304206</v>
      </c>
      <c r="K20" s="18">
        <f t="shared" si="3"/>
        <v>257461.5227553919</v>
      </c>
      <c r="O20" s="52" t="s">
        <v>245</v>
      </c>
      <c r="P20" s="26">
        <f>ROUND(+P18,-5)</f>
        <v>3900000</v>
      </c>
    </row>
    <row r="21" spans="2:16" x14ac:dyDescent="0.2">
      <c r="B21" s="123">
        <v>18</v>
      </c>
      <c r="C21" s="18">
        <f t="shared" si="5"/>
        <v>2383155.0730329887</v>
      </c>
      <c r="D21" s="18">
        <f t="shared" si="0"/>
        <v>119157.75365164944</v>
      </c>
      <c r="E21" s="18">
        <f t="shared" si="1"/>
        <v>134542.84316142922</v>
      </c>
      <c r="F21" s="20">
        <f t="shared" si="4"/>
        <v>147.10833784154252</v>
      </c>
      <c r="H21" s="123">
        <v>18</v>
      </c>
      <c r="I21" s="18">
        <f t="shared" si="6"/>
        <v>852229.82301069214</v>
      </c>
      <c r="J21" s="18">
        <f t="shared" si="2"/>
        <v>42611.49115053461</v>
      </c>
      <c r="K21" s="18">
        <f t="shared" si="3"/>
        <v>270334.59889316151</v>
      </c>
    </row>
    <row r="22" spans="2:16" x14ac:dyDescent="0.2">
      <c r="B22" s="52">
        <v>19</v>
      </c>
      <c r="C22" s="18">
        <f t="shared" si="5"/>
        <v>2248612.2298715594</v>
      </c>
      <c r="D22" s="18">
        <f t="shared" si="0"/>
        <v>112430.61149357798</v>
      </c>
      <c r="E22" s="18">
        <f t="shared" si="1"/>
        <v>141269.98531950067</v>
      </c>
      <c r="F22" s="20">
        <f t="shared" si="4"/>
        <v>138.80322406614565</v>
      </c>
      <c r="H22" s="52">
        <v>19</v>
      </c>
      <c r="I22" s="18">
        <f t="shared" si="6"/>
        <v>581895.22411753063</v>
      </c>
      <c r="J22" s="18">
        <f t="shared" si="2"/>
        <v>29094.761205876533</v>
      </c>
      <c r="K22" s="18">
        <f t="shared" si="3"/>
        <v>283851.32883781957</v>
      </c>
    </row>
    <row r="23" spans="2:16" x14ac:dyDescent="0.2">
      <c r="B23" s="123">
        <v>20</v>
      </c>
      <c r="C23" s="18">
        <f>+C22-E22</f>
        <v>2107342.2445520586</v>
      </c>
      <c r="D23" s="18">
        <f t="shared" si="0"/>
        <v>105367.11222760293</v>
      </c>
      <c r="E23" s="18">
        <f t="shared" si="1"/>
        <v>148333.4845854757</v>
      </c>
      <c r="F23" s="20">
        <f t="shared" si="4"/>
        <v>130.08285460197894</v>
      </c>
      <c r="H23" s="123">
        <v>20</v>
      </c>
      <c r="I23" s="18">
        <f>+I22-K22</f>
        <v>298043.89527971105</v>
      </c>
      <c r="J23" s="18">
        <f t="shared" si="2"/>
        <v>14902.194763985553</v>
      </c>
      <c r="K23" s="18">
        <f t="shared" si="3"/>
        <v>298043.89527971053</v>
      </c>
    </row>
    <row r="24" spans="2:16" x14ac:dyDescent="0.2">
      <c r="B24" s="52">
        <v>21</v>
      </c>
      <c r="C24" s="18">
        <f t="shared" ref="C24:C33" si="7">+C23-E23</f>
        <v>1959008.759966583</v>
      </c>
      <c r="D24" s="18">
        <f t="shared" si="0"/>
        <v>97950.437998329158</v>
      </c>
      <c r="E24" s="18">
        <f t="shared" si="1"/>
        <v>155750.15881474951</v>
      </c>
      <c r="F24" s="20">
        <f t="shared" si="4"/>
        <v>120.92646666460389</v>
      </c>
      <c r="H24" s="52">
        <v>21</v>
      </c>
      <c r="I24" s="18">
        <f t="shared" ref="I24" si="8">+I23-K23</f>
        <v>5.2386894822120667E-10</v>
      </c>
      <c r="J24" s="18">
        <f t="shared" si="2"/>
        <v>2.6193447411060334E-11</v>
      </c>
      <c r="K24" s="18">
        <f t="shared" si="3"/>
        <v>312946.09004369611</v>
      </c>
    </row>
    <row r="25" spans="2:16" x14ac:dyDescent="0.2">
      <c r="B25" s="123">
        <v>22</v>
      </c>
      <c r="C25" s="18">
        <f t="shared" si="7"/>
        <v>1803258.6011518335</v>
      </c>
      <c r="D25" s="18">
        <f t="shared" si="0"/>
        <v>90162.930057591686</v>
      </c>
      <c r="E25" s="18">
        <f t="shared" si="1"/>
        <v>163537.66675548698</v>
      </c>
      <c r="F25" s="20">
        <f t="shared" si="4"/>
        <v>111.31225933036011</v>
      </c>
      <c r="H25" s="123"/>
      <c r="I25" s="18"/>
      <c r="J25" s="18"/>
      <c r="K25" s="18"/>
    </row>
    <row r="26" spans="2:16" x14ac:dyDescent="0.2">
      <c r="B26" s="52">
        <v>23</v>
      </c>
      <c r="C26" s="18">
        <f t="shared" si="7"/>
        <v>1639720.9343963466</v>
      </c>
      <c r="D26" s="18">
        <f t="shared" si="0"/>
        <v>81986.046719817328</v>
      </c>
      <c r="E26" s="18">
        <f t="shared" si="1"/>
        <v>171714.55009326132</v>
      </c>
      <c r="F26" s="20">
        <f t="shared" si="4"/>
        <v>101.2173416294041</v>
      </c>
      <c r="I26" s="18"/>
      <c r="J26" s="18"/>
      <c r="K26" s="18"/>
    </row>
    <row r="27" spans="2:16" x14ac:dyDescent="0.2">
      <c r="B27" s="123">
        <v>24</v>
      </c>
      <c r="C27" s="18">
        <f t="shared" si="7"/>
        <v>1468006.3843030853</v>
      </c>
      <c r="D27" s="18">
        <f t="shared" si="0"/>
        <v>73400.319215154261</v>
      </c>
      <c r="E27" s="18">
        <f t="shared" si="1"/>
        <v>180300.2775979244</v>
      </c>
      <c r="F27" s="20">
        <f t="shared" si="4"/>
        <v>90.617678043400318</v>
      </c>
      <c r="H27" s="123"/>
      <c r="I27" s="18"/>
      <c r="J27" s="18"/>
      <c r="K27" s="18"/>
    </row>
    <row r="28" spans="2:16" x14ac:dyDescent="0.2">
      <c r="B28" s="52">
        <v>25</v>
      </c>
      <c r="C28" s="18">
        <f t="shared" si="7"/>
        <v>1287706.1067051608</v>
      </c>
      <c r="D28" s="18">
        <f t="shared" si="0"/>
        <v>64385.305335258046</v>
      </c>
      <c r="E28" s="18">
        <f t="shared" si="1"/>
        <v>189315.2914778206</v>
      </c>
      <c r="F28" s="20">
        <f t="shared" si="4"/>
        <v>79.488031278096358</v>
      </c>
      <c r="I28" s="18"/>
      <c r="J28" s="18"/>
      <c r="K28" s="18"/>
    </row>
    <row r="29" spans="2:16" x14ac:dyDescent="0.2">
      <c r="B29" s="123">
        <v>26</v>
      </c>
      <c r="C29" s="18">
        <f t="shared" si="7"/>
        <v>1098390.8152273402</v>
      </c>
      <c r="D29" s="18">
        <f t="shared" si="0"/>
        <v>54919.54076136701</v>
      </c>
      <c r="E29" s="18">
        <f t="shared" si="1"/>
        <v>198781.05605171164</v>
      </c>
      <c r="F29" s="20">
        <f t="shared" si="4"/>
        <v>67.801902174527171</v>
      </c>
      <c r="H29" s="123"/>
      <c r="I29" s="18"/>
      <c r="J29" s="18"/>
      <c r="K29" s="18"/>
    </row>
    <row r="30" spans="2:16" x14ac:dyDescent="0.2">
      <c r="B30" s="52">
        <v>27</v>
      </c>
      <c r="C30" s="18">
        <f t="shared" si="7"/>
        <v>899609.75917562854</v>
      </c>
      <c r="D30" s="18">
        <f t="shared" si="0"/>
        <v>44980.487958781428</v>
      </c>
      <c r="E30" s="18">
        <f t="shared" si="1"/>
        <v>208720.10885429723</v>
      </c>
      <c r="F30" s="20">
        <f t="shared" si="4"/>
        <v>55.531466615779543</v>
      </c>
      <c r="I30" s="18"/>
      <c r="J30" s="18"/>
      <c r="K30" s="18"/>
    </row>
    <row r="31" spans="2:16" x14ac:dyDescent="0.2">
      <c r="B31" s="123">
        <v>28</v>
      </c>
      <c r="C31" s="18">
        <f t="shared" si="7"/>
        <v>690889.65032133134</v>
      </c>
      <c r="D31" s="18">
        <f t="shared" si="0"/>
        <v>34544.482516066571</v>
      </c>
      <c r="E31" s="18">
        <f t="shared" si="1"/>
        <v>219156.11429701207</v>
      </c>
      <c r="F31" s="20">
        <f t="shared" si="4"/>
        <v>42.647509279094535</v>
      </c>
      <c r="H31" s="123"/>
      <c r="I31" s="18"/>
      <c r="J31" s="18"/>
      <c r="K31" s="18"/>
    </row>
    <row r="32" spans="2:16" x14ac:dyDescent="0.2">
      <c r="B32" s="52">
        <v>29</v>
      </c>
      <c r="C32" s="18">
        <f t="shared" si="7"/>
        <v>471733.53602431924</v>
      </c>
      <c r="D32" s="18">
        <f t="shared" si="0"/>
        <v>23586.676801215963</v>
      </c>
      <c r="E32" s="18">
        <f t="shared" si="1"/>
        <v>230113.92001186268</v>
      </c>
      <c r="F32" s="20">
        <f t="shared" si="4"/>
        <v>29.119354075575263</v>
      </c>
      <c r="I32" s="18"/>
      <c r="J32" s="18"/>
      <c r="K32" s="18"/>
    </row>
    <row r="33" spans="2:11" x14ac:dyDescent="0.2">
      <c r="B33" s="123">
        <v>30</v>
      </c>
      <c r="C33" s="18">
        <f t="shared" si="7"/>
        <v>241619.61601245656</v>
      </c>
      <c r="D33" s="18">
        <f t="shared" si="0"/>
        <v>12080.980800622829</v>
      </c>
      <c r="E33" s="18">
        <f t="shared" si="1"/>
        <v>241619.61601245581</v>
      </c>
      <c r="F33" s="20">
        <f t="shared" si="4"/>
        <v>14.914791111880035</v>
      </c>
      <c r="H33" s="123"/>
      <c r="I33" s="18"/>
      <c r="J33" s="18"/>
      <c r="K33" s="18"/>
    </row>
    <row r="34" spans="2:11" x14ac:dyDescent="0.2">
      <c r="B34" s="45"/>
      <c r="C34" s="48">
        <f t="shared" ref="C34" si="9">+C33-E33</f>
        <v>7.5669959187507629E-10</v>
      </c>
      <c r="D34" s="48"/>
      <c r="E34" s="48"/>
      <c r="F34" s="45"/>
      <c r="G34" s="45"/>
      <c r="H34" s="45"/>
      <c r="I34" s="48"/>
      <c r="J34" s="48"/>
      <c r="K34" s="48"/>
    </row>
    <row r="35" spans="2:11" x14ac:dyDescent="0.2">
      <c r="C35" s="1"/>
      <c r="D35" s="19">
        <f>SUM(D4:D34)</f>
        <v>3711017.9043923616</v>
      </c>
      <c r="I35" s="1"/>
      <c r="J35" s="19">
        <f>SUM(J4:J34)</f>
        <v>2358921.8008739236</v>
      </c>
    </row>
    <row r="36" spans="2:11" x14ac:dyDescent="0.2">
      <c r="C36" s="1"/>
      <c r="I36" s="1"/>
    </row>
    <row r="37" spans="2:11" x14ac:dyDescent="0.2">
      <c r="C37" s="1"/>
      <c r="I37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59"/>
  <sheetViews>
    <sheetView zoomScaleNormal="100" workbookViewId="0">
      <pane xSplit="1" ySplit="10" topLeftCell="B11" activePane="bottomRight" state="frozen"/>
      <selection pane="topRight" activeCell="B1" sqref="B1"/>
      <selection pane="bottomLeft" activeCell="A13" sqref="A13"/>
      <selection pane="bottomRight" activeCell="C33" sqref="C33"/>
    </sheetView>
  </sheetViews>
  <sheetFormatPr defaultColWidth="8.85546875" defaultRowHeight="12.75" x14ac:dyDescent="0.2"/>
  <cols>
    <col min="1" max="1" width="35.7109375" style="52" customWidth="1"/>
    <col min="2" max="2" width="12.42578125" style="52" bestFit="1" customWidth="1"/>
    <col min="3" max="3" width="10.7109375" style="52" bestFit="1" customWidth="1"/>
    <col min="4" max="4" width="11.42578125" style="52" bestFit="1" customWidth="1"/>
    <col min="5" max="5" width="8.140625" style="52" bestFit="1" customWidth="1"/>
    <col min="6" max="6" width="11.7109375" style="52" bestFit="1" customWidth="1"/>
    <col min="7" max="7" width="22.7109375" style="52" bestFit="1" customWidth="1"/>
    <col min="8" max="16384" width="8.85546875" style="52"/>
  </cols>
  <sheetData>
    <row r="1" spans="1:10" x14ac:dyDescent="0.2">
      <c r="A1" s="79" t="s">
        <v>254</v>
      </c>
      <c r="B1" s="79"/>
      <c r="C1" s="79"/>
      <c r="D1" s="79"/>
      <c r="E1" s="79"/>
      <c r="F1" s="79"/>
      <c r="G1" s="153" t="s">
        <v>255</v>
      </c>
      <c r="H1" s="79"/>
      <c r="I1" s="79"/>
      <c r="J1" s="79"/>
    </row>
    <row r="2" spans="1:10" x14ac:dyDescent="0.2">
      <c r="A2" s="79" t="s">
        <v>256</v>
      </c>
      <c r="B2" s="79"/>
      <c r="C2" s="79"/>
      <c r="D2" s="79"/>
      <c r="E2" s="79"/>
      <c r="F2" s="79"/>
      <c r="G2" s="154" t="s">
        <v>257</v>
      </c>
      <c r="H2" s="79"/>
      <c r="I2" s="79"/>
      <c r="J2" s="79"/>
    </row>
    <row r="3" spans="1:10" x14ac:dyDescent="0.2">
      <c r="A3" s="79" t="s">
        <v>292</v>
      </c>
      <c r="B3" s="79"/>
      <c r="C3" s="79"/>
      <c r="D3" s="79"/>
      <c r="E3" s="79"/>
      <c r="F3" s="79"/>
      <c r="G3" s="155">
        <v>41075</v>
      </c>
      <c r="H3" s="79"/>
      <c r="I3" s="79"/>
      <c r="J3" s="79"/>
    </row>
    <row r="4" spans="1:10" x14ac:dyDescent="0.2">
      <c r="A4" s="79" t="s">
        <v>374</v>
      </c>
      <c r="B4" s="79"/>
      <c r="C4" s="79"/>
      <c r="D4" s="79"/>
      <c r="E4" s="79"/>
      <c r="F4" s="79"/>
      <c r="G4" s="79"/>
      <c r="H4" s="79"/>
      <c r="I4" s="79"/>
      <c r="J4" s="79"/>
    </row>
    <row r="5" spans="1:10" x14ac:dyDescent="0.2">
      <c r="A5" s="79"/>
      <c r="B5" s="79"/>
      <c r="C5" s="79"/>
      <c r="D5" s="79"/>
      <c r="E5" s="79"/>
      <c r="F5" s="79"/>
      <c r="G5" s="79"/>
      <c r="H5" s="79"/>
      <c r="I5" s="79"/>
      <c r="J5" s="79"/>
    </row>
    <row r="6" spans="1:10" x14ac:dyDescent="0.2">
      <c r="A6" s="79"/>
      <c r="B6" s="79"/>
      <c r="C6" s="79"/>
      <c r="D6" s="79"/>
      <c r="E6" s="79"/>
      <c r="F6" s="79"/>
      <c r="G6" s="79"/>
      <c r="H6" s="79"/>
      <c r="I6" s="79"/>
      <c r="J6" s="79"/>
    </row>
    <row r="7" spans="1:10" x14ac:dyDescent="0.2">
      <c r="A7" s="79"/>
      <c r="C7" s="79"/>
      <c r="D7" s="79"/>
      <c r="E7" s="79"/>
      <c r="F7" s="79"/>
      <c r="G7" s="79"/>
      <c r="H7" s="79"/>
      <c r="I7" s="79"/>
      <c r="J7" s="79"/>
    </row>
    <row r="8" spans="1:10" x14ac:dyDescent="0.2">
      <c r="A8" s="79"/>
      <c r="B8" s="88" t="s">
        <v>293</v>
      </c>
      <c r="C8" s="88" t="s">
        <v>296</v>
      </c>
      <c r="D8" s="88" t="s">
        <v>298</v>
      </c>
      <c r="E8" s="88" t="s">
        <v>258</v>
      </c>
      <c r="F8" s="88"/>
      <c r="G8" s="79"/>
      <c r="H8" s="79"/>
      <c r="I8" s="79"/>
      <c r="J8" s="79"/>
    </row>
    <row r="9" spans="1:10" x14ac:dyDescent="0.2">
      <c r="A9" s="79"/>
      <c r="B9" s="88" t="s">
        <v>294</v>
      </c>
      <c r="C9" s="88" t="s">
        <v>297</v>
      </c>
      <c r="D9" s="88" t="s">
        <v>299</v>
      </c>
      <c r="E9" s="88" t="s">
        <v>258</v>
      </c>
      <c r="F9" s="88"/>
      <c r="G9" s="88" t="s">
        <v>259</v>
      </c>
      <c r="H9" s="79"/>
      <c r="I9" s="79"/>
      <c r="J9" s="79"/>
    </row>
    <row r="10" spans="1:10" x14ac:dyDescent="0.2">
      <c r="A10" s="133" t="s">
        <v>260</v>
      </c>
      <c r="B10" s="156" t="s">
        <v>295</v>
      </c>
      <c r="C10" s="156" t="s">
        <v>295</v>
      </c>
      <c r="D10" s="156" t="s">
        <v>295</v>
      </c>
      <c r="E10" s="156" t="s">
        <v>258</v>
      </c>
      <c r="F10" s="156" t="s">
        <v>261</v>
      </c>
      <c r="G10" s="156" t="s">
        <v>262</v>
      </c>
      <c r="H10" s="79"/>
      <c r="I10" s="79"/>
      <c r="J10" s="79"/>
    </row>
    <row r="11" spans="1:10" x14ac:dyDescent="0.2">
      <c r="A11" s="145"/>
      <c r="B11" s="157"/>
      <c r="C11" s="157"/>
      <c r="D11" s="157"/>
      <c r="E11" s="157"/>
      <c r="F11" s="157"/>
      <c r="G11" s="157"/>
      <c r="H11" s="79"/>
      <c r="I11" s="79"/>
      <c r="J11" s="79"/>
    </row>
    <row r="12" spans="1:10" x14ac:dyDescent="0.2">
      <c r="A12" s="158" t="s">
        <v>263</v>
      </c>
      <c r="B12" s="79"/>
      <c r="C12" s="79"/>
      <c r="D12" s="79"/>
      <c r="E12" s="79"/>
      <c r="F12" s="79"/>
      <c r="G12" s="79"/>
      <c r="H12" s="79"/>
      <c r="I12" s="79"/>
      <c r="J12" s="79"/>
    </row>
    <row r="13" spans="1:10" x14ac:dyDescent="0.2">
      <c r="A13" s="79" t="s">
        <v>264</v>
      </c>
      <c r="B13" s="79"/>
      <c r="C13" s="79"/>
      <c r="D13" s="79"/>
      <c r="E13" s="79"/>
      <c r="F13" s="79"/>
      <c r="G13" s="79"/>
      <c r="H13" s="79"/>
      <c r="I13" s="79"/>
      <c r="J13" s="79"/>
    </row>
    <row r="14" spans="1:10" x14ac:dyDescent="0.2">
      <c r="A14" s="159" t="s">
        <v>265</v>
      </c>
      <c r="B14" s="160">
        <v>0</v>
      </c>
      <c r="C14" s="160">
        <v>0</v>
      </c>
      <c r="D14" s="160">
        <v>0</v>
      </c>
      <c r="E14" s="160">
        <v>0</v>
      </c>
      <c r="F14" s="160">
        <f>SUM(B14:E14)</f>
        <v>0</v>
      </c>
      <c r="G14" s="79"/>
      <c r="H14" s="79"/>
      <c r="I14" s="79"/>
      <c r="J14" s="79"/>
    </row>
    <row r="15" spans="1:10" x14ac:dyDescent="0.2">
      <c r="A15" s="159" t="s">
        <v>266</v>
      </c>
      <c r="B15" s="161">
        <f>'A-2 Groundwater Sup Fee'!C19</f>
        <v>1950000</v>
      </c>
      <c r="C15" s="161">
        <f>'A-7 Peaking Costs'!C22</f>
        <v>3053000</v>
      </c>
      <c r="D15" s="161">
        <f>'A-8 Dist Summary'!D13</f>
        <v>20888999.999814391</v>
      </c>
      <c r="E15" s="161">
        <v>0</v>
      </c>
      <c r="F15" s="161">
        <f>SUM(B15:E15)</f>
        <v>25891999.999814391</v>
      </c>
      <c r="G15" s="79" t="s">
        <v>267</v>
      </c>
      <c r="H15" s="79"/>
      <c r="I15" s="79"/>
      <c r="J15" s="79"/>
    </row>
    <row r="16" spans="1:10" x14ac:dyDescent="0.2">
      <c r="A16" s="159" t="s">
        <v>268</v>
      </c>
      <c r="B16" s="162">
        <f>SUM(B14:B15)</f>
        <v>1950000</v>
      </c>
      <c r="C16" s="162">
        <f>SUM(C14:C15)</f>
        <v>3053000</v>
      </c>
      <c r="D16" s="162">
        <f>SUM(D14:D15)</f>
        <v>20888999.999814391</v>
      </c>
      <c r="E16" s="162">
        <f>SUM(E14:E15)</f>
        <v>0</v>
      </c>
      <c r="F16" s="160">
        <f>SUM(B16:E16)</f>
        <v>25891999.999814391</v>
      </c>
      <c r="G16" s="163"/>
      <c r="H16" s="79"/>
      <c r="I16" s="79"/>
      <c r="J16" s="79"/>
    </row>
    <row r="17" spans="1:10" x14ac:dyDescent="0.2">
      <c r="A17" s="79"/>
      <c r="B17" s="79"/>
      <c r="C17" s="79"/>
      <c r="D17" s="79"/>
      <c r="E17" s="79"/>
      <c r="F17" s="79"/>
      <c r="G17" s="79"/>
      <c r="H17" s="79"/>
      <c r="I17" s="79"/>
      <c r="J17" s="79"/>
    </row>
    <row r="18" spans="1:10" x14ac:dyDescent="0.2">
      <c r="A18" s="164" t="s">
        <v>365</v>
      </c>
      <c r="B18" s="165">
        <f>'A-2 Groundwater Sup Fee'!C26</f>
        <v>312000</v>
      </c>
      <c r="C18" s="165">
        <f>'A-7 Peaking Costs'!C28</f>
        <v>488000</v>
      </c>
      <c r="D18" s="165">
        <f>'A-8 Dist Summary'!D15</f>
        <v>1462229.9999870076</v>
      </c>
      <c r="E18" s="165">
        <f t="shared" ref="E18" si="0">E16*0.19</f>
        <v>0</v>
      </c>
      <c r="F18" s="160">
        <f>SUM(B18:E18)</f>
        <v>2262229.9999870076</v>
      </c>
      <c r="G18" s="79" t="s">
        <v>269</v>
      </c>
      <c r="H18" s="79"/>
      <c r="I18" s="79"/>
      <c r="J18" s="79"/>
    </row>
    <row r="19" spans="1:10" x14ac:dyDescent="0.2">
      <c r="A19" s="164" t="s">
        <v>366</v>
      </c>
      <c r="B19" s="233">
        <f>IF(B16=0,0,B18/B16)</f>
        <v>0.16</v>
      </c>
      <c r="C19" s="233">
        <f t="shared" ref="C19:F19" si="1">IF(C16=0,0,C18/C16)</f>
        <v>0.15984277759580739</v>
      </c>
      <c r="D19" s="233">
        <f t="shared" si="1"/>
        <v>7.0000000000000007E-2</v>
      </c>
      <c r="E19" s="233">
        <f t="shared" si="1"/>
        <v>0</v>
      </c>
      <c r="F19" s="233">
        <f t="shared" si="1"/>
        <v>8.7371775065781879E-2</v>
      </c>
      <c r="G19" s="79"/>
      <c r="H19" s="79"/>
      <c r="I19" s="79"/>
      <c r="J19" s="79"/>
    </row>
    <row r="20" spans="1:10" x14ac:dyDescent="0.2">
      <c r="A20" s="79"/>
      <c r="B20" s="79"/>
      <c r="C20" s="79"/>
      <c r="D20" s="79"/>
      <c r="E20" s="79"/>
      <c r="F20" s="79"/>
      <c r="G20" s="79"/>
      <c r="H20" s="79"/>
      <c r="I20" s="79"/>
      <c r="J20" s="79"/>
    </row>
    <row r="21" spans="1:10" x14ac:dyDescent="0.2">
      <c r="A21" s="79" t="s">
        <v>270</v>
      </c>
      <c r="B21" s="166">
        <v>0</v>
      </c>
      <c r="C21" s="166">
        <v>0</v>
      </c>
      <c r="D21" s="166">
        <v>0</v>
      </c>
      <c r="E21" s="166">
        <v>0</v>
      </c>
      <c r="F21" s="167">
        <f>SUM(B21:E21)</f>
        <v>0</v>
      </c>
      <c r="G21" s="79" t="s">
        <v>271</v>
      </c>
      <c r="H21" s="79"/>
      <c r="I21" s="79"/>
      <c r="J21" s="79"/>
    </row>
    <row r="22" spans="1:10" x14ac:dyDescent="0.2">
      <c r="A22" s="79"/>
      <c r="B22" s="168"/>
      <c r="C22" s="168"/>
      <c r="D22" s="168"/>
      <c r="E22" s="168"/>
      <c r="F22" s="161"/>
      <c r="G22" s="79"/>
      <c r="H22" s="79"/>
      <c r="I22" s="79"/>
      <c r="J22" s="79"/>
    </row>
    <row r="23" spans="1:10" x14ac:dyDescent="0.2">
      <c r="A23" s="79"/>
      <c r="B23" s="79"/>
      <c r="C23" s="79"/>
      <c r="D23" s="79"/>
      <c r="E23" s="79"/>
      <c r="F23" s="79"/>
      <c r="G23" s="79"/>
      <c r="H23" s="79"/>
      <c r="I23" s="79"/>
      <c r="J23" s="79"/>
    </row>
    <row r="24" spans="1:10" x14ac:dyDescent="0.2">
      <c r="A24" s="79" t="s">
        <v>272</v>
      </c>
      <c r="B24" s="166">
        <f>B16+B21+B18</f>
        <v>2262000</v>
      </c>
      <c r="C24" s="166">
        <f>C16+C21+C18</f>
        <v>3541000</v>
      </c>
      <c r="D24" s="166">
        <f>D16+D21+D18</f>
        <v>22351229.999801397</v>
      </c>
      <c r="E24" s="166">
        <f>E16+E21+E18</f>
        <v>0</v>
      </c>
      <c r="F24" s="167">
        <f>SUM(B24:E24)</f>
        <v>28154229.999801397</v>
      </c>
      <c r="G24" s="79"/>
      <c r="H24" s="79"/>
      <c r="I24" s="79"/>
      <c r="J24" s="79"/>
    </row>
    <row r="25" spans="1:10" x14ac:dyDescent="0.2">
      <c r="A25" s="159" t="s">
        <v>273</v>
      </c>
      <c r="B25" s="169">
        <f>B24/$F$24</f>
        <v>8.0343166906569854E-2</v>
      </c>
      <c r="C25" s="169">
        <f>C24/$F$24</f>
        <v>0.12577150929096545</v>
      </c>
      <c r="D25" s="169">
        <f>D24/$F$24</f>
        <v>0.79388532380246468</v>
      </c>
      <c r="E25" s="169">
        <f>E24/$F$24</f>
        <v>0</v>
      </c>
      <c r="F25" s="169">
        <f>F24/$F$24</f>
        <v>1</v>
      </c>
      <c r="G25" s="79"/>
      <c r="H25" s="79"/>
      <c r="I25" s="79"/>
      <c r="J25" s="79"/>
    </row>
    <row r="26" spans="1:10" x14ac:dyDescent="0.2">
      <c r="A26" s="159"/>
      <c r="B26" s="234"/>
      <c r="C26" s="234"/>
      <c r="D26" s="234"/>
      <c r="E26" s="169"/>
      <c r="F26" s="79"/>
      <c r="G26" s="79"/>
      <c r="H26" s="79"/>
      <c r="I26" s="79"/>
      <c r="J26" s="79"/>
    </row>
    <row r="27" spans="1:10" x14ac:dyDescent="0.2">
      <c r="A27" s="158" t="s">
        <v>274</v>
      </c>
      <c r="B27" s="145"/>
      <c r="C27" s="145"/>
      <c r="D27" s="145"/>
      <c r="E27" s="145"/>
      <c r="F27" s="145"/>
      <c r="G27" s="79"/>
      <c r="H27" s="79"/>
      <c r="I27" s="79"/>
      <c r="J27" s="79"/>
    </row>
    <row r="28" spans="1:10" x14ac:dyDescent="0.2">
      <c r="A28" s="79" t="s">
        <v>272</v>
      </c>
      <c r="B28" s="170">
        <f>B24/1000*'A-10 Finance Assumptions'!$B$16*'A-10 Finance Assumptions'!$B$12</f>
        <v>767943.72683032462</v>
      </c>
      <c r="C28" s="170">
        <f>C24/1000*'A-10 Finance Assumptions'!$B$16*'A-10 Finance Assumptions'!$B$12</f>
        <v>1202161.245228196</v>
      </c>
      <c r="D28" s="170">
        <f>D24/1000*'A-10 Finance Assumptions'!$B$16*'A-10 Finance Assumptions'!$B$12</f>
        <v>7588190.4797918843</v>
      </c>
      <c r="E28" s="170">
        <f>E24/1000*'A-10 Finance Assumptions'!$B$16*'A-10 Finance Assumptions'!$B$12</f>
        <v>0</v>
      </c>
      <c r="F28" s="161">
        <f>SUM(B28:E28)</f>
        <v>9558295.451850405</v>
      </c>
      <c r="G28" s="79" t="s">
        <v>275</v>
      </c>
      <c r="H28" s="79"/>
      <c r="I28" s="79"/>
      <c r="J28" s="79"/>
    </row>
    <row r="29" spans="1:10" x14ac:dyDescent="0.2">
      <c r="A29" s="159" t="s">
        <v>276</v>
      </c>
      <c r="B29" s="162">
        <f t="shared" ref="B29:E29" si="2">SUM(B28:B28)</f>
        <v>767943.72683032462</v>
      </c>
      <c r="C29" s="162">
        <f t="shared" si="2"/>
        <v>1202161.245228196</v>
      </c>
      <c r="D29" s="162">
        <f t="shared" si="2"/>
        <v>7588190.4797918843</v>
      </c>
      <c r="E29" s="162">
        <f t="shared" si="2"/>
        <v>0</v>
      </c>
      <c r="F29" s="160">
        <f>SUM(B29:E29)</f>
        <v>9558295.451850405</v>
      </c>
      <c r="G29" s="163"/>
      <c r="H29" s="79"/>
      <c r="I29" s="79"/>
      <c r="J29" s="79"/>
    </row>
    <row r="30" spans="1:10" x14ac:dyDescent="0.2">
      <c r="A30" s="159" t="s">
        <v>277</v>
      </c>
      <c r="B30" s="169">
        <f>IF(B24&gt;0,B29/B24,0)</f>
        <v>0.3394976688020887</v>
      </c>
      <c r="C30" s="169">
        <f t="shared" ref="C30:F30" si="3">IF(C24&gt;0,C29/C24,0)</f>
        <v>0.3394976688020887</v>
      </c>
      <c r="D30" s="169">
        <f t="shared" si="3"/>
        <v>0.3394976688020887</v>
      </c>
      <c r="E30" s="169">
        <f t="shared" si="3"/>
        <v>0</v>
      </c>
      <c r="F30" s="169">
        <f t="shared" si="3"/>
        <v>0.3394976688020887</v>
      </c>
      <c r="G30" s="79"/>
      <c r="H30" s="79"/>
      <c r="I30" s="79"/>
      <c r="J30" s="79"/>
    </row>
    <row r="31" spans="1:10" x14ac:dyDescent="0.2">
      <c r="A31" s="159"/>
      <c r="B31" s="165"/>
      <c r="C31" s="165"/>
      <c r="D31" s="165"/>
      <c r="E31" s="165"/>
      <c r="F31" s="169"/>
      <c r="G31" s="79"/>
      <c r="H31" s="79"/>
      <c r="I31" s="79"/>
      <c r="J31" s="79"/>
    </row>
    <row r="32" spans="1:10" x14ac:dyDescent="0.2">
      <c r="A32" s="158" t="s">
        <v>278</v>
      </c>
      <c r="B32" s="169"/>
      <c r="C32" s="169"/>
      <c r="D32" s="169"/>
      <c r="E32" s="169"/>
      <c r="F32" s="79"/>
      <c r="G32" s="79"/>
      <c r="H32" s="79"/>
      <c r="I32" s="79"/>
      <c r="J32" s="79"/>
    </row>
    <row r="33" spans="1:10" x14ac:dyDescent="0.2">
      <c r="A33" s="259" t="s">
        <v>382</v>
      </c>
      <c r="B33" s="171">
        <v>0</v>
      </c>
      <c r="C33" s="171">
        <v>0</v>
      </c>
      <c r="D33" s="171">
        <f>2812500+225000</f>
        <v>3037500</v>
      </c>
      <c r="E33" s="171">
        <v>0</v>
      </c>
      <c r="F33" s="171">
        <f>SUM(B33:E33)</f>
        <v>3037500</v>
      </c>
      <c r="G33" s="171"/>
      <c r="H33" s="171"/>
      <c r="I33" s="234"/>
      <c r="J33" s="79"/>
    </row>
    <row r="34" spans="1:10" x14ac:dyDescent="0.2">
      <c r="A34" s="259" t="s">
        <v>383</v>
      </c>
      <c r="B34" s="171">
        <v>0</v>
      </c>
      <c r="C34" s="171">
        <v>0</v>
      </c>
      <c r="D34" s="171">
        <v>287500</v>
      </c>
      <c r="E34" s="171">
        <v>0</v>
      </c>
      <c r="F34" s="171">
        <f t="shared" ref="F34:F35" si="4">SUM(B34:E34)</f>
        <v>287500</v>
      </c>
      <c r="G34" s="79"/>
      <c r="H34" s="79"/>
      <c r="I34" s="79"/>
      <c r="J34" s="79"/>
    </row>
    <row r="35" spans="1:10" x14ac:dyDescent="0.2">
      <c r="A35" s="79" t="s">
        <v>384</v>
      </c>
      <c r="B35" s="171">
        <v>0</v>
      </c>
      <c r="C35" s="171">
        <v>0</v>
      </c>
      <c r="D35" s="257">
        <v>5062500</v>
      </c>
      <c r="E35" s="171">
        <v>0</v>
      </c>
      <c r="F35" s="171">
        <f t="shared" si="4"/>
        <v>5062500</v>
      </c>
      <c r="G35" s="79"/>
      <c r="H35" s="79"/>
      <c r="I35" s="79"/>
      <c r="J35" s="79"/>
    </row>
    <row r="36" spans="1:10" x14ac:dyDescent="0.2">
      <c r="A36" s="159" t="s">
        <v>385</v>
      </c>
      <c r="B36" s="173">
        <f>B24*0.02</f>
        <v>45240</v>
      </c>
      <c r="C36" s="173">
        <f t="shared" ref="C36:E36" si="5">C24*0.02</f>
        <v>70820</v>
      </c>
      <c r="D36" s="258">
        <f t="shared" si="5"/>
        <v>447024.59999602794</v>
      </c>
      <c r="E36" s="173">
        <f t="shared" si="5"/>
        <v>0</v>
      </c>
      <c r="F36" s="161">
        <f>SUM(B36:E36)</f>
        <v>563084.599996028</v>
      </c>
      <c r="G36" s="79" t="s">
        <v>371</v>
      </c>
      <c r="H36" s="79"/>
      <c r="I36" s="79"/>
      <c r="J36" s="79"/>
    </row>
    <row r="37" spans="1:10" x14ac:dyDescent="0.2">
      <c r="A37" s="79" t="s">
        <v>279</v>
      </c>
      <c r="B37" s="171">
        <f t="shared" ref="B37:F37" si="6">SUM(B32:B36)</f>
        <v>45240</v>
      </c>
      <c r="C37" s="171">
        <f t="shared" si="6"/>
        <v>70820</v>
      </c>
      <c r="D37" s="171">
        <f t="shared" si="6"/>
        <v>8834524.5999960285</v>
      </c>
      <c r="E37" s="171">
        <f t="shared" si="6"/>
        <v>0</v>
      </c>
      <c r="F37" s="171">
        <f t="shared" si="6"/>
        <v>8950584.5999960285</v>
      </c>
      <c r="G37" s="79"/>
      <c r="H37" s="79"/>
      <c r="I37" s="79"/>
      <c r="J37" s="79"/>
    </row>
    <row r="38" spans="1:10" x14ac:dyDescent="0.2">
      <c r="A38" s="79"/>
      <c r="B38" s="171"/>
      <c r="C38" s="171"/>
      <c r="D38" s="171"/>
      <c r="E38" s="171"/>
      <c r="F38" s="160"/>
      <c r="G38" s="79"/>
      <c r="H38" s="79"/>
      <c r="I38" s="79"/>
      <c r="J38" s="79"/>
    </row>
    <row r="39" spans="1:10" x14ac:dyDescent="0.2">
      <c r="A39" s="158" t="s">
        <v>280</v>
      </c>
      <c r="B39" s="79"/>
      <c r="C39" s="79"/>
      <c r="D39" s="79"/>
      <c r="E39" s="79"/>
      <c r="F39" s="79"/>
      <c r="G39" s="79"/>
      <c r="H39" s="79"/>
      <c r="I39" s="79"/>
      <c r="J39" s="79"/>
    </row>
    <row r="40" spans="1:10" x14ac:dyDescent="0.2">
      <c r="A40" s="79" t="s">
        <v>281</v>
      </c>
      <c r="B40" s="172">
        <v>0</v>
      </c>
      <c r="C40" s="172">
        <v>0</v>
      </c>
      <c r="D40" s="172">
        <v>0</v>
      </c>
      <c r="E40" s="172">
        <v>0</v>
      </c>
      <c r="F40" s="160">
        <f>SUM(B40:E40)</f>
        <v>0</v>
      </c>
      <c r="G40" s="79" t="s">
        <v>282</v>
      </c>
      <c r="H40" s="79"/>
      <c r="I40" s="79"/>
      <c r="J40" s="79"/>
    </row>
    <row r="41" spans="1:10" x14ac:dyDescent="0.2">
      <c r="A41" s="79" t="s">
        <v>283</v>
      </c>
      <c r="B41" s="174">
        <v>0</v>
      </c>
      <c r="C41" s="174">
        <v>0</v>
      </c>
      <c r="D41" s="174">
        <v>0</v>
      </c>
      <c r="E41" s="174">
        <v>0</v>
      </c>
      <c r="F41" s="175">
        <f>SUM(B41:E41)</f>
        <v>0</v>
      </c>
      <c r="G41" s="79" t="s">
        <v>271</v>
      </c>
      <c r="H41" s="79"/>
      <c r="I41" s="79"/>
      <c r="J41" s="79"/>
    </row>
    <row r="42" spans="1:10" x14ac:dyDescent="0.2">
      <c r="A42" s="79" t="s">
        <v>284</v>
      </c>
      <c r="B42" s="171">
        <f t="shared" ref="B42:F42" si="7">SUM(B39:B41)</f>
        <v>0</v>
      </c>
      <c r="C42" s="171">
        <f t="shared" si="7"/>
        <v>0</v>
      </c>
      <c r="D42" s="171">
        <f t="shared" si="7"/>
        <v>0</v>
      </c>
      <c r="E42" s="171">
        <f t="shared" si="7"/>
        <v>0</v>
      </c>
      <c r="F42" s="171">
        <f t="shared" si="7"/>
        <v>0</v>
      </c>
      <c r="G42" s="79"/>
      <c r="H42" s="79"/>
      <c r="I42" s="79"/>
      <c r="J42" s="79"/>
    </row>
    <row r="43" spans="1:10" x14ac:dyDescent="0.2">
      <c r="A43" s="79"/>
      <c r="B43" s="79"/>
      <c r="C43" s="79"/>
      <c r="D43" s="79"/>
      <c r="E43" s="79"/>
      <c r="F43" s="79"/>
      <c r="G43" s="79"/>
      <c r="H43" s="79"/>
      <c r="I43" s="79"/>
      <c r="J43" s="79"/>
    </row>
    <row r="44" spans="1:10" x14ac:dyDescent="0.2">
      <c r="A44" s="79" t="s">
        <v>285</v>
      </c>
      <c r="B44" s="176">
        <f t="shared" ref="B44:F44" si="8">B24+B37+B29-B42</f>
        <v>3075183.7268303246</v>
      </c>
      <c r="C44" s="176">
        <f t="shared" si="8"/>
        <v>4813981.2452281956</v>
      </c>
      <c r="D44" s="176">
        <f t="shared" si="8"/>
        <v>38773945.079589315</v>
      </c>
      <c r="E44" s="176">
        <f t="shared" si="8"/>
        <v>0</v>
      </c>
      <c r="F44" s="176">
        <f t="shared" si="8"/>
        <v>46663110.051647834</v>
      </c>
      <c r="G44" s="79"/>
      <c r="H44" s="79"/>
      <c r="I44" s="79"/>
      <c r="J44" s="79"/>
    </row>
    <row r="45" spans="1:10" x14ac:dyDescent="0.2">
      <c r="A45" s="79"/>
      <c r="B45" s="79"/>
      <c r="C45" s="79"/>
      <c r="D45" s="79"/>
      <c r="E45" s="79"/>
      <c r="F45" s="79"/>
      <c r="G45" s="79"/>
      <c r="H45" s="79"/>
      <c r="I45" s="79"/>
      <c r="J45" s="79"/>
    </row>
    <row r="46" spans="1:10" x14ac:dyDescent="0.2">
      <c r="A46" s="79" t="s">
        <v>364</v>
      </c>
      <c r="B46" s="165">
        <f>'A-2 Groundwater Sup Fee'!C11</f>
        <v>1376</v>
      </c>
      <c r="C46" s="165">
        <f>'A-6 Peaking Summary'!C6</f>
        <v>2950</v>
      </c>
      <c r="D46" s="165">
        <f>'A-8 Dist Summary'!D20</f>
        <v>55000</v>
      </c>
      <c r="E46" s="165">
        <v>0</v>
      </c>
      <c r="F46" s="165">
        <f>SUM(B46:E46)</f>
        <v>59326</v>
      </c>
      <c r="G46" s="79" t="s">
        <v>286</v>
      </c>
      <c r="H46" s="79"/>
      <c r="I46" s="79"/>
      <c r="J46" s="79"/>
    </row>
    <row r="47" spans="1:10" x14ac:dyDescent="0.2">
      <c r="A47" s="79"/>
      <c r="B47" s="79"/>
      <c r="C47" s="79"/>
      <c r="D47" s="79"/>
      <c r="E47" s="79"/>
      <c r="F47" s="79"/>
      <c r="G47" s="79"/>
      <c r="H47" s="79"/>
      <c r="I47" s="79"/>
      <c r="J47" s="79"/>
    </row>
    <row r="48" spans="1:10" x14ac:dyDescent="0.2">
      <c r="A48" s="79" t="s">
        <v>287</v>
      </c>
      <c r="B48" s="177">
        <f>IF(OR(B44=0,B46&lt;0),0,(B44/B46))</f>
        <v>2234.8718944987822</v>
      </c>
      <c r="C48" s="177">
        <f>IF(OR(C44=0,C46&lt;0),0,(C44/C46))</f>
        <v>1631.8580492298968</v>
      </c>
      <c r="D48" s="177">
        <f t="shared" ref="D48:E48" si="9">IF(OR(D44=0,D46&lt;0),0,(D44/D46))</f>
        <v>704.9808196288966</v>
      </c>
      <c r="E48" s="177">
        <f t="shared" si="9"/>
        <v>0</v>
      </c>
      <c r="F48" s="79"/>
      <c r="G48" s="79"/>
      <c r="H48" s="79"/>
      <c r="I48" s="79"/>
      <c r="J48" s="79"/>
    </row>
    <row r="49" spans="1:10" x14ac:dyDescent="0.2">
      <c r="A49" s="79"/>
      <c r="B49" s="88" t="s">
        <v>373</v>
      </c>
      <c r="C49" s="79"/>
      <c r="D49" s="88" t="s">
        <v>372</v>
      </c>
      <c r="E49" s="79"/>
      <c r="F49" s="79"/>
      <c r="G49" s="79"/>
      <c r="H49" s="79"/>
      <c r="I49" s="79"/>
      <c r="J49" s="79"/>
    </row>
    <row r="50" spans="1:10" x14ac:dyDescent="0.2">
      <c r="A50" s="79"/>
      <c r="B50" s="79"/>
      <c r="C50" s="79"/>
      <c r="D50" s="79"/>
      <c r="E50" s="79"/>
      <c r="F50" s="79"/>
      <c r="G50" s="79"/>
      <c r="H50" s="79"/>
      <c r="I50" s="79"/>
      <c r="J50" s="79"/>
    </row>
    <row r="51" spans="1:10" x14ac:dyDescent="0.2">
      <c r="A51" s="79"/>
      <c r="B51" s="79"/>
      <c r="C51" s="79"/>
      <c r="D51" s="79"/>
      <c r="E51" s="79"/>
      <c r="F51" s="79"/>
      <c r="G51" s="79"/>
      <c r="H51" s="79"/>
      <c r="I51" s="79"/>
      <c r="J51" s="79"/>
    </row>
    <row r="52" spans="1:10" x14ac:dyDescent="0.2">
      <c r="A52" s="178" t="s">
        <v>288</v>
      </c>
      <c r="B52" s="79"/>
      <c r="C52" s="79"/>
      <c r="D52" s="79"/>
      <c r="E52" s="79"/>
      <c r="F52" s="79"/>
      <c r="G52" s="79"/>
      <c r="H52" s="79"/>
      <c r="I52" s="79"/>
      <c r="J52" s="79"/>
    </row>
    <row r="53" spans="1:10" x14ac:dyDescent="0.2">
      <c r="A53" s="79" t="s">
        <v>370</v>
      </c>
      <c r="B53" s="79"/>
      <c r="C53" s="79"/>
      <c r="D53" s="79"/>
      <c r="E53" s="79"/>
      <c r="F53" s="79"/>
      <c r="G53" s="79"/>
      <c r="H53" s="79"/>
      <c r="I53" s="79"/>
      <c r="J53" s="79"/>
    </row>
    <row r="54" spans="1:10" x14ac:dyDescent="0.2">
      <c r="A54" s="79" t="s">
        <v>289</v>
      </c>
      <c r="B54" s="79"/>
      <c r="C54" s="79"/>
      <c r="D54" s="79"/>
      <c r="E54" s="79"/>
      <c r="F54" s="79"/>
      <c r="G54" s="79"/>
      <c r="H54" s="79"/>
      <c r="I54" s="79"/>
      <c r="J54" s="79"/>
    </row>
    <row r="55" spans="1:10" x14ac:dyDescent="0.2">
      <c r="A55" s="79" t="s">
        <v>290</v>
      </c>
      <c r="B55" s="79"/>
      <c r="C55" s="79"/>
      <c r="D55" s="79"/>
      <c r="E55" s="79"/>
      <c r="F55" s="79"/>
      <c r="G55" s="79"/>
      <c r="H55" s="79"/>
      <c r="I55" s="79"/>
      <c r="J55" s="79"/>
    </row>
    <row r="56" spans="1:10" x14ac:dyDescent="0.2">
      <c r="A56" s="79" t="s">
        <v>375</v>
      </c>
      <c r="B56" s="79"/>
      <c r="C56" s="79"/>
      <c r="D56" s="79"/>
      <c r="E56" s="79"/>
      <c r="F56" s="79"/>
      <c r="G56" s="79"/>
      <c r="H56" s="79"/>
      <c r="I56" s="79"/>
      <c r="J56" s="79"/>
    </row>
    <row r="57" spans="1:10" x14ac:dyDescent="0.2">
      <c r="A57" s="79" t="s">
        <v>291</v>
      </c>
      <c r="B57" s="79"/>
      <c r="C57" s="79"/>
      <c r="D57" s="79"/>
      <c r="E57" s="79"/>
      <c r="F57" s="79"/>
      <c r="G57" s="79"/>
      <c r="H57" s="79"/>
      <c r="I57" s="79"/>
      <c r="J57" s="79"/>
    </row>
    <row r="58" spans="1:10" x14ac:dyDescent="0.2">
      <c r="A58" s="79" t="s">
        <v>378</v>
      </c>
      <c r="B58" s="79"/>
      <c r="C58" s="79"/>
      <c r="D58" s="79"/>
      <c r="E58" s="79"/>
      <c r="F58" s="79"/>
      <c r="G58" s="79"/>
      <c r="H58" s="79"/>
      <c r="I58" s="79"/>
      <c r="J58" s="79"/>
    </row>
    <row r="59" spans="1:10" x14ac:dyDescent="0.2">
      <c r="A59" s="79" t="s">
        <v>386</v>
      </c>
    </row>
  </sheetData>
  <printOptions horizontalCentered="1" verticalCentered="1"/>
  <pageMargins left="0.5" right="0.5" top="1" bottom="1" header="0.5" footer="0.5"/>
  <pageSetup scale="86" orientation="portrait" r:id="rId1"/>
  <headerFooter alignWithMargins="0">
    <oddHeader>&amp;L&amp;T&amp;D</oddHead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opLeftCell="A13" workbookViewId="0">
      <selection activeCell="B29" sqref="B29"/>
    </sheetView>
  </sheetViews>
  <sheetFormatPr defaultRowHeight="12.75" x14ac:dyDescent="0.2"/>
  <cols>
    <col min="1" max="1" width="44.28515625" bestFit="1" customWidth="1"/>
    <col min="2" max="2" width="7.7109375" bestFit="1" customWidth="1"/>
    <col min="3" max="3" width="14.28515625" bestFit="1" customWidth="1"/>
    <col min="4" max="4" width="8.7109375" bestFit="1" customWidth="1"/>
  </cols>
  <sheetData>
    <row r="1" spans="1:4" ht="18" x14ac:dyDescent="0.25">
      <c r="A1" s="251" t="s">
        <v>62</v>
      </c>
      <c r="B1" s="251"/>
      <c r="C1" s="251"/>
    </row>
    <row r="2" spans="1:4" ht="15.75" x14ac:dyDescent="0.25">
      <c r="A2" s="11"/>
      <c r="B2" s="11"/>
      <c r="C2" s="11"/>
    </row>
    <row r="3" spans="1:4" ht="20.25" x14ac:dyDescent="0.3">
      <c r="A3" s="252" t="s">
        <v>134</v>
      </c>
      <c r="B3" s="252"/>
      <c r="C3" s="252"/>
    </row>
    <row r="4" spans="1:4" ht="15.75" x14ac:dyDescent="0.25">
      <c r="A4" s="253"/>
      <c r="B4" s="253"/>
      <c r="C4" s="253"/>
      <c r="D4" t="s">
        <v>246</v>
      </c>
    </row>
    <row r="5" spans="1:4" s="52" customFormat="1" ht="15.75" x14ac:dyDescent="0.25">
      <c r="A5" s="150"/>
      <c r="B5" s="150"/>
      <c r="C5" s="150"/>
    </row>
    <row r="6" spans="1:4" s="52" customFormat="1" ht="15.75" x14ac:dyDescent="0.25">
      <c r="A6" s="150"/>
      <c r="B6" s="150"/>
      <c r="C6" s="150"/>
    </row>
    <row r="7" spans="1:4" ht="15" x14ac:dyDescent="0.2">
      <c r="A7" s="70" t="s">
        <v>16</v>
      </c>
      <c r="B7" s="70"/>
      <c r="C7" s="72">
        <v>1500</v>
      </c>
    </row>
    <row r="8" spans="1:4" ht="15" x14ac:dyDescent="0.2">
      <c r="A8" s="70" t="s">
        <v>17</v>
      </c>
      <c r="B8" s="70"/>
      <c r="C8" s="232">
        <v>0.47399999999999998</v>
      </c>
    </row>
    <row r="9" spans="1:4" ht="15" x14ac:dyDescent="0.2">
      <c r="A9" s="70" t="s">
        <v>56</v>
      </c>
      <c r="B9" s="70"/>
      <c r="C9" s="104">
        <v>2</v>
      </c>
    </row>
    <row r="10" spans="1:4" ht="15" x14ac:dyDescent="0.2">
      <c r="A10" s="70" t="s">
        <v>70</v>
      </c>
      <c r="B10" s="70"/>
      <c r="C10" s="104">
        <v>1.1499999999999999</v>
      </c>
    </row>
    <row r="11" spans="1:4" ht="15" x14ac:dyDescent="0.2">
      <c r="A11" s="70" t="s">
        <v>367</v>
      </c>
      <c r="B11" s="70"/>
      <c r="C11" s="72">
        <f>ROUND(C7/(C9*C8*C10),0)</f>
        <v>1376</v>
      </c>
    </row>
    <row r="12" spans="1:4" ht="15" x14ac:dyDescent="0.2">
      <c r="A12" s="70"/>
      <c r="B12" s="70"/>
      <c r="C12" s="70"/>
    </row>
    <row r="13" spans="1:4" ht="15" x14ac:dyDescent="0.2">
      <c r="A13" s="70"/>
      <c r="B13" s="70"/>
      <c r="C13" s="70"/>
    </row>
    <row r="14" spans="1:4" ht="15" x14ac:dyDescent="0.2">
      <c r="A14" s="70" t="s">
        <v>64</v>
      </c>
      <c r="B14" s="70"/>
      <c r="C14" s="70"/>
    </row>
    <row r="15" spans="1:4" ht="15" x14ac:dyDescent="0.2">
      <c r="A15" s="82" t="s">
        <v>77</v>
      </c>
      <c r="B15" s="70"/>
      <c r="C15" s="105">
        <f>'A-3 Groundwater Sup Cost 1'!C26</f>
        <v>281000</v>
      </c>
      <c r="D15" t="s">
        <v>247</v>
      </c>
    </row>
    <row r="16" spans="1:4" ht="15" x14ac:dyDescent="0.2">
      <c r="A16" s="82" t="s">
        <v>74</v>
      </c>
      <c r="B16" s="70"/>
      <c r="C16" s="105">
        <f>'A-4 Groundwater Sup Cost 3'!C40</f>
        <v>900000</v>
      </c>
      <c r="D16" s="52" t="s">
        <v>248</v>
      </c>
    </row>
    <row r="17" spans="1:4" ht="15" x14ac:dyDescent="0.2">
      <c r="A17" s="82" t="s">
        <v>18</v>
      </c>
      <c r="B17" s="70"/>
      <c r="C17" s="106">
        <f>'A-5 Groundwater Sup Cost 2'!C13</f>
        <v>765000</v>
      </c>
      <c r="D17" s="52" t="s">
        <v>249</v>
      </c>
    </row>
    <row r="18" spans="1:4" ht="15" x14ac:dyDescent="0.2">
      <c r="A18" s="70"/>
      <c r="B18" s="70"/>
      <c r="C18" s="105"/>
    </row>
    <row r="19" spans="1:4" ht="15" x14ac:dyDescent="0.2">
      <c r="A19" s="82" t="s">
        <v>68</v>
      </c>
      <c r="B19" s="70"/>
      <c r="C19" s="105">
        <f>ROUND(SUM(C15:C17),-4)</f>
        <v>1950000</v>
      </c>
    </row>
    <row r="20" spans="1:4" ht="15" x14ac:dyDescent="0.2">
      <c r="A20" s="70"/>
      <c r="B20" s="70"/>
      <c r="C20" s="107"/>
    </row>
    <row r="21" spans="1:4" ht="15" x14ac:dyDescent="0.2">
      <c r="A21" s="108" t="s">
        <v>69</v>
      </c>
      <c r="B21" s="70"/>
      <c r="C21" s="70"/>
    </row>
    <row r="22" spans="1:4" ht="15" x14ac:dyDescent="0.2">
      <c r="A22" s="82" t="s">
        <v>144</v>
      </c>
      <c r="B22" s="152">
        <v>0.03</v>
      </c>
      <c r="C22" s="110">
        <f>+$C$19*B22</f>
        <v>58500</v>
      </c>
    </row>
    <row r="23" spans="1:4" ht="15" x14ac:dyDescent="0.2">
      <c r="A23" s="82" t="s">
        <v>55</v>
      </c>
      <c r="B23" s="152">
        <v>0.09</v>
      </c>
      <c r="C23" s="110">
        <f>+$C$19*B23</f>
        <v>175500</v>
      </c>
    </row>
    <row r="24" spans="1:4" ht="15" x14ac:dyDescent="0.2">
      <c r="A24" s="82" t="s">
        <v>60</v>
      </c>
      <c r="B24" s="152">
        <v>0.04</v>
      </c>
      <c r="C24" s="111">
        <f>+$C$19*B24</f>
        <v>78000</v>
      </c>
    </row>
    <row r="25" spans="1:4" ht="15" x14ac:dyDescent="0.2">
      <c r="A25" s="82"/>
      <c r="B25" s="70"/>
      <c r="C25" s="110"/>
    </row>
    <row r="26" spans="1:4" ht="15" x14ac:dyDescent="0.2">
      <c r="A26" s="82" t="s">
        <v>52</v>
      </c>
      <c r="B26" s="70"/>
      <c r="C26" s="111">
        <f>ROUND(SUM(C22:C25),-3)</f>
        <v>312000</v>
      </c>
    </row>
    <row r="27" spans="1:4" ht="15" x14ac:dyDescent="0.2">
      <c r="A27" s="70"/>
      <c r="B27" s="70"/>
      <c r="C27" s="112"/>
    </row>
    <row r="28" spans="1:4" ht="15.75" thickBot="1" x14ac:dyDescent="0.25">
      <c r="A28" s="70" t="s">
        <v>71</v>
      </c>
      <c r="B28" s="70"/>
      <c r="C28" s="113">
        <f>ROUND(C19+C26,-4)</f>
        <v>2260000</v>
      </c>
    </row>
    <row r="29" spans="1:4" ht="15.75" thickTop="1" x14ac:dyDescent="0.2">
      <c r="A29" s="70"/>
      <c r="B29" s="70"/>
      <c r="C29" s="107"/>
    </row>
    <row r="30" spans="1:4" ht="15" x14ac:dyDescent="0.2">
      <c r="A30" s="70" t="s">
        <v>57</v>
      </c>
      <c r="B30" s="70"/>
      <c r="C30" s="110">
        <f>C28/C11</f>
        <v>1642.4418604651162</v>
      </c>
    </row>
    <row r="31" spans="1:4" ht="13.5" thickBot="1" x14ac:dyDescent="0.25">
      <c r="C31" s="13"/>
    </row>
    <row r="32" spans="1:4" ht="16.5" thickBot="1" x14ac:dyDescent="0.3">
      <c r="A32" s="47" t="s">
        <v>1</v>
      </c>
      <c r="B32" s="3"/>
      <c r="C32" s="57">
        <f>ROUND(C30,-1)</f>
        <v>1640</v>
      </c>
    </row>
    <row r="37" spans="1:1" x14ac:dyDescent="0.2">
      <c r="A37" s="52" t="s">
        <v>250</v>
      </c>
    </row>
  </sheetData>
  <mergeCells count="3">
    <mergeCell ref="A1:C1"/>
    <mergeCell ref="A3:C3"/>
    <mergeCell ref="A4:C4"/>
  </mergeCells>
  <pageMargins left="0.7" right="0.7" top="0.75" bottom="0.75" header="0.3" footer="0.3"/>
  <pageSetup orientation="portrait" horizontalDpi="0" verticalDpi="0" r:id="rId1"/>
  <headerFooter>
    <oddFooter>&amp;L&amp;Z&amp;F&amp;A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opLeftCell="A4" workbookViewId="0">
      <selection activeCell="A30" sqref="A30"/>
    </sheetView>
  </sheetViews>
  <sheetFormatPr defaultRowHeight="12.75" x14ac:dyDescent="0.2"/>
  <cols>
    <col min="1" max="1" width="57" bestFit="1" customWidth="1"/>
    <col min="2" max="2" width="9" customWidth="1"/>
    <col min="3" max="3" width="10.85546875" bestFit="1" customWidth="1"/>
  </cols>
  <sheetData>
    <row r="1" spans="1:3" ht="18" x14ac:dyDescent="0.25">
      <c r="A1" s="251" t="s">
        <v>73</v>
      </c>
      <c r="B1" s="251"/>
      <c r="C1" s="251"/>
    </row>
    <row r="2" spans="1:3" ht="20.25" x14ac:dyDescent="0.3">
      <c r="A2" s="252" t="s">
        <v>135</v>
      </c>
      <c r="B2" s="252"/>
      <c r="C2" s="252"/>
    </row>
    <row r="3" spans="1:3" ht="15" x14ac:dyDescent="0.2">
      <c r="A3" s="254" t="s">
        <v>226</v>
      </c>
      <c r="B3" s="254"/>
      <c r="C3" s="254"/>
    </row>
    <row r="5" spans="1:3" ht="18" x14ac:dyDescent="0.25">
      <c r="A5" s="251" t="s">
        <v>77</v>
      </c>
      <c r="B5" s="251"/>
      <c r="C5" s="251"/>
    </row>
    <row r="7" spans="1:3" ht="15" x14ac:dyDescent="0.2">
      <c r="A7" s="70" t="s">
        <v>13</v>
      </c>
      <c r="B7" s="70"/>
      <c r="C7" s="70"/>
    </row>
    <row r="8" spans="1:3" ht="15" x14ac:dyDescent="0.2">
      <c r="A8" s="82" t="s">
        <v>12</v>
      </c>
      <c r="B8" s="70"/>
      <c r="C8" s="91">
        <v>40000</v>
      </c>
    </row>
    <row r="9" spans="1:3" ht="15" x14ac:dyDescent="0.2">
      <c r="A9" s="82" t="s">
        <v>11</v>
      </c>
      <c r="B9" s="70"/>
      <c r="C9" s="91">
        <v>8000</v>
      </c>
    </row>
    <row r="10" spans="1:3" ht="15" x14ac:dyDescent="0.2">
      <c r="A10" s="82" t="s">
        <v>51</v>
      </c>
      <c r="B10" s="70"/>
      <c r="C10" s="92">
        <v>8000</v>
      </c>
    </row>
    <row r="11" spans="1:3" ht="15" x14ac:dyDescent="0.2">
      <c r="A11" s="82"/>
      <c r="B11" s="70"/>
      <c r="C11" s="114"/>
    </row>
    <row r="12" spans="1:3" ht="15" x14ac:dyDescent="0.2">
      <c r="A12" s="82" t="s">
        <v>41</v>
      </c>
      <c r="B12" s="70"/>
      <c r="C12" s="110">
        <f>SUM(C8:C10)</f>
        <v>56000</v>
      </c>
    </row>
    <row r="13" spans="1:3" ht="15" x14ac:dyDescent="0.2">
      <c r="A13" s="82" t="s">
        <v>54</v>
      </c>
      <c r="B13" s="109">
        <v>1</v>
      </c>
      <c r="C13" s="111">
        <f>+C12*B13</f>
        <v>56000</v>
      </c>
    </row>
    <row r="14" spans="1:3" ht="15" x14ac:dyDescent="0.2">
      <c r="A14" s="82"/>
      <c r="B14" s="109"/>
      <c r="C14" s="112"/>
    </row>
    <row r="15" spans="1:3" ht="15" x14ac:dyDescent="0.2">
      <c r="A15" s="82" t="s">
        <v>65</v>
      </c>
      <c r="B15" s="77"/>
      <c r="C15" s="110">
        <f>+C13+C12</f>
        <v>112000</v>
      </c>
    </row>
    <row r="16" spans="1:3" ht="15" x14ac:dyDescent="0.2">
      <c r="A16" s="70"/>
      <c r="B16" s="77"/>
      <c r="C16" s="110"/>
    </row>
    <row r="17" spans="1:3" ht="15" x14ac:dyDescent="0.2">
      <c r="A17" s="70" t="s">
        <v>15</v>
      </c>
      <c r="B17" s="77"/>
      <c r="C17" s="91"/>
    </row>
    <row r="18" spans="1:3" ht="15" x14ac:dyDescent="0.2">
      <c r="A18" s="82" t="s">
        <v>14</v>
      </c>
      <c r="B18" s="77"/>
      <c r="C18" s="91">
        <v>145000</v>
      </c>
    </row>
    <row r="19" spans="1:3" ht="15" x14ac:dyDescent="0.2">
      <c r="A19" s="82" t="s">
        <v>11</v>
      </c>
      <c r="B19" s="77"/>
      <c r="C19" s="92">
        <v>2000</v>
      </c>
    </row>
    <row r="20" spans="1:3" ht="15" x14ac:dyDescent="0.2">
      <c r="A20" s="70"/>
      <c r="B20" s="70"/>
      <c r="C20" s="110"/>
    </row>
    <row r="21" spans="1:3" ht="15" x14ac:dyDescent="0.2">
      <c r="A21" s="82" t="s">
        <v>41</v>
      </c>
      <c r="B21" s="77"/>
      <c r="C21" s="110">
        <f>SUM(C18:C19)</f>
        <v>147000</v>
      </c>
    </row>
    <row r="22" spans="1:3" ht="15" x14ac:dyDescent="0.2">
      <c r="A22" s="82" t="s">
        <v>54</v>
      </c>
      <c r="B22" s="109">
        <v>0.15</v>
      </c>
      <c r="C22" s="111">
        <f>+C21*B22</f>
        <v>22050</v>
      </c>
    </row>
    <row r="23" spans="1:3" ht="15" x14ac:dyDescent="0.2">
      <c r="A23" s="70"/>
      <c r="B23" s="70"/>
      <c r="C23" s="110"/>
    </row>
    <row r="24" spans="1:3" ht="15" x14ac:dyDescent="0.2">
      <c r="A24" s="82" t="s">
        <v>66</v>
      </c>
      <c r="B24" s="70"/>
      <c r="C24" s="111">
        <f>+C22+C21</f>
        <v>169050</v>
      </c>
    </row>
    <row r="25" spans="1:3" ht="15" x14ac:dyDescent="0.2">
      <c r="A25" s="70"/>
      <c r="B25" s="70"/>
      <c r="C25" s="110"/>
    </row>
    <row r="26" spans="1:3" ht="16.5" thickBot="1" x14ac:dyDescent="0.3">
      <c r="A26" s="47" t="s">
        <v>67</v>
      </c>
      <c r="B26" s="47"/>
      <c r="C26" s="115">
        <f>ROUND(+C24+C15,-3)</f>
        <v>281000</v>
      </c>
    </row>
    <row r="27" spans="1:3" ht="13.5" thickTop="1" x14ac:dyDescent="0.2"/>
    <row r="30" spans="1:3" x14ac:dyDescent="0.2">
      <c r="A30" t="s">
        <v>250</v>
      </c>
    </row>
  </sheetData>
  <mergeCells count="4">
    <mergeCell ref="A2:C2"/>
    <mergeCell ref="A5:C5"/>
    <mergeCell ref="A1:C1"/>
    <mergeCell ref="A3:C3"/>
  </mergeCells>
  <pageMargins left="0.7" right="0.7" top="0.75" bottom="0.75" header="0.3" footer="0.3"/>
  <pageSetup orientation="portrait" horizontalDpi="0" verticalDpi="0" r:id="rId1"/>
  <headerFooter>
    <oddFooter>&amp;L&amp;Z&amp;F&amp;A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"/>
  <sheetViews>
    <sheetView workbookViewId="0">
      <selection activeCell="B40" sqref="B40"/>
    </sheetView>
  </sheetViews>
  <sheetFormatPr defaultRowHeight="12.75" x14ac:dyDescent="0.2"/>
  <cols>
    <col min="1" max="1" width="41.5703125" bestFit="1" customWidth="1"/>
    <col min="2" max="2" width="10.5703125" customWidth="1"/>
    <col min="3" max="3" width="12.42578125" customWidth="1"/>
  </cols>
  <sheetData>
    <row r="1" spans="1:3" ht="18" x14ac:dyDescent="0.25">
      <c r="A1" s="251" t="s">
        <v>83</v>
      </c>
      <c r="B1" s="251"/>
      <c r="C1" s="251"/>
    </row>
    <row r="2" spans="1:3" ht="15.75" x14ac:dyDescent="0.25">
      <c r="A2" s="11"/>
      <c r="B2" s="11"/>
      <c r="C2" s="11"/>
    </row>
    <row r="3" spans="1:3" ht="20.25" x14ac:dyDescent="0.3">
      <c r="A3" s="252" t="s">
        <v>135</v>
      </c>
      <c r="B3" s="252"/>
      <c r="C3" s="252"/>
    </row>
    <row r="4" spans="1:3" ht="15" x14ac:dyDescent="0.2">
      <c r="A4" s="254" t="s">
        <v>227</v>
      </c>
      <c r="B4" s="254"/>
      <c r="C4" s="254"/>
    </row>
    <row r="5" spans="1:3" ht="15.75" x14ac:dyDescent="0.25">
      <c r="A5" s="11"/>
      <c r="B5" s="11"/>
      <c r="C5" s="11"/>
    </row>
    <row r="6" spans="1:3" ht="18" x14ac:dyDescent="0.25">
      <c r="A6" s="251" t="s">
        <v>18</v>
      </c>
      <c r="B6" s="251"/>
      <c r="C6" s="251"/>
    </row>
    <row r="8" spans="1:3" ht="15" x14ac:dyDescent="0.2">
      <c r="A8" s="70" t="s">
        <v>19</v>
      </c>
      <c r="B8" s="70"/>
      <c r="C8" s="91">
        <v>23200</v>
      </c>
    </row>
    <row r="9" spans="1:3" ht="15" x14ac:dyDescent="0.2">
      <c r="A9" s="70" t="s">
        <v>20</v>
      </c>
      <c r="B9" s="70"/>
      <c r="C9" s="91">
        <v>34800</v>
      </c>
    </row>
    <row r="10" spans="1:3" ht="15" x14ac:dyDescent="0.2">
      <c r="A10" s="70" t="s">
        <v>21</v>
      </c>
      <c r="B10" s="70"/>
      <c r="C10" s="91">
        <v>11800</v>
      </c>
    </row>
    <row r="11" spans="1:3" ht="15" x14ac:dyDescent="0.2">
      <c r="A11" s="70" t="s">
        <v>22</v>
      </c>
      <c r="B11" s="70"/>
      <c r="C11" s="91">
        <v>18750</v>
      </c>
    </row>
    <row r="12" spans="1:3" ht="15" x14ac:dyDescent="0.2">
      <c r="A12" s="70" t="s">
        <v>23</v>
      </c>
      <c r="B12" s="70"/>
      <c r="C12" s="91">
        <v>3300</v>
      </c>
    </row>
    <row r="13" spans="1:3" ht="15" x14ac:dyDescent="0.2">
      <c r="A13" s="70" t="s">
        <v>39</v>
      </c>
      <c r="B13" s="70"/>
      <c r="C13" s="91">
        <v>8600</v>
      </c>
    </row>
    <row r="14" spans="1:3" ht="15" x14ac:dyDescent="0.2">
      <c r="A14" s="70" t="s">
        <v>24</v>
      </c>
      <c r="B14" s="70"/>
      <c r="C14" s="91">
        <v>26700</v>
      </c>
    </row>
    <row r="15" spans="1:3" ht="15" x14ac:dyDescent="0.2">
      <c r="A15" s="70" t="s">
        <v>25</v>
      </c>
      <c r="B15" s="70"/>
      <c r="C15" s="91">
        <v>33000</v>
      </c>
    </row>
    <row r="16" spans="1:3" ht="15" x14ac:dyDescent="0.2">
      <c r="A16" s="70" t="s">
        <v>26</v>
      </c>
      <c r="B16" s="70"/>
      <c r="C16" s="91">
        <v>5700</v>
      </c>
    </row>
    <row r="17" spans="1:3" ht="15" x14ac:dyDescent="0.2">
      <c r="A17" s="70" t="s">
        <v>37</v>
      </c>
      <c r="B17" s="70"/>
      <c r="C17" s="91">
        <v>24800</v>
      </c>
    </row>
    <row r="18" spans="1:3" ht="15" x14ac:dyDescent="0.2">
      <c r="A18" s="70" t="s">
        <v>27</v>
      </c>
      <c r="B18" s="70"/>
      <c r="C18" s="91">
        <v>7500</v>
      </c>
    </row>
    <row r="19" spans="1:3" ht="15" x14ac:dyDescent="0.2">
      <c r="A19" s="70" t="s">
        <v>28</v>
      </c>
      <c r="B19" s="70"/>
      <c r="C19" s="91">
        <v>4000</v>
      </c>
    </row>
    <row r="20" spans="1:3" ht="15" x14ac:dyDescent="0.2">
      <c r="A20" s="70" t="s">
        <v>29</v>
      </c>
      <c r="B20" s="70"/>
      <c r="C20" s="91">
        <v>4000</v>
      </c>
    </row>
    <row r="21" spans="1:3" ht="15" x14ac:dyDescent="0.2">
      <c r="A21" s="70" t="s">
        <v>30</v>
      </c>
      <c r="B21" s="70"/>
      <c r="C21" s="91">
        <v>6200</v>
      </c>
    </row>
    <row r="22" spans="1:3" ht="15" x14ac:dyDescent="0.2">
      <c r="A22" s="70" t="s">
        <v>31</v>
      </c>
      <c r="B22" s="70"/>
      <c r="C22" s="91">
        <v>17700</v>
      </c>
    </row>
    <row r="23" spans="1:3" ht="15" x14ac:dyDescent="0.2">
      <c r="A23" s="70" t="s">
        <v>32</v>
      </c>
      <c r="B23" s="70"/>
      <c r="C23" s="91">
        <v>4300</v>
      </c>
    </row>
    <row r="24" spans="1:3" ht="15" x14ac:dyDescent="0.2">
      <c r="A24" s="70" t="s">
        <v>91</v>
      </c>
      <c r="B24" s="70"/>
      <c r="C24" s="91">
        <v>3900</v>
      </c>
    </row>
    <row r="25" spans="1:3" ht="15" x14ac:dyDescent="0.2">
      <c r="A25" s="70" t="s">
        <v>33</v>
      </c>
      <c r="B25" s="70"/>
      <c r="C25" s="91">
        <v>3700</v>
      </c>
    </row>
    <row r="26" spans="1:3" ht="15" x14ac:dyDescent="0.2">
      <c r="A26" s="70" t="s">
        <v>34</v>
      </c>
      <c r="B26" s="70"/>
      <c r="C26" s="91">
        <v>288300</v>
      </c>
    </row>
    <row r="27" spans="1:3" ht="15" x14ac:dyDescent="0.2">
      <c r="A27" s="70" t="s">
        <v>35</v>
      </c>
      <c r="B27" s="70"/>
      <c r="C27" s="91">
        <v>10000</v>
      </c>
    </row>
    <row r="28" spans="1:3" ht="15" x14ac:dyDescent="0.2">
      <c r="A28" s="70" t="s">
        <v>89</v>
      </c>
      <c r="B28" s="70"/>
      <c r="C28" s="91">
        <v>22000</v>
      </c>
    </row>
    <row r="29" spans="1:3" ht="15" x14ac:dyDescent="0.2">
      <c r="A29" s="70" t="s">
        <v>88</v>
      </c>
      <c r="B29" s="70"/>
      <c r="C29" s="91">
        <v>9000</v>
      </c>
    </row>
    <row r="30" spans="1:3" ht="15" x14ac:dyDescent="0.2">
      <c r="A30" s="70" t="s">
        <v>92</v>
      </c>
      <c r="B30" s="70"/>
      <c r="C30" s="91">
        <v>32000</v>
      </c>
    </row>
    <row r="31" spans="1:3" ht="15" x14ac:dyDescent="0.2">
      <c r="A31" s="70" t="s">
        <v>36</v>
      </c>
      <c r="B31" s="70"/>
      <c r="C31" s="91">
        <v>15000</v>
      </c>
    </row>
    <row r="32" spans="1:3" ht="15" x14ac:dyDescent="0.2">
      <c r="A32" s="70" t="s">
        <v>38</v>
      </c>
      <c r="B32" s="70"/>
      <c r="C32" s="91">
        <v>117000</v>
      </c>
    </row>
    <row r="33" spans="1:3" ht="15" x14ac:dyDescent="0.2">
      <c r="A33" s="70" t="s">
        <v>40</v>
      </c>
      <c r="B33" s="70"/>
      <c r="C33" s="91">
        <v>8300</v>
      </c>
    </row>
    <row r="34" spans="1:3" ht="15" x14ac:dyDescent="0.2">
      <c r="A34" s="70" t="s">
        <v>90</v>
      </c>
      <c r="B34" s="70"/>
      <c r="C34" s="92">
        <v>20500</v>
      </c>
    </row>
    <row r="35" spans="1:3" ht="15" x14ac:dyDescent="0.2">
      <c r="A35" s="77" t="s">
        <v>41</v>
      </c>
      <c r="B35" s="70"/>
      <c r="C35" s="91">
        <f>SUM(C8:C34)</f>
        <v>764050</v>
      </c>
    </row>
    <row r="36" spans="1:3" ht="15" x14ac:dyDescent="0.2">
      <c r="A36" s="77"/>
      <c r="B36" s="70"/>
      <c r="C36" s="91"/>
    </row>
    <row r="37" spans="1:3" ht="15" x14ac:dyDescent="0.2">
      <c r="A37" s="70" t="s">
        <v>54</v>
      </c>
      <c r="B37" s="109">
        <v>0.1</v>
      </c>
      <c r="C37" s="91">
        <f>+C35*B37</f>
        <v>76405</v>
      </c>
    </row>
    <row r="38" spans="1:3" ht="15" x14ac:dyDescent="0.2">
      <c r="A38" s="70" t="s">
        <v>72</v>
      </c>
      <c r="B38" s="109">
        <v>0.05</v>
      </c>
      <c r="C38" s="114">
        <f>C35*B38</f>
        <v>38202.5</v>
      </c>
    </row>
    <row r="39" spans="1:3" ht="15" x14ac:dyDescent="0.2">
      <c r="A39" s="70" t="s">
        <v>187</v>
      </c>
      <c r="B39" s="76" t="s">
        <v>253</v>
      </c>
      <c r="C39" s="92">
        <f>5000*4</f>
        <v>20000</v>
      </c>
    </row>
    <row r="40" spans="1:3" ht="16.5" thickBot="1" x14ac:dyDescent="0.3">
      <c r="A40" s="47" t="s">
        <v>76</v>
      </c>
      <c r="B40" s="47"/>
      <c r="C40" s="115">
        <f>ROUND(+C37+C38+C35+C39,-4)</f>
        <v>900000</v>
      </c>
    </row>
    <row r="41" spans="1:3" ht="15.75" thickTop="1" x14ac:dyDescent="0.2">
      <c r="A41" s="70"/>
      <c r="B41" s="70"/>
      <c r="C41" s="119"/>
    </row>
    <row r="44" spans="1:3" x14ac:dyDescent="0.2">
      <c r="A44" s="52" t="s">
        <v>250</v>
      </c>
    </row>
  </sheetData>
  <mergeCells count="4">
    <mergeCell ref="A1:C1"/>
    <mergeCell ref="A3:C3"/>
    <mergeCell ref="A6:C6"/>
    <mergeCell ref="A4:C4"/>
  </mergeCells>
  <pageMargins left="0.7" right="0.7" top="0.75" bottom="0.75" header="0.3" footer="0.3"/>
  <pageSetup orientation="portrait" horizontalDpi="0" verticalDpi="0" r:id="rId1"/>
  <headerFooter>
    <oddFooter>&amp;L&amp;Z&amp;F&amp;A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selection activeCell="A24" sqref="A24"/>
    </sheetView>
  </sheetViews>
  <sheetFormatPr defaultRowHeight="12.75" x14ac:dyDescent="0.2"/>
  <cols>
    <col min="1" max="1" width="67.28515625" bestFit="1" customWidth="1"/>
    <col min="2" max="2" width="8.42578125" bestFit="1" customWidth="1"/>
    <col min="3" max="3" width="16.7109375" customWidth="1"/>
  </cols>
  <sheetData>
    <row r="1" spans="1:3" ht="18" x14ac:dyDescent="0.25">
      <c r="A1" s="251" t="s">
        <v>143</v>
      </c>
      <c r="B1" s="251"/>
      <c r="C1" s="251"/>
    </row>
    <row r="2" spans="1:3" ht="20.25" x14ac:dyDescent="0.3">
      <c r="A2" s="252" t="s">
        <v>135</v>
      </c>
      <c r="B2" s="252"/>
      <c r="C2" s="252"/>
    </row>
    <row r="3" spans="1:3" ht="15" x14ac:dyDescent="0.2">
      <c r="A3" s="254" t="s">
        <v>227</v>
      </c>
      <c r="B3" s="254"/>
      <c r="C3" s="254"/>
    </row>
    <row r="4" spans="1:3" ht="15.75" x14ac:dyDescent="0.25">
      <c r="A4" s="11"/>
      <c r="B4" s="11"/>
      <c r="C4" s="11"/>
    </row>
    <row r="5" spans="1:3" ht="18" x14ac:dyDescent="0.25">
      <c r="A5" s="251" t="s">
        <v>74</v>
      </c>
      <c r="B5" s="251"/>
      <c r="C5" s="251"/>
    </row>
    <row r="7" spans="1:3" s="52" customFormat="1" x14ac:dyDescent="0.2"/>
    <row r="8" spans="1:3" ht="15" x14ac:dyDescent="0.2">
      <c r="A8" s="70" t="s">
        <v>53</v>
      </c>
      <c r="B8" s="70"/>
      <c r="C8" s="105">
        <v>870000</v>
      </c>
    </row>
    <row r="9" spans="1:3" ht="15" x14ac:dyDescent="0.2">
      <c r="A9" s="70" t="s">
        <v>54</v>
      </c>
      <c r="B9" s="109">
        <v>0.15</v>
      </c>
      <c r="C9" s="116">
        <f>C8*B9</f>
        <v>130500</v>
      </c>
    </row>
    <row r="10" spans="1:3" ht="15" x14ac:dyDescent="0.2">
      <c r="A10" s="70"/>
      <c r="B10" s="70"/>
      <c r="C10" s="71"/>
    </row>
    <row r="11" spans="1:3" ht="15.75" thickBot="1" x14ac:dyDescent="0.25">
      <c r="A11" s="70" t="s">
        <v>75</v>
      </c>
      <c r="B11" s="70"/>
      <c r="C11" s="117">
        <f>ROUND(SUM(C8:C9),-4)</f>
        <v>1000000</v>
      </c>
    </row>
    <row r="12" spans="1:3" ht="15.75" thickTop="1" x14ac:dyDescent="0.2">
      <c r="A12" s="70"/>
      <c r="B12" s="70"/>
      <c r="C12" s="71"/>
    </row>
    <row r="13" spans="1:3" ht="15.75" x14ac:dyDescent="0.25">
      <c r="A13" s="47" t="s">
        <v>251</v>
      </c>
      <c r="B13" s="151">
        <v>0.76470588235294101</v>
      </c>
      <c r="C13" s="118">
        <f>ROUND((C8+C9)*B13,-3)</f>
        <v>765000</v>
      </c>
    </row>
    <row r="15" spans="1:3" x14ac:dyDescent="0.2">
      <c r="C15" s="1"/>
    </row>
    <row r="19" spans="1:1" x14ac:dyDescent="0.2">
      <c r="A19" s="79" t="s">
        <v>252</v>
      </c>
    </row>
    <row r="22" spans="1:1" x14ac:dyDescent="0.2">
      <c r="A22" s="52" t="s">
        <v>250</v>
      </c>
    </row>
  </sheetData>
  <mergeCells count="4">
    <mergeCell ref="A2:C2"/>
    <mergeCell ref="A1:C1"/>
    <mergeCell ref="A3:C3"/>
    <mergeCell ref="A5:C5"/>
  </mergeCells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C6" sqref="C6"/>
    </sheetView>
  </sheetViews>
  <sheetFormatPr defaultRowHeight="12.75" x14ac:dyDescent="0.2"/>
  <cols>
    <col min="1" max="1" width="54.28515625" bestFit="1" customWidth="1"/>
    <col min="3" max="3" width="13.85546875" customWidth="1"/>
    <col min="5" max="5" width="10.42578125" hidden="1" customWidth="1"/>
    <col min="6" max="6" width="0" hidden="1" customWidth="1"/>
    <col min="7" max="7" width="21.42578125" hidden="1" customWidth="1"/>
    <col min="8" max="8" width="0" hidden="1" customWidth="1"/>
    <col min="9" max="9" width="9.28515625" hidden="1" customWidth="1"/>
  </cols>
  <sheetData>
    <row r="1" spans="1:9" ht="18" x14ac:dyDescent="0.25">
      <c r="A1" s="251" t="s">
        <v>84</v>
      </c>
      <c r="B1" s="251"/>
      <c r="C1" s="251"/>
    </row>
    <row r="2" spans="1:9" ht="20.25" x14ac:dyDescent="0.3">
      <c r="A2" s="252" t="s">
        <v>379</v>
      </c>
      <c r="B2" s="252"/>
      <c r="C2" s="252"/>
    </row>
    <row r="3" spans="1:9" ht="15.75" x14ac:dyDescent="0.25">
      <c r="A3" s="253"/>
      <c r="B3" s="253"/>
      <c r="C3" s="253"/>
    </row>
    <row r="4" spans="1:9" ht="15" x14ac:dyDescent="0.2">
      <c r="A4" s="70" t="s">
        <v>49</v>
      </c>
      <c r="B4" s="70"/>
      <c r="C4" s="72">
        <v>4500</v>
      </c>
      <c r="E4" s="72">
        <f>+C4*3.6</f>
        <v>16200</v>
      </c>
      <c r="G4" s="52"/>
      <c r="H4" s="79" t="s">
        <v>236</v>
      </c>
    </row>
    <row r="5" spans="1:9" x14ac:dyDescent="0.2">
      <c r="A5" s="123"/>
      <c r="B5" s="123"/>
      <c r="C5" s="124"/>
      <c r="D5" s="123"/>
      <c r="E5" s="123"/>
      <c r="F5" s="123"/>
      <c r="G5" s="123"/>
      <c r="H5" s="123"/>
      <c r="I5" s="123"/>
    </row>
    <row r="6" spans="1:9" ht="15" x14ac:dyDescent="0.2">
      <c r="A6" s="70" t="s">
        <v>82</v>
      </c>
      <c r="B6" s="70"/>
      <c r="C6" s="72">
        <f>ROUND(C4/(0.474*2.8*1.15),-1)</f>
        <v>2950</v>
      </c>
      <c r="E6" s="72">
        <f>ROUND(E4/(0.474*2.8*1.15),-1)</f>
        <v>10610</v>
      </c>
      <c r="H6" s="20">
        <f>+E6/30</f>
        <v>353.66666666666669</v>
      </c>
      <c r="I6" s="79" t="s">
        <v>233</v>
      </c>
    </row>
    <row r="7" spans="1:9" x14ac:dyDescent="0.2">
      <c r="A7" s="123"/>
      <c r="B7" s="123"/>
      <c r="C7" s="125"/>
      <c r="D7" s="123"/>
      <c r="E7" s="123"/>
      <c r="F7" s="123"/>
      <c r="G7" s="123"/>
      <c r="H7" s="123"/>
      <c r="I7" s="123"/>
    </row>
    <row r="8" spans="1:9" ht="15" x14ac:dyDescent="0.2">
      <c r="A8" s="70" t="s">
        <v>81</v>
      </c>
      <c r="B8" s="70"/>
      <c r="C8" s="83">
        <f>ROUND(+'A-7 Peaking Costs'!C30,-4)</f>
        <v>3540000</v>
      </c>
      <c r="E8" s="26">
        <f>+H12</f>
        <v>8625820.2916446757</v>
      </c>
      <c r="G8" s="52" t="s">
        <v>239</v>
      </c>
      <c r="H8" s="20">
        <f>+'3.6'!C4</f>
        <v>3900000</v>
      </c>
    </row>
    <row r="9" spans="1:9" x14ac:dyDescent="0.2">
      <c r="A9" s="123"/>
      <c r="B9" s="123"/>
      <c r="C9" s="125"/>
      <c r="D9" s="123"/>
      <c r="E9" s="123"/>
      <c r="F9" s="123"/>
      <c r="G9" s="123"/>
      <c r="H9" s="123"/>
      <c r="I9" s="123"/>
    </row>
    <row r="10" spans="1:9" ht="15" x14ac:dyDescent="0.2">
      <c r="A10" s="70" t="s">
        <v>80</v>
      </c>
      <c r="B10" s="70"/>
      <c r="C10" s="72">
        <f>C8/C6</f>
        <v>1200</v>
      </c>
      <c r="E10" s="72">
        <f>+E8/E6</f>
        <v>812.98965990995998</v>
      </c>
      <c r="G10" s="79" t="s">
        <v>232</v>
      </c>
      <c r="H10" s="20">
        <f>+'3.6'!D35</f>
        <v>3711017.9043923616</v>
      </c>
    </row>
    <row r="11" spans="1:9" ht="13.5" thickBot="1" x14ac:dyDescent="0.25">
      <c r="C11" s="26"/>
      <c r="G11" s="133" t="s">
        <v>238</v>
      </c>
      <c r="H11" s="39">
        <f>-4*'3.6'!D1</f>
        <v>1014802.3872523146</v>
      </c>
    </row>
    <row r="12" spans="1:9" ht="16.5" thickBot="1" x14ac:dyDescent="0.3">
      <c r="A12" s="47" t="s">
        <v>42</v>
      </c>
      <c r="B12" s="47"/>
      <c r="C12" s="60">
        <f>ROUND(C10,-1)</f>
        <v>1200</v>
      </c>
      <c r="E12" s="60">
        <f>ROUND(E10,-1)</f>
        <v>810</v>
      </c>
      <c r="G12" s="79" t="s">
        <v>104</v>
      </c>
      <c r="H12" s="26">
        <f>+H8+H10+H11</f>
        <v>8625820.2916446757</v>
      </c>
    </row>
  </sheetData>
  <mergeCells count="3">
    <mergeCell ref="A1:C1"/>
    <mergeCell ref="A2:C2"/>
    <mergeCell ref="A3:C3"/>
  </mergeCells>
  <pageMargins left="0.7" right="0.7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topLeftCell="A10" workbookViewId="0">
      <selection activeCell="C23" sqref="C23"/>
    </sheetView>
  </sheetViews>
  <sheetFormatPr defaultRowHeight="12.75" x14ac:dyDescent="0.2"/>
  <cols>
    <col min="1" max="1" width="45.28515625" bestFit="1" customWidth="1"/>
    <col min="2" max="2" width="5.7109375" customWidth="1"/>
    <col min="3" max="3" width="13.5703125" customWidth="1"/>
  </cols>
  <sheetData>
    <row r="1" spans="1:3" ht="18" x14ac:dyDescent="0.25">
      <c r="A1" s="251" t="s">
        <v>85</v>
      </c>
      <c r="B1" s="251"/>
      <c r="C1" s="251"/>
    </row>
    <row r="2" spans="1:3" ht="20.25" x14ac:dyDescent="0.3">
      <c r="A2" s="252" t="s">
        <v>140</v>
      </c>
      <c r="B2" s="252"/>
      <c r="C2" s="252"/>
    </row>
    <row r="3" spans="1:3" ht="15.75" x14ac:dyDescent="0.25">
      <c r="A3" s="11"/>
      <c r="B3" s="11"/>
      <c r="C3" s="11"/>
    </row>
    <row r="4" spans="1:3" ht="15.75" x14ac:dyDescent="0.25">
      <c r="A4" s="253" t="s">
        <v>78</v>
      </c>
      <c r="B4" s="253"/>
      <c r="C4" s="253"/>
    </row>
    <row r="6" spans="1:3" x14ac:dyDescent="0.2">
      <c r="A6" s="3" t="s">
        <v>63</v>
      </c>
    </row>
    <row r="7" spans="1:3" ht="15" x14ac:dyDescent="0.2">
      <c r="A7" s="82" t="s">
        <v>145</v>
      </c>
      <c r="B7" s="70"/>
      <c r="C7" s="91">
        <v>5000</v>
      </c>
    </row>
    <row r="8" spans="1:3" ht="15" x14ac:dyDescent="0.2">
      <c r="A8" s="82" t="s">
        <v>146</v>
      </c>
      <c r="B8" s="70"/>
      <c r="C8" s="91">
        <v>50000</v>
      </c>
    </row>
    <row r="9" spans="1:3" ht="15" x14ac:dyDescent="0.2">
      <c r="A9" s="82" t="s">
        <v>43</v>
      </c>
      <c r="B9" s="70"/>
      <c r="C9" s="91">
        <v>200000</v>
      </c>
    </row>
    <row r="10" spans="1:3" ht="15" x14ac:dyDescent="0.2">
      <c r="A10" s="82" t="s">
        <v>93</v>
      </c>
      <c r="B10" s="70"/>
      <c r="C10" s="91">
        <v>250000</v>
      </c>
    </row>
    <row r="11" spans="1:3" ht="15" x14ac:dyDescent="0.2">
      <c r="A11" s="82" t="s">
        <v>44</v>
      </c>
      <c r="B11" s="70"/>
      <c r="C11" s="91">
        <v>350000</v>
      </c>
    </row>
    <row r="12" spans="1:3" ht="15" x14ac:dyDescent="0.2">
      <c r="A12" s="82" t="s">
        <v>45</v>
      </c>
      <c r="B12" s="70"/>
      <c r="C12" s="91">
        <v>350000</v>
      </c>
    </row>
    <row r="13" spans="1:3" ht="15" x14ac:dyDescent="0.2">
      <c r="A13" s="82" t="s">
        <v>46</v>
      </c>
      <c r="B13" s="70"/>
      <c r="C13" s="91">
        <v>120000</v>
      </c>
    </row>
    <row r="14" spans="1:3" ht="15" x14ac:dyDescent="0.2">
      <c r="A14" s="82" t="s">
        <v>47</v>
      </c>
      <c r="B14" s="70"/>
      <c r="C14" s="91">
        <v>25000</v>
      </c>
    </row>
    <row r="15" spans="1:3" ht="15" x14ac:dyDescent="0.2">
      <c r="A15" s="82" t="s">
        <v>48</v>
      </c>
      <c r="B15" s="70"/>
      <c r="C15" s="92">
        <v>1000000</v>
      </c>
    </row>
    <row r="16" spans="1:3" ht="15" x14ac:dyDescent="0.2">
      <c r="A16" s="82" t="s">
        <v>41</v>
      </c>
      <c r="B16" s="70"/>
      <c r="C16" s="91">
        <f>SUM(C7:C15)</f>
        <v>2350000</v>
      </c>
    </row>
    <row r="17" spans="1:3" ht="15" x14ac:dyDescent="0.2">
      <c r="A17" s="82"/>
      <c r="B17" s="70"/>
      <c r="C17" s="91"/>
    </row>
    <row r="18" spans="1:3" ht="15" x14ac:dyDescent="0.2">
      <c r="A18" s="82" t="s">
        <v>58</v>
      </c>
      <c r="B18" s="109"/>
      <c r="C18" s="110">
        <f>ROUND(2*43560*4,-4)</f>
        <v>350000</v>
      </c>
    </row>
    <row r="19" spans="1:3" ht="15" x14ac:dyDescent="0.2">
      <c r="A19" s="120" t="s">
        <v>147</v>
      </c>
      <c r="B19" s="109"/>
      <c r="C19" s="91"/>
    </row>
    <row r="20" spans="1:3" ht="15" x14ac:dyDescent="0.2">
      <c r="A20" s="82" t="s">
        <v>72</v>
      </c>
      <c r="B20" s="109">
        <v>0.05</v>
      </c>
      <c r="C20" s="114">
        <f>C16*B20</f>
        <v>117500</v>
      </c>
    </row>
    <row r="21" spans="1:3" ht="15" x14ac:dyDescent="0.2">
      <c r="A21" s="82" t="s">
        <v>54</v>
      </c>
      <c r="B21" s="109">
        <v>0.1</v>
      </c>
      <c r="C21" s="92">
        <f>+C16*B21</f>
        <v>235000</v>
      </c>
    </row>
    <row r="22" spans="1:3" ht="15" x14ac:dyDescent="0.2">
      <c r="A22" s="82" t="s">
        <v>128</v>
      </c>
      <c r="B22" s="70"/>
      <c r="C22" s="91">
        <f>ROUND(+C16+C18+C20+C21,-3)</f>
        <v>3053000</v>
      </c>
    </row>
    <row r="23" spans="1:3" ht="15" x14ac:dyDescent="0.2">
      <c r="A23" s="70"/>
      <c r="B23" s="70"/>
      <c r="C23" s="91"/>
    </row>
    <row r="24" spans="1:3" ht="15" x14ac:dyDescent="0.2">
      <c r="A24" s="70" t="s">
        <v>69</v>
      </c>
      <c r="B24" s="70"/>
      <c r="C24" s="91"/>
    </row>
    <row r="25" spans="1:3" ht="15" x14ac:dyDescent="0.2">
      <c r="A25" s="82" t="s">
        <v>59</v>
      </c>
      <c r="B25" s="109">
        <v>0.03</v>
      </c>
      <c r="C25" s="91">
        <f>$C$22*B25</f>
        <v>91590</v>
      </c>
    </row>
    <row r="26" spans="1:3" ht="15" x14ac:dyDescent="0.2">
      <c r="A26" s="82" t="s">
        <v>55</v>
      </c>
      <c r="B26" s="109">
        <v>0.09</v>
      </c>
      <c r="C26" s="91">
        <f>$C$22*B26</f>
        <v>274770</v>
      </c>
    </row>
    <row r="27" spans="1:3" ht="15" x14ac:dyDescent="0.2">
      <c r="A27" s="82" t="s">
        <v>60</v>
      </c>
      <c r="B27" s="109">
        <v>0.04</v>
      </c>
      <c r="C27" s="92">
        <f>$C$22*B27</f>
        <v>122120</v>
      </c>
    </row>
    <row r="28" spans="1:3" ht="15" x14ac:dyDescent="0.2">
      <c r="A28" s="82" t="s">
        <v>52</v>
      </c>
      <c r="B28" s="70"/>
      <c r="C28" s="92">
        <f>ROUND(SUM(C25:C27),-3)</f>
        <v>488000</v>
      </c>
    </row>
    <row r="29" spans="1:3" ht="15" x14ac:dyDescent="0.2">
      <c r="A29" s="70"/>
      <c r="B29" s="70"/>
      <c r="C29" s="91"/>
    </row>
    <row r="30" spans="1:3" ht="16.5" thickBot="1" x14ac:dyDescent="0.3">
      <c r="A30" s="47" t="s">
        <v>79</v>
      </c>
      <c r="B30" s="47"/>
      <c r="C30" s="121">
        <f>ROUND(+C28+C22,-3)</f>
        <v>3541000</v>
      </c>
    </row>
    <row r="31" spans="1:3" ht="15.75" thickTop="1" x14ac:dyDescent="0.2">
      <c r="A31" s="70"/>
      <c r="B31" s="70"/>
      <c r="C31" s="122"/>
    </row>
    <row r="33" spans="1:3" x14ac:dyDescent="0.2">
      <c r="C33" s="13"/>
    </row>
    <row r="34" spans="1:3" x14ac:dyDescent="0.2">
      <c r="A34" s="79" t="s">
        <v>250</v>
      </c>
      <c r="C34" s="13"/>
    </row>
  </sheetData>
  <mergeCells count="3">
    <mergeCell ref="A2:C2"/>
    <mergeCell ref="A4:C4"/>
    <mergeCell ref="A1:C1"/>
  </mergeCells>
  <pageMargins left="0.7" right="0.7" top="0.75" bottom="0.75" header="0.3" footer="0.3"/>
  <pageSetup orientation="portrait" horizontalDpi="0" verticalDpi="0" r:id="rId1"/>
  <headerFooter>
    <oddFooter>&amp;L&amp;Z&amp;F&amp;A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activeCell="B11" sqref="B11"/>
    </sheetView>
  </sheetViews>
  <sheetFormatPr defaultRowHeight="12.75" x14ac:dyDescent="0.2"/>
  <cols>
    <col min="1" max="1" width="33.7109375" customWidth="1"/>
    <col min="2" max="2" width="18.28515625" customWidth="1"/>
    <col min="3" max="3" width="13.7109375" bestFit="1" customWidth="1"/>
    <col min="4" max="4" width="11.140625" bestFit="1" customWidth="1"/>
  </cols>
  <sheetData>
    <row r="1" spans="1:5" ht="18" x14ac:dyDescent="0.25">
      <c r="A1" s="251" t="s">
        <v>86</v>
      </c>
      <c r="B1" s="251"/>
      <c r="C1" s="251"/>
      <c r="D1" s="251"/>
      <c r="E1" s="251"/>
    </row>
    <row r="2" spans="1:5" ht="15.75" x14ac:dyDescent="0.25">
      <c r="A2" s="11"/>
      <c r="B2" s="11"/>
      <c r="C2" s="11"/>
      <c r="D2" s="11"/>
    </row>
    <row r="3" spans="1:5" ht="20.25" x14ac:dyDescent="0.3">
      <c r="A3" s="252" t="s">
        <v>380</v>
      </c>
      <c r="B3" s="252"/>
      <c r="C3" s="252"/>
      <c r="D3" s="252"/>
      <c r="E3" s="252"/>
    </row>
    <row r="4" spans="1:5" x14ac:dyDescent="0.2">
      <c r="A4" s="65"/>
      <c r="B4" s="65"/>
      <c r="C4" s="65"/>
      <c r="D4" s="4"/>
      <c r="E4" s="4"/>
    </row>
    <row r="5" spans="1:5" x14ac:dyDescent="0.2">
      <c r="A5" s="3"/>
      <c r="C5" t="s">
        <v>125</v>
      </c>
    </row>
    <row r="6" spans="1:5" x14ac:dyDescent="0.2">
      <c r="A6" s="29" t="s">
        <v>94</v>
      </c>
      <c r="B6" s="29" t="s">
        <v>96</v>
      </c>
      <c r="C6" s="29" t="s">
        <v>126</v>
      </c>
      <c r="D6" s="29" t="s">
        <v>95</v>
      </c>
      <c r="E6" s="28"/>
    </row>
    <row r="7" spans="1:5" s="52" customFormat="1" x14ac:dyDescent="0.2">
      <c r="A7" s="235"/>
      <c r="B7" s="235"/>
      <c r="C7" s="235"/>
      <c r="D7" s="235"/>
      <c r="E7" s="28"/>
    </row>
    <row r="8" spans="1:5" x14ac:dyDescent="0.2">
      <c r="A8" t="s">
        <v>119</v>
      </c>
      <c r="B8" s="26">
        <f>0.9*'A-9 Dist Costs'!D7</f>
        <v>269999.99999729998</v>
      </c>
      <c r="C8" s="62">
        <f>+'A-9 Dist Costs'!D27</f>
        <v>58.649999999999991</v>
      </c>
      <c r="D8" s="23">
        <f>B8*C8</f>
        <v>15835499.999841642</v>
      </c>
    </row>
    <row r="9" spans="1:5" x14ac:dyDescent="0.2">
      <c r="A9" t="s">
        <v>133</v>
      </c>
      <c r="B9" s="26">
        <f>+'A-9 Dist Costs'!D7-B8</f>
        <v>29999.999999699998</v>
      </c>
      <c r="C9" s="62">
        <f>+'A-9 Dist Costs'!D36</f>
        <v>82.2</v>
      </c>
      <c r="D9" s="23">
        <f>B9*C9</f>
        <v>2465999.99997534</v>
      </c>
    </row>
    <row r="10" spans="1:5" x14ac:dyDescent="0.2">
      <c r="A10" t="s">
        <v>120</v>
      </c>
      <c r="B10" s="26">
        <f>+'A-9 Dist Costs'!D8</f>
        <v>149999.99999985</v>
      </c>
      <c r="C10" s="63">
        <f>+'A-9 Dist Costs'!D27-'A-9 Dist Costs'!D18</f>
        <v>17.249999999999993</v>
      </c>
      <c r="D10" s="43">
        <f>B10*C10</f>
        <v>2587499.9999974114</v>
      </c>
    </row>
    <row r="11" spans="1:5" s="52" customFormat="1" x14ac:dyDescent="0.2">
      <c r="B11" s="26"/>
      <c r="C11" s="63"/>
      <c r="D11" s="236"/>
    </row>
    <row r="12" spans="1:5" s="52" customFormat="1" x14ac:dyDescent="0.2">
      <c r="B12" s="26"/>
      <c r="C12" s="63"/>
      <c r="D12" s="43"/>
    </row>
    <row r="13" spans="1:5" x14ac:dyDescent="0.2">
      <c r="A13" s="242" t="s">
        <v>376</v>
      </c>
      <c r="B13" s="26"/>
      <c r="C13" s="6"/>
      <c r="D13" s="43">
        <f>SUM(D7:D11)</f>
        <v>20888999.999814391</v>
      </c>
    </row>
    <row r="14" spans="1:5" s="52" customFormat="1" x14ac:dyDescent="0.2">
      <c r="B14" s="26"/>
      <c r="C14" s="6"/>
      <c r="D14" s="43"/>
    </row>
    <row r="15" spans="1:5" s="52" customFormat="1" x14ac:dyDescent="0.2">
      <c r="A15" s="79" t="s">
        <v>368</v>
      </c>
      <c r="B15" s="26"/>
      <c r="C15" s="237">
        <v>7.0000000000000007E-2</v>
      </c>
      <c r="D15" s="43">
        <f>C15*D13</f>
        <v>1462229.9999870076</v>
      </c>
    </row>
    <row r="16" spans="1:5" s="52" customFormat="1" x14ac:dyDescent="0.2">
      <c r="B16" s="26"/>
      <c r="C16" s="6"/>
      <c r="D16" s="236"/>
    </row>
    <row r="17" spans="1:4" s="52" customFormat="1" x14ac:dyDescent="0.2">
      <c r="B17" s="26"/>
      <c r="C17" s="6"/>
      <c r="D17" s="43"/>
    </row>
    <row r="18" spans="1:4" x14ac:dyDescent="0.2">
      <c r="A18" s="42" t="s">
        <v>377</v>
      </c>
      <c r="B18" s="44"/>
      <c r="C18" s="5"/>
      <c r="D18" s="46">
        <f>D15+D13</f>
        <v>22351229.999801397</v>
      </c>
    </row>
    <row r="20" spans="1:4" x14ac:dyDescent="0.2">
      <c r="A20" s="15" t="s">
        <v>102</v>
      </c>
      <c r="D20" s="20">
        <v>55000</v>
      </c>
    </row>
    <row r="21" spans="1:4" s="52" customFormat="1" x14ac:dyDescent="0.2">
      <c r="A21" s="15"/>
      <c r="D21" s="20"/>
    </row>
    <row r="22" spans="1:4" hidden="1" x14ac:dyDescent="0.2">
      <c r="A22" s="15" t="s">
        <v>99</v>
      </c>
      <c r="B22" s="4"/>
      <c r="C22" s="4"/>
      <c r="D22" s="30">
        <f>+D18/D20</f>
        <v>406.38599999638905</v>
      </c>
    </row>
    <row r="23" spans="1:4" ht="13.5" hidden="1" thickBot="1" x14ac:dyDescent="0.25"/>
    <row r="24" spans="1:4" ht="16.5" hidden="1" thickBot="1" x14ac:dyDescent="0.3">
      <c r="A24" s="47" t="s">
        <v>369</v>
      </c>
      <c r="D24" s="57">
        <f>ROUND(D22,-1)</f>
        <v>410</v>
      </c>
    </row>
    <row r="29" spans="1:4" x14ac:dyDescent="0.2">
      <c r="A29" s="79" t="s">
        <v>250</v>
      </c>
    </row>
  </sheetData>
  <mergeCells count="2">
    <mergeCell ref="A3:E3"/>
    <mergeCell ref="A1:E1"/>
  </mergeCells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PersistId xmlns="7184055b-e5ea-4162-8b19-ace5c644b73a">false</_dlc_DocIdPersistId>
    <_dlc_DocId xmlns="7184055b-e5ea-4162-8b19-ace5c644b73a">QD2UCF5UJE4V-699202894-353</_dlc_DocId>
    <_dlc_DocIdUrl xmlns="7184055b-e5ea-4162-8b19-ace5c644b73a">
      <Url>http://intranet2/pw/_layouts/15/DocIdRedir.aspx?ID=QD2UCF5UJE4V-699202894-353</Url>
      <Description>QD2UCF5UJE4V-699202894-353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9B7AA665B97B4E9B1DC8955456F2F9" ma:contentTypeVersion="4" ma:contentTypeDescription="Create a new document." ma:contentTypeScope="" ma:versionID="1504163309efa278b0487187339d8c23">
  <xsd:schema xmlns:xsd="http://www.w3.org/2001/XMLSchema" xmlns:xs="http://www.w3.org/2001/XMLSchema" xmlns:p="http://schemas.microsoft.com/office/2006/metadata/properties" xmlns:ns2="07585db3-bf97-47bc-bc3b-54c3be04da9c" xmlns:ns3="http://schemas.microsoft.com/sharepoint/v3/fields" targetNamespace="http://schemas.microsoft.com/office/2006/metadata/properties" ma:root="true" ma:fieldsID="1526e75ae7307b8e770d854863add127" ns2:_="" ns3:_="">
    <xsd:import namespace="07585db3-bf97-47bc-bc3b-54c3be04da9c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_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585db3-bf97-47bc-bc3b-54c3be04da9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11" nillable="true" ma:displayName="Status" ma:default="Not Started" ma:internalName="_Status">
      <xsd:simpleType>
        <xsd:union memberTypes="dms:Text">
          <xsd:simpleType>
            <xsd:restriction base="dms:Choice">
              <xsd:enumeration value="Not Started"/>
              <xsd:enumeration value="Draft"/>
              <xsd:enumeration value="Reviewed"/>
              <xsd:enumeration value="Scheduled"/>
              <xsd:enumeration value="Published"/>
              <xsd:enumeration value="Final"/>
              <xsd:enumeration value="Expired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F6406F5614274587828104E1EC26A4" ma:contentTypeVersion="1" ma:contentTypeDescription="Create a new document." ma:contentTypeScope="" ma:versionID="acc270a7746c26f3cc6fe9ffe83b1b42">
  <xsd:schema xmlns:xsd="http://www.w3.org/2001/XMLSchema" xmlns:xs="http://www.w3.org/2001/XMLSchema" xmlns:p="http://schemas.microsoft.com/office/2006/metadata/properties" xmlns:ns1="http://schemas.microsoft.com/sharepoint/v3" xmlns:ns2="7184055b-e5ea-4162-8b19-ace5c644b73a" targetNamespace="http://schemas.microsoft.com/office/2006/metadata/properties" ma:root="true" ma:fieldsID="eb1f565eb1b890f876d7d33294a33bfb" ns1:_="" ns2:_="">
    <xsd:import namespace="http://schemas.microsoft.com/sharepoint/v3"/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D9F61C-B305-4079-A2B7-7A9B65F32868}"/>
</file>

<file path=customXml/itemProps2.xml><?xml version="1.0" encoding="utf-8"?>
<ds:datastoreItem xmlns:ds="http://schemas.openxmlformats.org/officeDocument/2006/customXml" ds:itemID="{DF2F7679-3D04-4E76-B267-CD86800280E7}"/>
</file>

<file path=customXml/itemProps3.xml><?xml version="1.0" encoding="utf-8"?>
<ds:datastoreItem xmlns:ds="http://schemas.openxmlformats.org/officeDocument/2006/customXml" ds:itemID="{5D783829-0406-4A00-9276-FBBE5E1AB014}"/>
</file>

<file path=customXml/itemProps4.xml><?xml version="1.0" encoding="utf-8"?>
<ds:datastoreItem xmlns:ds="http://schemas.openxmlformats.org/officeDocument/2006/customXml" ds:itemID="{D46FBD49-0010-4082-8C7E-9111E57943B1}"/>
</file>

<file path=customXml/itemProps5.xml><?xml version="1.0" encoding="utf-8"?>
<ds:datastoreItem xmlns:ds="http://schemas.openxmlformats.org/officeDocument/2006/customXml" ds:itemID="{63AF31E9-7CF4-4230-926E-1BFBE60593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4</vt:i4>
      </vt:variant>
    </vt:vector>
  </HeadingPairs>
  <TitlesOfParts>
    <vt:vector size="18" baseType="lpstr">
      <vt:lpstr>A-1 Fee Summary</vt:lpstr>
      <vt:lpstr>A-1.1 Water Fee Calc Sum</vt:lpstr>
      <vt:lpstr>A-2 Groundwater Sup Fee</vt:lpstr>
      <vt:lpstr>A-3 Groundwater Sup Cost 1</vt:lpstr>
      <vt:lpstr>A-4 Groundwater Sup Cost 3</vt:lpstr>
      <vt:lpstr>A-5 Groundwater Sup Cost 2</vt:lpstr>
      <vt:lpstr>A-6 Peaking Summary</vt:lpstr>
      <vt:lpstr>A-7 Peaking Costs</vt:lpstr>
      <vt:lpstr>A-8 Dist Summary</vt:lpstr>
      <vt:lpstr>A-9 Dist Costs</vt:lpstr>
      <vt:lpstr>A10</vt:lpstr>
      <vt:lpstr>A-10 Finance Assumptions</vt:lpstr>
      <vt:lpstr>PFIP</vt:lpstr>
      <vt:lpstr>3.6</vt:lpstr>
      <vt:lpstr>_FIN_ASSUM_03</vt:lpstr>
      <vt:lpstr>_ISSUANCE_COST</vt:lpstr>
      <vt:lpstr>P_FINANCE_ASSUM</vt:lpstr>
      <vt:lpstr>VARIABLE</vt:lpstr>
    </vt:vector>
  </TitlesOfParts>
  <Company>City of Manteca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Finance</dc:creator>
  <cp:lastModifiedBy>Stryder</cp:lastModifiedBy>
  <cp:lastPrinted>2012-06-22T01:24:22Z</cp:lastPrinted>
  <dcterms:created xsi:type="dcterms:W3CDTF">2009-12-12T00:04:46Z</dcterms:created>
  <dcterms:modified xsi:type="dcterms:W3CDTF">2012-06-22T01:24:34Z</dcterms:modified>
  <cp:contentStatus>Not Started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0x01010077F6406F5614274587828104E1EC26A4</vt:lpwstr>
  </property>
  <property fmtid="{D5CDD505-2E9C-101B-9397-08002B2CF9AE}" pid="3" name="_dlc_DocIdItemGuid">
    <vt:lpwstr>8317cc21-d18b-4fc4-a304-f31b49d11305</vt:lpwstr>
  </property>
  <property fmtid="{D5CDD505-2E9C-101B-9397-08002B2CF9AE}" pid="4" name="Order">
    <vt:r8>5700</vt:r8>
  </property>
  <property fmtid="{D5CDD505-2E9C-101B-9397-08002B2CF9AE}" pid="5" name="TemplateUrl">
    <vt:lpwstr/>
  </property>
  <property fmtid="{D5CDD505-2E9C-101B-9397-08002B2CF9AE}" pid="6" name="_dlc_DocIdUrl">
    <vt:lpwstr>http://intranet:12013/_layouts/DocIdRedir.aspx?ID=DS6S4WKU732Q-3-57, DS6S4WKU732Q-3-57</vt:lpwstr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_dlc_DocIdPersistId">
    <vt:bool>false</vt:bool>
  </property>
  <property fmtid="{D5CDD505-2E9C-101B-9397-08002B2CF9AE}" pid="11" name="xd_ProgID">
    <vt:lpwstr/>
  </property>
  <property fmtid="{D5CDD505-2E9C-101B-9397-08002B2CF9AE}" pid="12" name="_dlc_DocId">
    <vt:lpwstr>DS6S4WKU732Q-3-57</vt:lpwstr>
  </property>
</Properties>
</file>