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" sheetId="12" r:id="rId7"/>
    <sheet name="A-7 Peaking Costs" sheetId="13" r:id="rId8"/>
    <sheet name="A-8 Dist Summary" sheetId="16" r:id="rId9"/>
    <sheet name="A-9 Dist Costs" sheetId="17" r:id="rId10"/>
    <sheet name="A10" sheetId="5" state="hidden" r:id="rId11"/>
    <sheet name="A-10 Finance Assumptions" sheetId="15" r:id="rId12"/>
    <sheet name="PFIP" sheetId="6" r:id="rId13"/>
    <sheet name="3.6" sheetId="7" r:id="rId14"/>
  </sheets>
  <definedNames>
    <definedName name="_FIN_ASSUM_03">'A-10 Finance Assumptions'!$A$1</definedName>
    <definedName name="_ISSUANCE_COST">'A-10 Finance Assumptions'!$A$50</definedName>
    <definedName name="_Order1" hidden="1">255</definedName>
    <definedName name="P_FINANCE_ASSUM">'A-10 Finance Assumptions'!$A$4:$F$46</definedName>
    <definedName name="VARIABLE">'A-10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B20" i="15" l="1"/>
  <c r="H8" i="12" l="1"/>
  <c r="H10" i="12"/>
  <c r="H11" i="12"/>
  <c r="H12" i="12" s="1"/>
  <c r="D34" i="14"/>
  <c r="D44" i="14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18" i="14"/>
  <c r="C15" i="14"/>
  <c r="B44" i="14"/>
  <c r="B18" i="14"/>
  <c r="B15" i="14"/>
  <c r="C73" i="15"/>
  <c r="B71" i="15"/>
  <c r="B73" i="15" s="1"/>
  <c r="B77" i="15" s="1"/>
  <c r="B22" i="15"/>
  <c r="B14" i="15"/>
  <c r="B16" i="15" s="1"/>
  <c r="E40" i="14"/>
  <c r="D40" i="14"/>
  <c r="C40" i="14"/>
  <c r="B40" i="14"/>
  <c r="F39" i="14"/>
  <c r="F38" i="14"/>
  <c r="F40" i="14" s="1"/>
  <c r="F21" i="14"/>
  <c r="E16" i="14"/>
  <c r="E19" i="14" s="1"/>
  <c r="C16" i="14"/>
  <c r="B16" i="14"/>
  <c r="B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C8" i="16"/>
  <c r="D8" i="16" s="1"/>
  <c r="D9" i="16"/>
  <c r="C19" i="14"/>
  <c r="B34" i="15"/>
  <c r="B76" i="15"/>
  <c r="C24" i="14"/>
  <c r="C28" i="14" s="1"/>
  <c r="E18" i="14"/>
  <c r="E24" i="14" s="1"/>
  <c r="E28" i="14" s="1"/>
  <c r="D13" i="16" l="1"/>
  <c r="E30" i="14"/>
  <c r="E34" i="14"/>
  <c r="E29" i="14"/>
  <c r="C34" i="14"/>
  <c r="C29" i="14"/>
  <c r="C30" i="14" s="1"/>
  <c r="B29" i="15"/>
  <c r="B27" i="15"/>
  <c r="B26" i="15"/>
  <c r="C26" i="15" s="1"/>
  <c r="B15" i="15"/>
  <c r="B38" i="15"/>
  <c r="B30" i="15"/>
  <c r="B28" i="15"/>
  <c r="B25" i="15"/>
  <c r="B78" i="15"/>
  <c r="C22" i="15"/>
  <c r="B24" i="14"/>
  <c r="B28" i="14" s="1"/>
  <c r="D15" i="16" l="1"/>
  <c r="D15" i="14"/>
  <c r="B34" i="14"/>
  <c r="F34" i="14" s="1"/>
  <c r="F35" i="14" s="1"/>
  <c r="B32" i="15"/>
  <c r="B79" i="15"/>
  <c r="D16" i="14" l="1"/>
  <c r="F15" i="14"/>
  <c r="D18" i="16"/>
  <c r="D22" i="16" s="1"/>
  <c r="D24" i="16" s="1"/>
  <c r="D18" i="14"/>
  <c r="F18" i="14" s="1"/>
  <c r="C32" i="15"/>
  <c r="C34" i="15" s="1"/>
  <c r="B36" i="15"/>
  <c r="C77" i="15"/>
  <c r="C76" i="15"/>
  <c r="C78" i="15"/>
  <c r="B29" i="14"/>
  <c r="C79" i="15" l="1"/>
  <c r="D19" i="14"/>
  <c r="D24" i="14"/>
  <c r="F16" i="14"/>
  <c r="F19" i="14" s="1"/>
  <c r="B30" i="14"/>
  <c r="D28" i="14" l="1"/>
  <c r="F24" i="14"/>
  <c r="D25" i="14"/>
  <c r="D33" i="14" s="1"/>
  <c r="D35" i="14" s="1"/>
  <c r="B25" i="14" l="1"/>
  <c r="B33" i="14" s="1"/>
  <c r="B35" i="14" s="1"/>
  <c r="B42" i="14" s="1"/>
  <c r="B46" i="14" s="1"/>
  <c r="C8" i="1" s="1"/>
  <c r="E25" i="14"/>
  <c r="E33" i="14" s="1"/>
  <c r="E35" i="14" s="1"/>
  <c r="E42" i="14" s="1"/>
  <c r="E46" i="14" s="1"/>
  <c r="F25" i="14"/>
  <c r="C25" i="14"/>
  <c r="C33" i="14" s="1"/>
  <c r="C35" i="14" s="1"/>
  <c r="C42" i="14" s="1"/>
  <c r="D29" i="14"/>
  <c r="F28" i="14"/>
  <c r="D30" i="14" l="1"/>
  <c r="F29" i="14"/>
  <c r="D42" i="14"/>
  <c r="D46" i="14" s="1"/>
  <c r="E8" i="1" s="1"/>
  <c r="F30" i="14" l="1"/>
  <c r="F42" i="14"/>
  <c r="E4" i="12" l="1"/>
  <c r="M4" i="7" s="1"/>
  <c r="M6" i="7" s="1"/>
  <c r="P6" i="7" s="1"/>
  <c r="C6" i="12"/>
  <c r="C44" i="14" s="1"/>
  <c r="E6" i="12"/>
  <c r="H6" i="12" s="1"/>
  <c r="C8" i="12"/>
  <c r="C10" i="12"/>
  <c r="C12" i="12" s="1"/>
  <c r="E8" i="12"/>
  <c r="E10" i="12" s="1"/>
  <c r="E12" i="12" s="1"/>
  <c r="C23" i="13"/>
  <c r="C16" i="13"/>
  <c r="C19" i="13" s="1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C11" i="8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F44" i="14" l="1"/>
  <c r="C46" i="14"/>
  <c r="D8" i="1" s="1"/>
  <c r="C18" i="13"/>
  <c r="C20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28" i="13" l="1"/>
  <c r="C26" i="13"/>
  <c r="C27" i="13"/>
  <c r="C25" i="13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29" i="13" l="1"/>
  <c r="C31" i="13" s="1"/>
  <c r="K5" i="7"/>
  <c r="I6" i="7" s="1"/>
  <c r="E5" i="7"/>
  <c r="C6" i="7" s="1"/>
  <c r="D6" i="7" s="1"/>
  <c r="E6" i="7" s="1"/>
  <c r="C7" i="7" s="1"/>
  <c r="C16" i="8"/>
  <c r="C19" i="8" s="1"/>
  <c r="C45" i="6"/>
  <c r="C47" i="6" s="1"/>
  <c r="F37" i="5"/>
  <c r="F41" i="5" s="1"/>
  <c r="F43" i="5" s="1"/>
  <c r="D37" i="5"/>
  <c r="D41" i="5" s="1"/>
  <c r="C22" i="8" l="1"/>
  <c r="C24" i="8"/>
  <c r="C23" i="8"/>
  <c r="C25" i="8"/>
  <c r="J6" i="7"/>
  <c r="D7" i="7"/>
  <c r="E10" i="1"/>
  <c r="D43" i="5"/>
  <c r="F7" i="6"/>
  <c r="C27" i="8" l="1"/>
  <c r="C29" i="8" s="1"/>
  <c r="C31" i="8" s="1"/>
  <c r="C33" i="8" s="1"/>
  <c r="K6" i="7"/>
  <c r="I7" i="7" s="1"/>
  <c r="E7" i="7"/>
  <c r="C8" i="7" s="1"/>
  <c r="F9" i="6"/>
  <c r="F10" i="6" s="1"/>
  <c r="E13" i="1"/>
  <c r="E9" i="1"/>
  <c r="E15" i="1"/>
  <c r="E11" i="1"/>
  <c r="E14" i="1"/>
  <c r="E12" i="1"/>
  <c r="J7" i="7" l="1"/>
  <c r="D8" i="7"/>
  <c r="D9" i="1"/>
  <c r="D10" i="1"/>
  <c r="D11" i="1"/>
  <c r="D12" i="1"/>
  <c r="D13" i="1"/>
  <c r="D14" i="1"/>
  <c r="D15" i="1"/>
  <c r="F8" i="1" l="1"/>
  <c r="K7" i="7"/>
  <c r="I8" i="7" s="1"/>
  <c r="E8" i="7"/>
  <c r="C9" i="7" s="1"/>
  <c r="C11" i="1" l="1"/>
  <c r="F11" i="1" s="1"/>
  <c r="C10" i="1"/>
  <c r="F10" i="1" s="1"/>
  <c r="C12" i="1"/>
  <c r="F12" i="1" s="1"/>
  <c r="C13" i="1"/>
  <c r="F13" i="1" s="1"/>
  <c r="C14" i="1"/>
  <c r="F14" i="1" s="1"/>
  <c r="C9" i="1"/>
  <c r="F9" i="1" s="1"/>
  <c r="C15" i="1"/>
  <c r="F15" i="1" s="1"/>
  <c r="J8" i="7"/>
  <c r="K8" i="7" s="1"/>
  <c r="I9" i="7" s="1"/>
  <c r="D9" i="7"/>
  <c r="E9" i="7" s="1"/>
  <c r="C10" i="7" s="1"/>
  <c r="J9" i="7" l="1"/>
  <c r="K9" i="7" s="1"/>
  <c r="I10" i="7" s="1"/>
  <c r="D10" i="7"/>
  <c r="E10" i="7" s="1"/>
  <c r="C11" i="7" s="1"/>
  <c r="D11" i="7" s="1"/>
  <c r="E11" i="7" s="1"/>
  <c r="C12" i="7" s="1"/>
  <c r="J10" i="7" l="1"/>
  <c r="K10" i="7" s="1"/>
  <c r="I11" i="7" s="1"/>
  <c r="D12" i="7"/>
  <c r="E12" i="7" s="1"/>
  <c r="C13" i="7" s="1"/>
  <c r="J11" i="7" l="1"/>
  <c r="K11" i="7" s="1"/>
  <c r="I12" i="7" s="1"/>
  <c r="D13" i="7"/>
  <c r="E13" i="7" s="1"/>
  <c r="C14" i="7" s="1"/>
  <c r="J12" i="7" l="1"/>
  <c r="K12" i="7" s="1"/>
  <c r="I13" i="7" s="1"/>
  <c r="D14" i="7"/>
  <c r="E14" i="7" s="1"/>
  <c r="C15" i="7" s="1"/>
  <c r="J13" i="7" l="1"/>
  <c r="K13" i="7" s="1"/>
  <c r="I14" i="7" s="1"/>
  <c r="D15" i="7"/>
  <c r="E15" i="7" s="1"/>
  <c r="C16" i="7" s="1"/>
  <c r="J14" i="7" l="1"/>
  <c r="K14" i="7" s="1"/>
  <c r="I15" i="7" s="1"/>
  <c r="D16" i="7"/>
  <c r="E16" i="7" s="1"/>
  <c r="C17" i="7" s="1"/>
  <c r="J15" i="7" l="1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</calcChain>
</file>

<file path=xl/sharedStrings.xml><?xml version="1.0" encoding="utf-8"?>
<sst xmlns="http://schemas.openxmlformats.org/spreadsheetml/2006/main" count="455" uniqueCount="385">
  <si>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</si>
  <si>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</si>
  <si>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</si>
  <si>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</si>
  <si>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</si>
  <si>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</si>
  <si>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</si>
  <si>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</si>
  <si>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</si>
  <si>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</si>
  <si>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</si>
  <si>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</si>
  <si>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</si>
  <si>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</si>
  <si>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</si>
  <si>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</si>
  <si>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</si>
  <si>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</si>
  <si>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</si>
  <si>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</si>
  <si>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</si>
  <si>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</si>
  <si>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</si>
  <si>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</si>
  <si>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</si>
  <si>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</si>
  <si>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</si>
  <si>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</si>
  <si>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</si>
  <si>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</si>
  <si>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</si>
  <si>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</si>
  <si>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</si>
  <si>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</si>
  <si>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</si>
  <si>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</si>
  <si>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</si>
  <si>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</si>
  <si>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</si>
  <si>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</si>
  <si>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</si>
  <si>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</si>
  <si>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</si>
  <si>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</si>
  <si>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</si>
  <si>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</si>
  <si>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</si>
  <si>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</si>
  <si>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</si>
  <si>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</si>
  <si>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</si>
  <si>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</si>
  <si>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</si>
  <si>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</si>
  <si>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</si>
  <si>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</si>
  <si>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</si>
  <si>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</si>
  <si>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</si>
  <si>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</si>
  <si>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</si>
  <si>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</si>
  <si>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</si>
  <si>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</si>
  <si>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</si>
  <si>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</si>
  <si>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</si>
  <si>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</si>
  <si>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</si>
  <si>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</si>
  <si>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</si>
  <si>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</si>
  <si>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</si>
  <si>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</si>
  <si>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</si>
  <si>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</si>
  <si>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</si>
  <si>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</si>
  <si>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</si>
  <si>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</si>
  <si>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</si>
  <si>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</si>
  <si>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</si>
  <si>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A-5</t>
  </si>
  <si>
    <t>TABLE A-6</t>
  </si>
  <si>
    <t>TABLE A-7</t>
  </si>
  <si>
    <t>TABLE A-8</t>
  </si>
  <si>
    <t>TABLE A-9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</si>
  <si>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</si>
  <si>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</si>
  <si>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</si>
  <si>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</si>
  <si>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</si>
  <si>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</si>
  <si>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</si>
  <si>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</si>
  <si>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</si>
  <si>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</si>
  <si>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</si>
  <si>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</si>
  <si>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</si>
  <si>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</si>
  <si>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</si>
  <si>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</si>
  <si>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</si>
  <si>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</si>
  <si>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</si>
  <si>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</si>
  <si>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</si>
  <si>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</si>
  <si>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</si>
  <si>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</si>
  <si>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</si>
  <si>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</si>
  <si>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</si>
  <si>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</si>
  <si>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</si>
  <si>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</si>
  <si>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</si>
  <si>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</si>
  <si>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</si>
  <si>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</si>
  <si>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</si>
  <si>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</si>
  <si>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</si>
  <si>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</si>
  <si>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</si>
  <si>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</si>
  <si>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</si>
  <si>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</si>
  <si>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</si>
  <si>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</si>
  <si>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</si>
  <si>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</si>
  <si>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</si>
  <si>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</si>
  <si>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</si>
  <si>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</si>
  <si>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</si>
  <si>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</si>
  <si>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PEAKING    COSTS</t>
  </si>
  <si>
    <t>DISTRIBUTION SYSTEM COSTS</t>
  </si>
  <si>
    <t>SUMMARY OF  PFF  WATER FEES</t>
  </si>
  <si>
    <t>TABLE A - 4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</si>
  <si>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</si>
  <si>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</si>
  <si>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</si>
  <si>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</si>
  <si>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</si>
  <si>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</si>
  <si>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</si>
  <si>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</si>
  <si>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</si>
  <si>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</si>
  <si>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</si>
  <si>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</si>
  <si>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</si>
  <si>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</si>
  <si>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</si>
  <si>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</si>
  <si>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</si>
  <si>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</si>
  <si>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</si>
  <si>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</si>
  <si>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</si>
  <si>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</si>
  <si>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</si>
  <si>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</si>
  <si>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</si>
  <si>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</si>
  <si>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</si>
  <si>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</si>
  <si>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</si>
  <si>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</si>
  <si>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</si>
  <si>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</si>
  <si>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</si>
  <si>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</si>
  <si>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</si>
  <si>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</si>
  <si>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</si>
  <si>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</si>
  <si>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</si>
  <si>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</si>
  <si>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</si>
  <si>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</si>
  <si>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</si>
  <si>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</si>
  <si>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</si>
  <si>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</si>
  <si>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</si>
  <si>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</si>
  <si>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</si>
  <si>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</si>
  <si>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</si>
  <si>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</si>
  <si>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</si>
  <si>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</si>
  <si>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</si>
  <si>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</si>
  <si>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</si>
  <si>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</si>
  <si>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</si>
  <si>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Administration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</si>
  <si>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</si>
  <si>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</si>
  <si>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</si>
  <si>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</si>
  <si>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</si>
  <si>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</si>
  <si>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</si>
  <si>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</si>
  <si>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</si>
  <si>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</si>
  <si>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</si>
  <si>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</si>
  <si>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</si>
  <si>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</si>
  <si>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</si>
  <si>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</si>
  <si>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</si>
  <si>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</si>
  <si>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</si>
  <si>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</si>
  <si>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</si>
  <si>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</si>
  <si>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</si>
  <si>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</si>
  <si>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</si>
  <si>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</si>
  <si>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</si>
  <si>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</si>
  <si>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</si>
  <si>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</si>
  <si>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</si>
  <si>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</si>
  <si>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</si>
  <si>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</si>
  <si>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</si>
  <si>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</si>
  <si>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</si>
  <si>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</si>
  <si>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</si>
  <si>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</si>
  <si>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</si>
  <si>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</si>
  <si>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</si>
  <si>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</si>
  <si>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</si>
  <si>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</si>
  <si>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</si>
  <si>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</si>
  <si>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</si>
  <si>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</si>
  <si>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</si>
  <si>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Table 1</t>
  </si>
  <si>
    <t>Internal</t>
  </si>
  <si>
    <t>City of Manteca</t>
  </si>
  <si>
    <t>Working Draft - v1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</si>
  <si>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</si>
  <si>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</si>
  <si>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</si>
  <si>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</si>
  <si>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</si>
  <si>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</si>
  <si>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</si>
  <si>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</si>
  <si>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</si>
  <si>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Table 4</t>
  </si>
  <si>
    <t>Total Master Plan CIP (__/__/__ $)</t>
  </si>
  <si>
    <t>See Note (4)</t>
  </si>
  <si>
    <t>Additional CIP Costs - 2012/13 Budget</t>
  </si>
  <si>
    <t>Forthcoming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</si>
  <si>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</si>
  <si>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</si>
  <si>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</si>
  <si>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</si>
  <si>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</si>
  <si>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</si>
  <si>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</si>
  <si>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>Future PFF Updates</t>
  </si>
  <si>
    <t>City Administrative Costs</t>
  </si>
  <si>
    <t xml:space="preserve">     Total PFF Admin Costs</t>
  </si>
  <si>
    <t>FUND BALANCES</t>
  </si>
  <si>
    <t>Net Fund Balance (Deficit)</t>
  </si>
  <si>
    <t>Table 7 - Forthcoming</t>
  </si>
  <si>
    <t>Fees From Remaining PFIP Development</t>
  </si>
  <si>
    <t xml:space="preserve">     Total Fund Balances</t>
  </si>
  <si>
    <t>Net Costs Funded From PFF Fee</t>
  </si>
  <si>
    <t>Table 5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</si>
  <si>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</si>
  <si>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</si>
  <si>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</si>
  <si>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</si>
  <si>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</si>
  <si>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</si>
  <si>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</si>
  <si>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</si>
  <si>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</si>
  <si>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</si>
  <si>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</si>
  <si>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</si>
  <si>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</si>
  <si>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Table 6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</si>
  <si>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</si>
  <si>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</si>
  <si>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</si>
  <si>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</si>
  <si>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</si>
  <si>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</si>
  <si>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</si>
  <si>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</si>
  <si>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</si>
  <si>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</si>
  <si>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</si>
  <si>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</si>
  <si>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</si>
  <si>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</si>
  <si>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</si>
  <si>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</si>
  <si>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</si>
  <si>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</si>
  <si>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</si>
  <si>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</si>
  <si>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</si>
  <si>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</si>
  <si>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</si>
  <si>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</si>
  <si>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</si>
  <si>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</si>
  <si>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</si>
  <si>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</si>
  <si>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</si>
  <si>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</si>
  <si>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</si>
  <si>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</si>
  <si>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</si>
  <si>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</si>
  <si>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</si>
  <si>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</si>
  <si>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</si>
  <si>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</si>
  <si>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</si>
  <si>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</si>
  <si>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</si>
  <si>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</si>
  <si>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</si>
  <si>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</si>
  <si>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</si>
  <si>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</si>
  <si>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</si>
  <si>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</si>
  <si>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</si>
  <si>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</si>
  <si>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</si>
  <si>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</si>
  <si>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</si>
  <si>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</si>
  <si>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</si>
  <si>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</si>
  <si>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</si>
  <si>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</si>
  <si>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</si>
  <si>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</si>
  <si>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</si>
  <si>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</si>
  <si>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</si>
  <si>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</si>
  <si>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</si>
  <si>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</si>
  <si>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</si>
  <si>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</si>
  <si>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</si>
  <si>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</si>
  <si>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</si>
  <si>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</si>
  <si>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</si>
  <si>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</si>
  <si>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(4) Soft cost estimates shown in Tables A2-A9.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</si>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</sst>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7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0" xfId="5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43" fontId="12" fillId="4" borderId="0" xfId="1" applyNumberFormat="1" applyFont="1" applyFill="1"/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90" zoomScaleNormal="90" workbookViewId="0">
      <selection activeCell="C22" sqref="C22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6" t="s">
        <v>61</v>
      </c>
      <c r="B1" s="246"/>
      <c r="C1" s="246"/>
      <c r="D1" s="246"/>
      <c r="E1" s="246"/>
      <c r="F1" s="246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7" t="s">
        <v>142</v>
      </c>
      <c r="B3" s="247"/>
      <c r="C3" s="247"/>
      <c r="D3" s="247"/>
      <c r="E3" s="247"/>
      <c r="F3" s="247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48" t="s">
        <v>103</v>
      </c>
      <c r="D6" s="249"/>
      <c r="E6" s="249"/>
      <c r="F6" s="250"/>
    </row>
    <row r="7" spans="1:9" ht="76.5" customHeight="1" x14ac:dyDescent="0.2">
      <c r="A7" s="126" t="s">
        <v>0</v>
      </c>
      <c r="B7" s="127" t="s">
        <v>50</v>
      </c>
      <c r="C7" s="244" t="s">
        <v>1</v>
      </c>
      <c r="D7" s="127" t="s">
        <v>2</v>
      </c>
      <c r="E7" s="127" t="s">
        <v>98</v>
      </c>
      <c r="F7" s="240" t="s">
        <v>104</v>
      </c>
    </row>
    <row r="8" spans="1:9" s="8" customFormat="1" ht="19.5" customHeight="1" x14ac:dyDescent="0.2">
      <c r="A8" s="54" t="s">
        <v>3</v>
      </c>
      <c r="B8" s="238">
        <v>1</v>
      </c>
      <c r="C8" s="128">
        <f>'A-1.1 Water Fee Calc Sum'!$B$46*B8</f>
        <v>2350.4687166280301</v>
      </c>
      <c r="D8" s="129">
        <f>'A-1.1 Water Fee Calc Sum'!$C$46*B8</f>
        <v>1681.1686426406845</v>
      </c>
      <c r="E8" s="129">
        <f>'A-1.1 Water Fee Calc Sum'!$D$46*B8</f>
        <v>552.48081962889648</v>
      </c>
      <c r="F8" s="241">
        <f t="shared" ref="F8:F15" si="0">+C8+D8+E8</f>
        <v>4584.118178897611</v>
      </c>
      <c r="I8" s="69"/>
    </row>
    <row r="9" spans="1:9" s="8" customFormat="1" ht="19.5" customHeight="1" x14ac:dyDescent="0.2">
      <c r="A9" s="54" t="s">
        <v>4</v>
      </c>
      <c r="B9" s="238">
        <v>1.67</v>
      </c>
      <c r="C9" s="128">
        <f>+C$8*B9</f>
        <v>3925.28275676881</v>
      </c>
      <c r="D9" s="129">
        <f>+D$8*B9</f>
        <v>2807.5516332099432</v>
      </c>
      <c r="E9" s="129">
        <f t="shared" ref="E9:E15" si="1">+E$8*B9</f>
        <v>922.64296878025709</v>
      </c>
      <c r="F9" s="241">
        <f t="shared" si="0"/>
        <v>7655.4773587590107</v>
      </c>
    </row>
    <row r="10" spans="1:9" s="8" customFormat="1" ht="19.5" customHeight="1" x14ac:dyDescent="0.2">
      <c r="A10" s="54" t="s">
        <v>5</v>
      </c>
      <c r="B10" s="238">
        <v>3.33</v>
      </c>
      <c r="C10" s="128">
        <f t="shared" ref="C10:C15" si="2">+C$8*B10</f>
        <v>7827.0608263713402</v>
      </c>
      <c r="D10" s="129">
        <f t="shared" ref="D10:D15" si="3">+D$8*B10</f>
        <v>5598.2915799934799</v>
      </c>
      <c r="E10" s="129">
        <f t="shared" si="1"/>
        <v>1839.7611293642253</v>
      </c>
      <c r="F10" s="241">
        <f t="shared" si="0"/>
        <v>15265.113535729046</v>
      </c>
    </row>
    <row r="11" spans="1:9" s="8" customFormat="1" ht="19.5" customHeight="1" x14ac:dyDescent="0.2">
      <c r="A11" s="54" t="s">
        <v>6</v>
      </c>
      <c r="B11" s="238">
        <v>5.33</v>
      </c>
      <c r="C11" s="128">
        <f t="shared" si="2"/>
        <v>12527.9982596274</v>
      </c>
      <c r="D11" s="129">
        <f t="shared" si="3"/>
        <v>8960.6288652748481</v>
      </c>
      <c r="E11" s="129">
        <f t="shared" si="1"/>
        <v>2944.7227686220185</v>
      </c>
      <c r="F11" s="241">
        <f t="shared" si="0"/>
        <v>24433.349893524264</v>
      </c>
    </row>
    <row r="12" spans="1:9" s="8" customFormat="1" ht="19.5" customHeight="1" x14ac:dyDescent="0.2">
      <c r="A12" s="54" t="s">
        <v>7</v>
      </c>
      <c r="B12" s="238">
        <v>10</v>
      </c>
      <c r="C12" s="128">
        <f t="shared" si="2"/>
        <v>23504.687166280302</v>
      </c>
      <c r="D12" s="129">
        <f t="shared" si="3"/>
        <v>16811.686426406846</v>
      </c>
      <c r="E12" s="129">
        <f t="shared" si="1"/>
        <v>5524.8081962889646</v>
      </c>
      <c r="F12" s="241">
        <f t="shared" si="0"/>
        <v>45841.181788976108</v>
      </c>
    </row>
    <row r="13" spans="1:9" s="8" customFormat="1" ht="19.5" customHeight="1" x14ac:dyDescent="0.2">
      <c r="A13" s="54" t="s">
        <v>8</v>
      </c>
      <c r="B13" s="238">
        <v>16.670000000000002</v>
      </c>
      <c r="C13" s="128">
        <f t="shared" si="2"/>
        <v>39182.313506189268</v>
      </c>
      <c r="D13" s="129">
        <f t="shared" si="3"/>
        <v>28025.081272820215</v>
      </c>
      <c r="E13" s="129">
        <f t="shared" si="1"/>
        <v>9209.8552632137053</v>
      </c>
      <c r="F13" s="241">
        <f t="shared" si="0"/>
        <v>76417.250042223182</v>
      </c>
    </row>
    <row r="14" spans="1:9" s="8" customFormat="1" ht="19.5" customHeight="1" x14ac:dyDescent="0.2">
      <c r="A14" s="54" t="s">
        <v>9</v>
      </c>
      <c r="B14" s="238">
        <v>33.33</v>
      </c>
      <c r="C14" s="128">
        <f t="shared" si="2"/>
        <v>78341.122325212244</v>
      </c>
      <c r="D14" s="129">
        <f t="shared" si="3"/>
        <v>56033.350859214013</v>
      </c>
      <c r="E14" s="129">
        <f t="shared" si="1"/>
        <v>18414.185718231118</v>
      </c>
      <c r="F14" s="241">
        <f t="shared" si="0"/>
        <v>152788.65890265736</v>
      </c>
    </row>
    <row r="15" spans="1:9" s="8" customFormat="1" ht="19.5" customHeight="1" thickBot="1" x14ac:dyDescent="0.25">
      <c r="A15" s="55" t="s">
        <v>10</v>
      </c>
      <c r="B15" s="239">
        <v>53.33</v>
      </c>
      <c r="C15" s="130">
        <f t="shared" si="2"/>
        <v>125350.49665777283</v>
      </c>
      <c r="D15" s="131">
        <f t="shared" si="3"/>
        <v>89656.723712027699</v>
      </c>
      <c r="E15" s="131">
        <f t="shared" si="1"/>
        <v>29463.802110809047</v>
      </c>
      <c r="F15" s="245">
        <f t="shared" si="0"/>
        <v>244471.02248060956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sqref="A1:E1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1" t="s">
        <v>87</v>
      </c>
      <c r="B1" s="251"/>
      <c r="C1" s="251"/>
      <c r="D1" s="251"/>
      <c r="E1" s="251"/>
    </row>
    <row r="2" spans="1:5" ht="15.75" x14ac:dyDescent="0.25">
      <c r="A2" s="47"/>
      <c r="D2" s="61"/>
    </row>
    <row r="3" spans="1:5" ht="20.25" x14ac:dyDescent="0.3">
      <c r="A3" s="252" t="s">
        <v>141</v>
      </c>
      <c r="B3" s="252"/>
      <c r="C3" s="252"/>
      <c r="D3" s="252"/>
      <c r="E3" s="252"/>
    </row>
    <row r="5" spans="1:5" x14ac:dyDescent="0.2">
      <c r="A5" s="3" t="s">
        <v>97</v>
      </c>
      <c r="D5" s="31" t="s">
        <v>100</v>
      </c>
      <c r="E5" s="45" t="s">
        <v>122</v>
      </c>
    </row>
    <row r="6" spans="1:5" x14ac:dyDescent="0.2">
      <c r="A6" s="15" t="s">
        <v>101</v>
      </c>
      <c r="D6" s="20">
        <v>450000</v>
      </c>
      <c r="E6" s="20">
        <f>+D6/5280</f>
        <v>85.227272727272734</v>
      </c>
    </row>
    <row r="7" spans="1:5" x14ac:dyDescent="0.2">
      <c r="A7" s="15" t="s">
        <v>105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106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123</v>
      </c>
      <c r="B12" t="s">
        <v>109</v>
      </c>
      <c r="C12" s="243" t="s">
        <v>111</v>
      </c>
      <c r="D12" s="10" t="s">
        <v>114</v>
      </c>
    </row>
    <row r="13" spans="1:5" x14ac:dyDescent="0.2">
      <c r="A13" s="27" t="s">
        <v>116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110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112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113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118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107</v>
      </c>
      <c r="B21" t="s">
        <v>109</v>
      </c>
      <c r="C21" s="243" t="s">
        <v>111</v>
      </c>
      <c r="D21" s="10" t="s">
        <v>114</v>
      </c>
    </row>
    <row r="22" spans="1:5" x14ac:dyDescent="0.2">
      <c r="A22" s="27" t="s">
        <v>108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110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112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113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118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124</v>
      </c>
      <c r="B30" t="s">
        <v>109</v>
      </c>
      <c r="C30" s="243" t="s">
        <v>111</v>
      </c>
      <c r="D30" s="10" t="s">
        <v>114</v>
      </c>
    </row>
    <row r="31" spans="1:5" x14ac:dyDescent="0.2">
      <c r="A31" s="27" t="s">
        <v>117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115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112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113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121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127</v>
      </c>
      <c r="C38" s="9"/>
      <c r="D38" s="2">
        <f>0.02+0.04+0.04</f>
        <v>0.1</v>
      </c>
    </row>
    <row r="39" spans="1:4" x14ac:dyDescent="0.2">
      <c r="A39" s="85" t="s">
        <v>204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3" t="s">
        <v>148</v>
      </c>
      <c r="B3" s="253"/>
      <c r="C3" s="253"/>
      <c r="D3" s="253"/>
      <c r="E3" s="253"/>
      <c r="F3" s="253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6" t="s">
        <v>136</v>
      </c>
      <c r="B5" s="256"/>
      <c r="C5" s="256"/>
      <c r="D5" s="256"/>
      <c r="E5" s="256"/>
      <c r="F5" s="256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130</v>
      </c>
      <c r="D8" s="18">
        <v>4436000</v>
      </c>
    </row>
    <row r="9" spans="1:6" hidden="1" x14ac:dyDescent="0.2">
      <c r="A9" s="12" t="s">
        <v>131</v>
      </c>
      <c r="B9" s="2"/>
      <c r="D9" s="48">
        <v>5026000</v>
      </c>
    </row>
    <row r="10" spans="1:6" hidden="1" x14ac:dyDescent="0.2">
      <c r="A10" s="59" t="s">
        <v>139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132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129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138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5" t="s">
        <v>137</v>
      </c>
      <c r="B19" s="255"/>
      <c r="C19" s="255"/>
      <c r="D19" s="255"/>
      <c r="E19" s="255"/>
    </row>
    <row r="20" spans="1:6" hidden="1" x14ac:dyDescent="0.2"/>
    <row r="22" spans="1:6" x14ac:dyDescent="0.2">
      <c r="E22" s="20"/>
    </row>
    <row r="23" spans="1:6" ht="15.75" x14ac:dyDescent="0.25">
      <c r="A23" s="253" t="s">
        <v>148</v>
      </c>
      <c r="B23" s="253"/>
      <c r="C23" s="253"/>
      <c r="D23" s="253"/>
      <c r="E23" s="253"/>
      <c r="F23" s="253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6" t="s">
        <v>219</v>
      </c>
      <c r="B25" s="256"/>
      <c r="C25" s="256"/>
      <c r="D25" s="256"/>
      <c r="E25" s="256"/>
      <c r="F25" s="256"/>
    </row>
    <row r="27" spans="1:6" x14ac:dyDescent="0.2">
      <c r="B27" s="45" t="s">
        <v>95</v>
      </c>
      <c r="C27" s="45" t="s">
        <v>152</v>
      </c>
      <c r="D27" s="45" t="s">
        <v>150</v>
      </c>
      <c r="E27" s="45"/>
      <c r="F27" s="45"/>
    </row>
    <row r="28" spans="1:6" x14ac:dyDescent="0.2">
      <c r="A28" s="3" t="s">
        <v>149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151</v>
      </c>
    </row>
    <row r="30" spans="1:6" x14ac:dyDescent="0.2">
      <c r="A30" s="52" t="s">
        <v>201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153</v>
      </c>
    </row>
    <row r="32" spans="1:6" x14ac:dyDescent="0.2">
      <c r="A32" s="52" t="s">
        <v>188</v>
      </c>
      <c r="B32" s="18">
        <v>175000</v>
      </c>
      <c r="C32" s="88" t="s">
        <v>189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191</v>
      </c>
      <c r="B33" s="18">
        <v>150000</v>
      </c>
      <c r="C33" s="10" t="s">
        <v>190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192</v>
      </c>
      <c r="D34" s="18">
        <v>10000</v>
      </c>
      <c r="F34" s="19">
        <f>+D34</f>
        <v>10000</v>
      </c>
    </row>
    <row r="35" spans="1:6" x14ac:dyDescent="0.2">
      <c r="A35" s="52" t="s">
        <v>154</v>
      </c>
      <c r="D35" s="48">
        <v>5000</v>
      </c>
      <c r="F35" s="22">
        <f>+D35</f>
        <v>5000</v>
      </c>
    </row>
    <row r="37" spans="1:6" x14ac:dyDescent="0.2">
      <c r="B37" s="52" t="s">
        <v>155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156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157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202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220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221</v>
      </c>
      <c r="B50" s="93"/>
      <c r="C50" s="93"/>
      <c r="D50" s="93"/>
    </row>
    <row r="51" spans="1:4" x14ac:dyDescent="0.2">
      <c r="A51" s="12" t="s">
        <v>193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194</v>
      </c>
      <c r="B52" s="20"/>
      <c r="C52" s="20">
        <v>7898</v>
      </c>
      <c r="D52" s="20">
        <v>3361</v>
      </c>
    </row>
    <row r="53" spans="1:4" x14ac:dyDescent="0.2">
      <c r="A53" s="12" t="s">
        <v>195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196</v>
      </c>
      <c r="B54" s="20">
        <v>6047</v>
      </c>
      <c r="C54" s="20"/>
      <c r="D54" s="20">
        <v>1820</v>
      </c>
    </row>
    <row r="55" spans="1:4" x14ac:dyDescent="0.2">
      <c r="A55" s="12" t="s">
        <v>197</v>
      </c>
      <c r="B55" s="20"/>
      <c r="C55" s="20"/>
      <c r="D55" s="20">
        <v>211</v>
      </c>
    </row>
    <row r="56" spans="1:4" x14ac:dyDescent="0.2">
      <c r="A56" s="12" t="s">
        <v>198</v>
      </c>
      <c r="B56" s="20"/>
      <c r="C56" s="20"/>
      <c r="D56" s="20"/>
    </row>
    <row r="57" spans="1:4" x14ac:dyDescent="0.2">
      <c r="A57" s="12" t="s">
        <v>199</v>
      </c>
      <c r="B57" s="20"/>
      <c r="C57" s="20">
        <v>760</v>
      </c>
      <c r="D57" s="20"/>
    </row>
    <row r="58" spans="1:4" x14ac:dyDescent="0.2">
      <c r="A58" s="12" t="s">
        <v>200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222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topLeftCell="A7" zoomScaleNormal="100" workbookViewId="0">
      <selection activeCell="B45" sqref="B45"/>
    </sheetView>
  </sheetViews>
  <sheetFormatPr defaultColWidth="11.42578125" defaultRowHeight="15.75" x14ac:dyDescent="0.25"/>
  <cols>
    <col min="1" max="1" width="51.5703125" style="181" bestFit="1" customWidth="1"/>
    <col min="2" max="2" width="16.140625" style="181" bestFit="1" customWidth="1"/>
    <col min="3" max="3" width="14.28515625" style="181" customWidth="1"/>
    <col min="4" max="4" width="17.5703125" style="181" bestFit="1" customWidth="1"/>
    <col min="5" max="5" width="11.42578125" style="181" customWidth="1"/>
    <col min="6" max="6" width="13.28515625" style="181" customWidth="1"/>
    <col min="7" max="8" width="11.42578125" style="181" customWidth="1"/>
    <col min="9" max="9" width="48.7109375" style="181" customWidth="1"/>
    <col min="10" max="11" width="11.42578125" style="181" customWidth="1"/>
    <col min="12" max="12" width="16.5703125" style="181" bestFit="1" customWidth="1"/>
    <col min="13" max="13" width="11.42578125" style="181" customWidth="1"/>
    <col min="14" max="14" width="30.42578125" style="181" bestFit="1" customWidth="1"/>
    <col min="15" max="16384" width="11.42578125" style="181"/>
  </cols>
  <sheetData>
    <row r="1" spans="1:7" x14ac:dyDescent="0.25">
      <c r="A1" s="70" t="s">
        <v>303</v>
      </c>
      <c r="B1" s="179" t="str">
        <f>'A-1.1 Water Fee Calc Sum'!$G$1</f>
        <v>Internal</v>
      </c>
      <c r="C1" s="180"/>
      <c r="G1" s="182" t="s">
        <v>304</v>
      </c>
    </row>
    <row r="2" spans="1:7" x14ac:dyDescent="0.25">
      <c r="A2" s="70" t="s">
        <v>257</v>
      </c>
      <c r="B2" s="183" t="str">
        <f>'A-1.1 Water Fee Calc Sum'!$G$2</f>
        <v>Working Draft - v1</v>
      </c>
      <c r="C2" s="180"/>
      <c r="G2" s="182"/>
    </row>
    <row r="3" spans="1:7" x14ac:dyDescent="0.25">
      <c r="A3" s="70" t="s">
        <v>366</v>
      </c>
      <c r="B3" s="184">
        <f>'A-1.1 Water Fee Calc Sum'!$G$3</f>
        <v>41075</v>
      </c>
      <c r="C3" s="180"/>
      <c r="G3" s="182"/>
    </row>
    <row r="4" spans="1:7" x14ac:dyDescent="0.25">
      <c r="A4" s="70" t="s">
        <v>305</v>
      </c>
      <c r="B4" s="79"/>
      <c r="C4" s="180"/>
      <c r="G4" s="182"/>
    </row>
    <row r="5" spans="1:7" x14ac:dyDescent="0.25">
      <c r="A5" s="180"/>
      <c r="B5" s="180"/>
      <c r="C5" s="180"/>
      <c r="G5" s="182"/>
    </row>
    <row r="6" spans="1:7" x14ac:dyDescent="0.25">
      <c r="A6" s="180"/>
      <c r="B6" s="180"/>
      <c r="C6" s="180"/>
      <c r="G6" s="182"/>
    </row>
    <row r="7" spans="1:7" x14ac:dyDescent="0.25">
      <c r="A7" s="180"/>
      <c r="B7" s="185"/>
      <c r="C7" s="180"/>
      <c r="G7" s="182"/>
    </row>
    <row r="8" spans="1:7" x14ac:dyDescent="0.25">
      <c r="A8" s="180"/>
      <c r="B8" s="180"/>
      <c r="C8" s="180"/>
      <c r="D8" s="186"/>
      <c r="E8" s="186"/>
      <c r="F8" s="186"/>
      <c r="G8" s="182"/>
    </row>
    <row r="9" spans="1:7" x14ac:dyDescent="0.25">
      <c r="A9" s="187" t="s">
        <v>261</v>
      </c>
      <c r="B9" s="188" t="s">
        <v>109</v>
      </c>
      <c r="C9" s="180"/>
      <c r="D9" s="186"/>
      <c r="E9" s="186"/>
      <c r="F9" s="186"/>
      <c r="G9" s="182"/>
    </row>
    <row r="10" spans="1:7" x14ac:dyDescent="0.25">
      <c r="A10" s="189"/>
      <c r="B10" s="189"/>
      <c r="C10" s="180"/>
      <c r="D10" s="190"/>
      <c r="E10" s="190"/>
      <c r="F10" s="186"/>
      <c r="G10" s="182"/>
    </row>
    <row r="11" spans="1:7" x14ac:dyDescent="0.25">
      <c r="A11" s="180" t="s">
        <v>306</v>
      </c>
      <c r="B11" s="191">
        <v>0.02</v>
      </c>
      <c r="C11" s="180"/>
      <c r="D11" s="186"/>
      <c r="E11" s="186"/>
      <c r="F11" s="186"/>
      <c r="G11" s="182"/>
    </row>
    <row r="12" spans="1:7" x14ac:dyDescent="0.25">
      <c r="A12" s="180" t="s">
        <v>307</v>
      </c>
      <c r="B12" s="192">
        <v>30</v>
      </c>
      <c r="C12" s="180"/>
      <c r="G12" s="182"/>
    </row>
    <row r="13" spans="1:7" x14ac:dyDescent="0.25">
      <c r="A13" s="180" t="s">
        <v>308</v>
      </c>
      <c r="B13" s="192">
        <v>1</v>
      </c>
      <c r="C13" s="180"/>
      <c r="G13" s="182"/>
    </row>
    <row r="14" spans="1:7" x14ac:dyDescent="0.25">
      <c r="A14" s="180" t="s">
        <v>309</v>
      </c>
      <c r="B14" s="193">
        <f>(PMT(B11/B13,B12*B13,-1000))*B13</f>
        <v>44.649922293402959</v>
      </c>
      <c r="C14" s="194"/>
      <c r="D14" s="195"/>
      <c r="E14" s="195"/>
      <c r="F14" s="195"/>
      <c r="G14" s="182"/>
    </row>
    <row r="15" spans="1:7" hidden="1" x14ac:dyDescent="0.25">
      <c r="A15" s="180" t="s">
        <v>310</v>
      </c>
      <c r="B15" s="193">
        <f>(-PMT(B11/B13,B12*B13,B34,0))*B13</f>
        <v>144408.78587751018</v>
      </c>
      <c r="C15" s="196"/>
      <c r="D15" s="195"/>
      <c r="E15" s="195"/>
      <c r="F15" s="195"/>
      <c r="G15" s="182"/>
    </row>
    <row r="16" spans="1:7" x14ac:dyDescent="0.25">
      <c r="A16" s="180" t="s">
        <v>311</v>
      </c>
      <c r="B16" s="193">
        <f>(B14-((PMT(0/B13,B12*B13,-1000))*B13))</f>
        <v>11.316588960069623</v>
      </c>
      <c r="C16" s="196"/>
      <c r="D16" s="195"/>
      <c r="E16" s="195"/>
      <c r="F16" s="195"/>
      <c r="G16" s="182"/>
    </row>
    <row r="17" spans="1:7" x14ac:dyDescent="0.25">
      <c r="A17" s="180"/>
      <c r="B17" s="193"/>
      <c r="C17" s="196"/>
      <c r="D17" s="195"/>
      <c r="E17" s="195"/>
      <c r="F17" s="195"/>
      <c r="G17" s="182"/>
    </row>
    <row r="18" spans="1:7" hidden="1" x14ac:dyDescent="0.25">
      <c r="A18" s="180"/>
      <c r="B18" s="193"/>
      <c r="C18" s="196"/>
      <c r="D18" s="195"/>
      <c r="E18" s="195"/>
      <c r="F18" s="195"/>
      <c r="G18" s="182"/>
    </row>
    <row r="19" spans="1:7" hidden="1" x14ac:dyDescent="0.25">
      <c r="A19" s="180"/>
      <c r="B19" s="196"/>
      <c r="C19" s="196"/>
      <c r="D19" s="195"/>
      <c r="E19" s="195"/>
      <c r="F19" s="195"/>
      <c r="G19" s="182"/>
    </row>
    <row r="20" spans="1:7" hidden="1" x14ac:dyDescent="0.25">
      <c r="A20" s="180" t="s">
        <v>312</v>
      </c>
      <c r="B20" s="196">
        <f>'A-1.1 Water Fee Calc Sum'!B42</f>
        <v>3234244.9540801691</v>
      </c>
      <c r="C20" s="197"/>
      <c r="D20" s="198"/>
      <c r="G20" s="182"/>
    </row>
    <row r="21" spans="1:7" hidden="1" x14ac:dyDescent="0.25">
      <c r="A21" s="180"/>
      <c r="B21" s="199"/>
      <c r="C21" s="180"/>
      <c r="D21" s="200"/>
      <c r="E21" s="201"/>
      <c r="G21" s="182"/>
    </row>
    <row r="22" spans="1:7" hidden="1" x14ac:dyDescent="0.25">
      <c r="A22" s="180" t="s">
        <v>313</v>
      </c>
      <c r="B22" s="196">
        <f>SUM(B20:B20)</f>
        <v>3234244.9540801691</v>
      </c>
      <c r="C22" s="202">
        <f>B22/B34</f>
        <v>1</v>
      </c>
      <c r="E22" s="201"/>
      <c r="F22" s="201"/>
      <c r="G22" s="182"/>
    </row>
    <row r="23" spans="1:7" hidden="1" x14ac:dyDescent="0.25">
      <c r="A23" s="180"/>
      <c r="B23" s="180"/>
      <c r="C23" s="180"/>
      <c r="G23" s="182"/>
    </row>
    <row r="24" spans="1:7" hidden="1" x14ac:dyDescent="0.25">
      <c r="A24" s="180" t="s">
        <v>314</v>
      </c>
      <c r="B24" s="196"/>
      <c r="C24" s="196"/>
      <c r="D24" s="195"/>
      <c r="E24" s="195"/>
      <c r="F24" s="195"/>
      <c r="G24" s="182"/>
    </row>
    <row r="25" spans="1:7" hidden="1" x14ac:dyDescent="0.25">
      <c r="A25" s="180" t="s">
        <v>315</v>
      </c>
      <c r="B25" s="196">
        <f>B62+$B$34*C62</f>
        <v>0</v>
      </c>
      <c r="C25" s="196"/>
      <c r="D25" s="195"/>
      <c r="E25" s="195"/>
      <c r="F25" s="195"/>
      <c r="G25" s="182"/>
    </row>
    <row r="26" spans="1:7" hidden="1" x14ac:dyDescent="0.25">
      <c r="A26" s="180" t="s">
        <v>316</v>
      </c>
      <c r="B26" s="196">
        <f>B63+$B$34*C63</f>
        <v>0</v>
      </c>
      <c r="C26" s="203">
        <f>B26/B34</f>
        <v>0</v>
      </c>
      <c r="D26" s="195"/>
      <c r="E26" s="195"/>
      <c r="F26" s="195"/>
      <c r="G26" s="182"/>
    </row>
    <row r="27" spans="1:7" hidden="1" x14ac:dyDescent="0.25">
      <c r="A27" s="180" t="s">
        <v>317</v>
      </c>
      <c r="B27" s="196">
        <f>B64+$B$34*C64</f>
        <v>0</v>
      </c>
      <c r="C27" s="180"/>
      <c r="G27" s="182"/>
    </row>
    <row r="28" spans="1:7" hidden="1" x14ac:dyDescent="0.25">
      <c r="A28" s="180" t="s">
        <v>318</v>
      </c>
      <c r="B28" s="196">
        <f>B65+$B$34*C65</f>
        <v>0</v>
      </c>
      <c r="C28" s="202"/>
      <c r="D28" s="195"/>
      <c r="E28" s="195"/>
      <c r="F28" s="195"/>
      <c r="G28" s="182"/>
    </row>
    <row r="29" spans="1:7" hidden="1" x14ac:dyDescent="0.25">
      <c r="A29" s="180" t="s">
        <v>319</v>
      </c>
      <c r="B29" s="196">
        <f>B66+$B$34*C66</f>
        <v>0</v>
      </c>
      <c r="C29" s="202"/>
      <c r="G29" s="182"/>
    </row>
    <row r="30" spans="1:7" hidden="1" x14ac:dyDescent="0.25">
      <c r="A30" s="180" t="s">
        <v>320</v>
      </c>
      <c r="B30" s="196">
        <f>SUM(B68:B71)+$B$34*SUM(C68:C71)</f>
        <v>0</v>
      </c>
      <c r="C30" s="202"/>
      <c r="G30" s="182"/>
    </row>
    <row r="31" spans="1:7" hidden="1" x14ac:dyDescent="0.25">
      <c r="A31" s="180"/>
      <c r="B31" s="199"/>
      <c r="C31" s="204"/>
      <c r="D31" s="195"/>
      <c r="E31" s="195"/>
      <c r="F31" s="195"/>
      <c r="G31" s="182"/>
    </row>
    <row r="32" spans="1:7" hidden="1" x14ac:dyDescent="0.25">
      <c r="A32" s="180" t="s">
        <v>321</v>
      </c>
      <c r="B32" s="196">
        <f>SUM(B24:B31)</f>
        <v>0</v>
      </c>
      <c r="C32" s="191">
        <f>B32/B34</f>
        <v>0</v>
      </c>
      <c r="G32" s="182"/>
    </row>
    <row r="33" spans="1:7" hidden="1" x14ac:dyDescent="0.25">
      <c r="A33" s="180"/>
      <c r="B33" s="199"/>
      <c r="C33" s="191"/>
      <c r="G33" s="182"/>
    </row>
    <row r="34" spans="1:7" hidden="1" x14ac:dyDescent="0.25">
      <c r="A34" s="196" t="s">
        <v>322</v>
      </c>
      <c r="B34" s="196">
        <f>(+B22+B73)/(1-C73)</f>
        <v>3234244.9540801691</v>
      </c>
      <c r="C34" s="191">
        <f>SUM(C22:C33)</f>
        <v>1</v>
      </c>
      <c r="G34" s="182"/>
    </row>
    <row r="35" spans="1:7" hidden="1" x14ac:dyDescent="0.25">
      <c r="A35" s="180"/>
      <c r="B35" s="180"/>
      <c r="C35" s="180"/>
      <c r="G35" s="182"/>
    </row>
    <row r="36" spans="1:7" hidden="1" x14ac:dyDescent="0.25">
      <c r="A36" s="180" t="s">
        <v>323</v>
      </c>
      <c r="B36" s="196">
        <f>B22+B32</f>
        <v>3234244.9540801691</v>
      </c>
      <c r="C36" s="180"/>
      <c r="D36" s="195"/>
      <c r="E36" s="195"/>
      <c r="F36" s="195"/>
      <c r="G36" s="182"/>
    </row>
    <row r="37" spans="1:7" hidden="1" x14ac:dyDescent="0.25">
      <c r="A37" s="180"/>
      <c r="B37" s="180"/>
      <c r="C37" s="180"/>
      <c r="G37" s="182"/>
    </row>
    <row r="38" spans="1:7" hidden="1" x14ac:dyDescent="0.25">
      <c r="A38" s="180" t="s">
        <v>324</v>
      </c>
      <c r="B38" s="196">
        <f>IF(MOD(B34,5000)&gt;0,TRUNC(B34/5000)*5000+5000,B34)</f>
        <v>3235000</v>
      </c>
      <c r="C38" s="196"/>
      <c r="G38" s="182"/>
    </row>
    <row r="39" spans="1:7" x14ac:dyDescent="0.25">
      <c r="A39" s="189" t="s">
        <v>325</v>
      </c>
      <c r="B39" s="196"/>
      <c r="C39" s="196"/>
      <c r="G39" s="182"/>
    </row>
    <row r="40" spans="1:7" x14ac:dyDescent="0.25">
      <c r="A40" s="180"/>
      <c r="B40" s="180"/>
      <c r="C40" s="180"/>
      <c r="G40" s="182"/>
    </row>
    <row r="41" spans="1:7" hidden="1" x14ac:dyDescent="0.25">
      <c r="A41" s="180" t="s">
        <v>326</v>
      </c>
      <c r="B41" s="180"/>
      <c r="C41" s="180"/>
      <c r="G41" s="182"/>
    </row>
    <row r="42" spans="1:7" x14ac:dyDescent="0.25">
      <c r="A42" s="180"/>
      <c r="B42" s="180"/>
      <c r="C42" s="180"/>
      <c r="G42" s="182"/>
    </row>
    <row r="43" spans="1:7" x14ac:dyDescent="0.25">
      <c r="A43" s="205" t="s">
        <v>327</v>
      </c>
      <c r="B43" s="180"/>
      <c r="C43" s="180"/>
      <c r="G43" s="182"/>
    </row>
    <row r="44" spans="1:7" x14ac:dyDescent="0.25">
      <c r="A44" s="180"/>
      <c r="B44" s="180"/>
      <c r="C44" s="180"/>
      <c r="G44" s="182"/>
    </row>
    <row r="45" spans="1:7" x14ac:dyDescent="0.25">
      <c r="A45" s="205" t="s">
        <v>328</v>
      </c>
      <c r="B45" s="180"/>
      <c r="C45" s="180"/>
      <c r="G45" s="182"/>
    </row>
    <row r="46" spans="1:7" x14ac:dyDescent="0.25">
      <c r="A46" s="206"/>
      <c r="G46" s="182"/>
    </row>
    <row r="47" spans="1:7" hidden="1" x14ac:dyDescent="0.25"/>
    <row r="48" spans="1:7" hidden="1" x14ac:dyDescent="0.25">
      <c r="A48" s="207"/>
      <c r="B48" s="207"/>
      <c r="C48" s="207"/>
      <c r="D48" s="207"/>
      <c r="E48" s="207"/>
      <c r="F48" s="207"/>
      <c r="G48" s="207"/>
    </row>
    <row r="49" spans="1:4" hidden="1" x14ac:dyDescent="0.25"/>
    <row r="50" spans="1:4" hidden="1" x14ac:dyDescent="0.25">
      <c r="A50" s="181" t="s">
        <v>329</v>
      </c>
    </row>
    <row r="51" spans="1:4" hidden="1" x14ac:dyDescent="0.25"/>
    <row r="52" spans="1:4" hidden="1" x14ac:dyDescent="0.25">
      <c r="A52" s="181" t="s">
        <v>330</v>
      </c>
    </row>
    <row r="53" spans="1:4" hidden="1" x14ac:dyDescent="0.25"/>
    <row r="54" spans="1:4" hidden="1" x14ac:dyDescent="0.25"/>
    <row r="55" spans="1:4" hidden="1" x14ac:dyDescent="0.25">
      <c r="A55" s="208"/>
    </row>
    <row r="56" spans="1:4" hidden="1" x14ac:dyDescent="0.25">
      <c r="A56" s="209"/>
    </row>
    <row r="57" spans="1:4" hidden="1" x14ac:dyDescent="0.25"/>
    <row r="58" spans="1:4" hidden="1" x14ac:dyDescent="0.25"/>
    <row r="59" spans="1:4" hidden="1" x14ac:dyDescent="0.25">
      <c r="A59" s="210"/>
      <c r="B59" s="210" t="s">
        <v>331</v>
      </c>
      <c r="C59" s="210" t="s">
        <v>332</v>
      </c>
      <c r="D59" s="211"/>
    </row>
    <row r="60" spans="1:4" hidden="1" x14ac:dyDescent="0.25">
      <c r="A60" s="212" t="s">
        <v>94</v>
      </c>
      <c r="B60" s="212" t="s">
        <v>333</v>
      </c>
      <c r="C60" s="212" t="s">
        <v>333</v>
      </c>
      <c r="D60" s="212" t="s">
        <v>334</v>
      </c>
    </row>
    <row r="61" spans="1:4" hidden="1" x14ac:dyDescent="0.25"/>
    <row r="62" spans="1:4" hidden="1" x14ac:dyDescent="0.25">
      <c r="A62" s="181" t="s">
        <v>335</v>
      </c>
      <c r="B62" s="213">
        <v>0</v>
      </c>
      <c r="C62" s="214">
        <v>0</v>
      </c>
      <c r="D62" s="181" t="s">
        <v>336</v>
      </c>
    </row>
    <row r="63" spans="1:4" hidden="1" x14ac:dyDescent="0.25">
      <c r="A63" s="181" t="s">
        <v>337</v>
      </c>
      <c r="B63" s="213">
        <v>0</v>
      </c>
      <c r="C63" s="215">
        <v>0</v>
      </c>
      <c r="D63" s="181" t="s">
        <v>338</v>
      </c>
    </row>
    <row r="64" spans="1:4" hidden="1" x14ac:dyDescent="0.25">
      <c r="A64" s="181" t="s">
        <v>339</v>
      </c>
      <c r="B64" s="213">
        <v>0</v>
      </c>
      <c r="C64" s="215">
        <v>0</v>
      </c>
    </row>
    <row r="65" spans="1:6" hidden="1" x14ac:dyDescent="0.25">
      <c r="A65" s="181" t="s">
        <v>340</v>
      </c>
      <c r="B65" s="216">
        <v>0</v>
      </c>
      <c r="C65" s="215">
        <v>0</v>
      </c>
      <c r="D65" s="181" t="s">
        <v>341</v>
      </c>
    </row>
    <row r="66" spans="1:6" hidden="1" x14ac:dyDescent="0.25">
      <c r="A66" s="181" t="s">
        <v>342</v>
      </c>
      <c r="B66" s="217">
        <v>0</v>
      </c>
      <c r="C66" s="217">
        <v>0</v>
      </c>
    </row>
    <row r="67" spans="1:6" hidden="1" x14ac:dyDescent="0.25">
      <c r="A67" s="181" t="s">
        <v>343</v>
      </c>
      <c r="B67" s="195"/>
      <c r="C67" s="218"/>
    </row>
    <row r="68" spans="1:6" hidden="1" x14ac:dyDescent="0.25">
      <c r="A68" s="181" t="s">
        <v>344</v>
      </c>
      <c r="B68" s="216">
        <v>0</v>
      </c>
      <c r="C68" s="217">
        <v>0</v>
      </c>
    </row>
    <row r="69" spans="1:6" hidden="1" x14ac:dyDescent="0.25">
      <c r="A69" s="181" t="s">
        <v>345</v>
      </c>
      <c r="B69" s="216">
        <v>0</v>
      </c>
      <c r="C69" s="217">
        <v>0</v>
      </c>
    </row>
    <row r="70" spans="1:6" hidden="1" x14ac:dyDescent="0.25">
      <c r="A70" s="181" t="s">
        <v>346</v>
      </c>
      <c r="B70" s="216">
        <v>0</v>
      </c>
      <c r="C70" s="217">
        <v>0</v>
      </c>
    </row>
    <row r="71" spans="1:6" hidden="1" x14ac:dyDescent="0.25">
      <c r="A71" s="181" t="s">
        <v>347</v>
      </c>
      <c r="B71" s="219">
        <f>0.1*(B68+B69+B70)</f>
        <v>0</v>
      </c>
      <c r="C71" s="215">
        <v>0</v>
      </c>
    </row>
    <row r="72" spans="1:6" hidden="1" x14ac:dyDescent="0.25">
      <c r="B72" s="220" t="s">
        <v>348</v>
      </c>
      <c r="C72" s="220" t="s">
        <v>348</v>
      </c>
    </row>
    <row r="73" spans="1:6" hidden="1" x14ac:dyDescent="0.25">
      <c r="B73" s="195">
        <f>SUM(B61:B72)</f>
        <v>0</v>
      </c>
      <c r="C73" s="221">
        <f>SUM(C61:C72)</f>
        <v>0</v>
      </c>
      <c r="F73" s="222"/>
    </row>
    <row r="74" spans="1:6" hidden="1" x14ac:dyDescent="0.25">
      <c r="B74" s="195"/>
      <c r="C74" s="221"/>
      <c r="F74" s="222"/>
    </row>
    <row r="75" spans="1:6" hidden="1" x14ac:dyDescent="0.25">
      <c r="B75" s="195"/>
      <c r="F75" s="223"/>
    </row>
    <row r="76" spans="1:6" hidden="1" x14ac:dyDescent="0.25">
      <c r="A76" s="181" t="s">
        <v>349</v>
      </c>
      <c r="B76" s="195">
        <f>B22</f>
        <v>3234244.9540801691</v>
      </c>
      <c r="C76" s="224">
        <f>B76/$B$79</f>
        <v>1</v>
      </c>
      <c r="F76" s="198"/>
    </row>
    <row r="77" spans="1:6" hidden="1" x14ac:dyDescent="0.25">
      <c r="A77" s="181" t="s">
        <v>350</v>
      </c>
      <c r="B77" s="195">
        <f>B73</f>
        <v>0</v>
      </c>
      <c r="C77" s="224">
        <f>B77/$B$79</f>
        <v>0</v>
      </c>
      <c r="F77" s="198"/>
    </row>
    <row r="78" spans="1:6" hidden="1" x14ac:dyDescent="0.25">
      <c r="A78" s="181" t="s">
        <v>351</v>
      </c>
      <c r="B78" s="225">
        <f>C73*B34</f>
        <v>0</v>
      </c>
      <c r="C78" s="226">
        <f>B78/$B$79</f>
        <v>0</v>
      </c>
      <c r="F78" s="223"/>
    </row>
    <row r="79" spans="1:6" hidden="1" x14ac:dyDescent="0.25">
      <c r="A79" s="181" t="s">
        <v>352</v>
      </c>
      <c r="B79" s="223">
        <f>SUM(B76:B78)</f>
        <v>3234244.9540801691</v>
      </c>
      <c r="C79" s="227">
        <f>SUM(C76:C78)</f>
        <v>1</v>
      </c>
    </row>
    <row r="80" spans="1:6" hidden="1" x14ac:dyDescent="0.25">
      <c r="D80" s="198"/>
    </row>
    <row r="81" spans="1:6" hidden="1" x14ac:dyDescent="0.25">
      <c r="D81" s="198"/>
    </row>
    <row r="82" spans="1:6" hidden="1" x14ac:dyDescent="0.25">
      <c r="A82" s="228" t="s">
        <v>291</v>
      </c>
      <c r="D82" s="198"/>
    </row>
    <row r="83" spans="1:6" hidden="1" x14ac:dyDescent="0.25">
      <c r="A83" s="181" t="s">
        <v>353</v>
      </c>
    </row>
    <row r="84" spans="1:6" hidden="1" x14ac:dyDescent="0.25">
      <c r="A84" s="181" t="s">
        <v>354</v>
      </c>
    </row>
    <row r="85" spans="1:6" hidden="1" x14ac:dyDescent="0.25">
      <c r="F85" s="198"/>
    </row>
    <row r="86" spans="1:6" hidden="1" x14ac:dyDescent="0.25">
      <c r="A86" s="211"/>
      <c r="C86" s="229" t="s">
        <v>355</v>
      </c>
      <c r="D86" s="230"/>
    </row>
    <row r="87" spans="1:6" hidden="1" x14ac:dyDescent="0.25">
      <c r="A87" s="210"/>
      <c r="B87" s="182" t="s">
        <v>356</v>
      </c>
      <c r="C87" s="210" t="s">
        <v>331</v>
      </c>
      <c r="D87" s="210" t="s">
        <v>357</v>
      </c>
    </row>
    <row r="88" spans="1:6" hidden="1" x14ac:dyDescent="0.25">
      <c r="A88" s="212" t="s">
        <v>358</v>
      </c>
      <c r="B88" s="231" t="s">
        <v>359</v>
      </c>
      <c r="C88" s="212" t="s">
        <v>333</v>
      </c>
      <c r="D88" s="212" t="s">
        <v>333</v>
      </c>
    </row>
    <row r="89" spans="1:6" hidden="1" x14ac:dyDescent="0.25"/>
    <row r="90" spans="1:6" hidden="1" x14ac:dyDescent="0.25">
      <c r="A90" s="211" t="s">
        <v>360</v>
      </c>
      <c r="B90" s="195">
        <v>15000</v>
      </c>
      <c r="C90" s="195">
        <v>15000</v>
      </c>
      <c r="D90" s="221">
        <v>0</v>
      </c>
    </row>
    <row r="91" spans="1:6" hidden="1" x14ac:dyDescent="0.25">
      <c r="A91" s="211" t="s">
        <v>361</v>
      </c>
      <c r="B91" s="221">
        <v>0.02</v>
      </c>
      <c r="C91" s="195">
        <v>0</v>
      </c>
      <c r="D91" s="221">
        <v>0.02</v>
      </c>
    </row>
    <row r="92" spans="1:6" hidden="1" x14ac:dyDescent="0.25">
      <c r="A92" s="211" t="s">
        <v>362</v>
      </c>
      <c r="B92" s="221">
        <v>0.01</v>
      </c>
      <c r="C92" s="195">
        <v>20000</v>
      </c>
      <c r="D92" s="221">
        <v>0.01</v>
      </c>
    </row>
    <row r="93" spans="1:6" hidden="1" x14ac:dyDescent="0.25">
      <c r="A93" s="211" t="s">
        <v>363</v>
      </c>
      <c r="B93" s="221">
        <v>5.0000000000000001E-3</v>
      </c>
      <c r="C93" s="195">
        <v>70000</v>
      </c>
      <c r="D93" s="221">
        <v>5.0000000000000001E-3</v>
      </c>
    </row>
    <row r="94" spans="1:6" hidden="1" x14ac:dyDescent="0.25"/>
    <row r="95" spans="1:6" hidden="1" x14ac:dyDescent="0.25">
      <c r="A95" s="181" t="s">
        <v>364</v>
      </c>
    </row>
    <row r="96" spans="1:6" hidden="1" x14ac:dyDescent="0.25">
      <c r="A96" s="181" t="s">
        <v>365</v>
      </c>
    </row>
    <row r="97" spans="1:2" hidden="1" x14ac:dyDescent="0.25"/>
    <row r="98" spans="1:2" hidden="1" x14ac:dyDescent="0.25"/>
    <row r="100" spans="1:2" x14ac:dyDescent="0.25">
      <c r="A100" s="206"/>
      <c r="B100" s="206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1"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1" t="s">
        <v>158</v>
      </c>
      <c r="B2" s="251"/>
      <c r="C2" s="251"/>
      <c r="D2" s="251"/>
      <c r="E2" s="251"/>
      <c r="F2" s="251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183</v>
      </c>
      <c r="F4" s="91">
        <v>-2176761.0499999998</v>
      </c>
      <c r="G4" s="70" t="s">
        <v>384</v>
      </c>
    </row>
    <row r="5" spans="1:7" x14ac:dyDescent="0.2">
      <c r="A5" s="70" t="s">
        <v>186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205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181</v>
      </c>
      <c r="F7" s="72">
        <f>+F45</f>
        <v>1794</v>
      </c>
    </row>
    <row r="8" spans="1:7" x14ac:dyDescent="0.2">
      <c r="A8" s="70" t="s">
        <v>180</v>
      </c>
      <c r="F8" s="78">
        <v>1340</v>
      </c>
    </row>
    <row r="9" spans="1:7" ht="15.75" thickBot="1" x14ac:dyDescent="0.25">
      <c r="A9" s="70" t="s">
        <v>182</v>
      </c>
      <c r="F9" s="78">
        <f>+F7*F8</f>
        <v>2403960</v>
      </c>
    </row>
    <row r="10" spans="1:7" ht="16.5" thickBot="1" x14ac:dyDescent="0.3">
      <c r="A10" s="70" t="s">
        <v>218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177</v>
      </c>
      <c r="E12" s="77" t="s">
        <v>179</v>
      </c>
      <c r="F12" s="77" t="s">
        <v>176</v>
      </c>
    </row>
    <row r="13" spans="1:7" x14ac:dyDescent="0.2">
      <c r="B13" s="70" t="s">
        <v>174</v>
      </c>
      <c r="C13" s="77" t="s">
        <v>178</v>
      </c>
      <c r="D13" s="77" t="s">
        <v>206</v>
      </c>
      <c r="E13" s="77" t="s">
        <v>208</v>
      </c>
      <c r="F13" s="77" t="s">
        <v>216</v>
      </c>
    </row>
    <row r="14" spans="1:7" x14ac:dyDescent="0.2">
      <c r="A14" s="73"/>
      <c r="B14" s="73" t="s">
        <v>175</v>
      </c>
      <c r="C14" s="76" t="s">
        <v>176</v>
      </c>
      <c r="D14" s="76" t="s">
        <v>207</v>
      </c>
      <c r="E14" s="76" t="s">
        <v>209</v>
      </c>
      <c r="F14" s="76" t="s">
        <v>217</v>
      </c>
    </row>
    <row r="15" spans="1:7" ht="15.75" x14ac:dyDescent="0.25">
      <c r="A15" s="98" t="s">
        <v>185</v>
      </c>
      <c r="B15" s="81"/>
      <c r="C15" s="80"/>
      <c r="D15" s="80"/>
      <c r="E15" s="81"/>
      <c r="F15" s="80"/>
    </row>
    <row r="16" spans="1:7" x14ac:dyDescent="0.2">
      <c r="A16" s="70" t="s">
        <v>210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211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212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213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214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215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170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184</v>
      </c>
      <c r="B24" s="81"/>
      <c r="C24" s="80"/>
      <c r="D24" s="80"/>
      <c r="E24" s="81"/>
      <c r="F24" s="80"/>
    </row>
    <row r="25" spans="1:6" x14ac:dyDescent="0.2">
      <c r="A25" s="82" t="s">
        <v>171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161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169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170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166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163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164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168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159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160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172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162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165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167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225</v>
      </c>
    </row>
    <row r="41" spans="1:6" x14ac:dyDescent="0.2">
      <c r="A41" s="70" t="s">
        <v>224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173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226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223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235</v>
      </c>
      <c r="D1" s="132">
        <f>PMT(0.05,30,C4)</f>
        <v>-253700.59681307865</v>
      </c>
      <c r="E1" s="2">
        <v>0.05</v>
      </c>
      <c r="F1" s="52" t="s">
        <v>241</v>
      </c>
      <c r="H1" s="79" t="s">
        <v>236</v>
      </c>
      <c r="J1" s="132">
        <f>PMT(0.05,20,I4)</f>
        <v>-312946.09004369611</v>
      </c>
      <c r="K1" s="2">
        <v>0.05</v>
      </c>
    </row>
    <row r="2" spans="2:17" x14ac:dyDescent="0.2">
      <c r="C2" s="52" t="s">
        <v>243</v>
      </c>
      <c r="D2" s="18">
        <f>+'A-6 Peaking Summary'!E12</f>
        <v>810</v>
      </c>
      <c r="F2" s="52" t="s">
        <v>242</v>
      </c>
      <c r="M2"/>
      <c r="N2"/>
      <c r="O2"/>
      <c r="P2"/>
      <c r="Q2"/>
    </row>
    <row r="3" spans="2:17" x14ac:dyDescent="0.2">
      <c r="B3" s="52" t="s">
        <v>232</v>
      </c>
      <c r="C3" s="10" t="s">
        <v>230</v>
      </c>
      <c r="D3" s="10" t="s">
        <v>229</v>
      </c>
      <c r="E3" s="52" t="s">
        <v>231</v>
      </c>
      <c r="H3" s="52" t="s">
        <v>232</v>
      </c>
      <c r="I3" s="10" t="s">
        <v>230</v>
      </c>
      <c r="J3" s="10" t="s">
        <v>229</v>
      </c>
      <c r="K3" s="52" t="s">
        <v>231</v>
      </c>
      <c r="M3" s="134"/>
      <c r="N3" s="135"/>
      <c r="O3" s="135"/>
      <c r="P3" s="136" t="s">
        <v>238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234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240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233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239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104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244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245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95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246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7"/>
  <sheetViews>
    <sheetView zoomScaleNormal="100" workbookViewId="0">
      <pane xSplit="1" ySplit="10" topLeftCell="B23" activePane="bottomRight" state="frozen"/>
      <selection pane="topRight" activeCell="B1" sqref="B1"/>
      <selection pane="bottomLeft" activeCell="A13" sqref="A13"/>
      <selection pane="bottomRight" activeCell="B11" sqref="B11"/>
    </sheetView>
  </sheetViews>
  <sheetFormatPr defaultColWidth="8.85546875" defaultRowHeight="12.75" x14ac:dyDescent="0.2"/>
  <cols>
    <col min="1" max="1" width="35.7109375" style="52" customWidth="1"/>
    <col min="2" max="2" width="12.42578125" style="52" bestFit="1" customWidth="1"/>
    <col min="3" max="3" width="10.7109375" style="52" bestFit="1" customWidth="1"/>
    <col min="4" max="4" width="11.42578125" style="52" bestFit="1" customWidth="1"/>
    <col min="5" max="5" width="8.140625" style="52" bestFit="1" customWidth="1"/>
    <col min="6" max="6" width="11.7109375" style="52" bestFit="1" customWidth="1"/>
    <col min="7" max="7" width="22.7109375" style="52" bestFit="1" customWidth="1"/>
    <col min="8" max="16384" width="8.85546875" style="52"/>
  </cols>
  <sheetData>
    <row r="1" spans="1:10" x14ac:dyDescent="0.2">
      <c r="A1" s="79" t="s">
        <v>255</v>
      </c>
      <c r="B1" s="79"/>
      <c r="C1" s="79"/>
      <c r="D1" s="79"/>
      <c r="E1" s="79"/>
      <c r="F1" s="79"/>
      <c r="G1" s="153" t="s">
        <v>256</v>
      </c>
      <c r="H1" s="79"/>
      <c r="I1" s="79"/>
      <c r="J1" s="79"/>
    </row>
    <row r="2" spans="1:10" x14ac:dyDescent="0.2">
      <c r="A2" s="79" t="s">
        <v>257</v>
      </c>
      <c r="B2" s="79"/>
      <c r="C2" s="79"/>
      <c r="D2" s="79"/>
      <c r="E2" s="79"/>
      <c r="F2" s="79"/>
      <c r="G2" s="154" t="s">
        <v>258</v>
      </c>
      <c r="H2" s="79"/>
      <c r="I2" s="79"/>
      <c r="J2" s="79"/>
    </row>
    <row r="3" spans="1:10" x14ac:dyDescent="0.2">
      <c r="A3" s="79" t="s">
        <v>295</v>
      </c>
      <c r="B3" s="79"/>
      <c r="C3" s="79"/>
      <c r="D3" s="79"/>
      <c r="E3" s="79"/>
      <c r="F3" s="79"/>
      <c r="G3" s="155">
        <v>41075</v>
      </c>
      <c r="H3" s="79"/>
      <c r="I3" s="79"/>
      <c r="J3" s="79"/>
    </row>
    <row r="4" spans="1:10" x14ac:dyDescent="0.2">
      <c r="A4" s="79" t="s">
        <v>377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296</v>
      </c>
      <c r="C8" s="88" t="s">
        <v>299</v>
      </c>
      <c r="D8" s="88" t="s">
        <v>301</v>
      </c>
      <c r="E8" s="88" t="s">
        <v>259</v>
      </c>
      <c r="F8" s="88"/>
      <c r="G8" s="79"/>
      <c r="H8" s="79"/>
      <c r="I8" s="79"/>
      <c r="J8" s="79"/>
    </row>
    <row r="9" spans="1:10" x14ac:dyDescent="0.2">
      <c r="A9" s="79"/>
      <c r="B9" s="88" t="s">
        <v>297</v>
      </c>
      <c r="C9" s="88" t="s">
        <v>300</v>
      </c>
      <c r="D9" s="88" t="s">
        <v>302</v>
      </c>
      <c r="E9" s="88" t="s">
        <v>259</v>
      </c>
      <c r="F9" s="88"/>
      <c r="G9" s="88" t="s">
        <v>260</v>
      </c>
      <c r="H9" s="79"/>
      <c r="I9" s="79"/>
      <c r="J9" s="79"/>
    </row>
    <row r="10" spans="1:10" x14ac:dyDescent="0.2">
      <c r="A10" s="133" t="s">
        <v>261</v>
      </c>
      <c r="B10" s="156" t="s">
        <v>298</v>
      </c>
      <c r="C10" s="156" t="s">
        <v>298</v>
      </c>
      <c r="D10" s="156" t="s">
        <v>298</v>
      </c>
      <c r="E10" s="88" t="s">
        <v>259</v>
      </c>
      <c r="F10" s="156" t="s">
        <v>262</v>
      </c>
      <c r="G10" s="156" t="s">
        <v>263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264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265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266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267</v>
      </c>
      <c r="B15" s="161">
        <f>'A-2 Groundwater Sup Fee'!C19</f>
        <v>1950000</v>
      </c>
      <c r="C15" s="161">
        <f>'A-7 Peaking Costs'!C20</f>
        <v>2703000</v>
      </c>
      <c r="D15" s="161">
        <f>'A-8 Dist Summary'!D13</f>
        <v>20888999.999814391</v>
      </c>
      <c r="E15" s="161">
        <v>0</v>
      </c>
      <c r="F15" s="161">
        <f>SUM(B15:E15)</f>
        <v>25541999.999814391</v>
      </c>
      <c r="G15" s="79" t="s">
        <v>268</v>
      </c>
      <c r="H15" s="79"/>
      <c r="I15" s="79"/>
      <c r="J15" s="79"/>
    </row>
    <row r="16" spans="1:10" x14ac:dyDescent="0.2">
      <c r="A16" s="159" t="s">
        <v>269</v>
      </c>
      <c r="B16" s="162">
        <f>SUM(B14:B15)</f>
        <v>1950000</v>
      </c>
      <c r="C16" s="162">
        <f>SUM(C14:C15)</f>
        <v>2703000</v>
      </c>
      <c r="D16" s="162">
        <f>SUM(D14:D15)</f>
        <v>20888999.999814391</v>
      </c>
      <c r="E16" s="162">
        <f>SUM(E14:E15)</f>
        <v>0</v>
      </c>
      <c r="F16" s="160">
        <f>SUM(B16:E16)</f>
        <v>25541999.999814391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368</v>
      </c>
      <c r="B18" s="165">
        <f>'A-2 Groundwater Sup Fee'!C27</f>
        <v>429000</v>
      </c>
      <c r="C18" s="165">
        <f>'A-7 Peaking Costs'!C29</f>
        <v>945000</v>
      </c>
      <c r="D18" s="165">
        <f>'A-8 Dist Summary'!D15</f>
        <v>1462229.9999870076</v>
      </c>
      <c r="E18" s="165">
        <f t="shared" ref="E18" si="0">E16*0.19</f>
        <v>0</v>
      </c>
      <c r="F18" s="160">
        <f>SUM(B18:E18)</f>
        <v>2836229.9999870076</v>
      </c>
      <c r="G18" s="79" t="s">
        <v>270</v>
      </c>
      <c r="H18" s="79"/>
      <c r="I18" s="79"/>
      <c r="J18" s="79"/>
    </row>
    <row r="19" spans="1:10" x14ac:dyDescent="0.2">
      <c r="A19" s="164" t="s">
        <v>369</v>
      </c>
      <c r="B19" s="233">
        <f>IF(B16=0,0,B18/B16)</f>
        <v>0.22</v>
      </c>
      <c r="C19" s="233">
        <f t="shared" ref="C19:F19" si="1">IF(C16=0,0,C18/C16)</f>
        <v>0.34961154273029965</v>
      </c>
      <c r="D19" s="233">
        <f t="shared" si="1"/>
        <v>7.0000000000000007E-2</v>
      </c>
      <c r="E19" s="233">
        <f t="shared" si="1"/>
        <v>0</v>
      </c>
      <c r="F19" s="233">
        <f t="shared" si="1"/>
        <v>0.1110418134839722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271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 t="s">
        <v>272</v>
      </c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273</v>
      </c>
      <c r="B24" s="166">
        <f>B16+B21+B18</f>
        <v>2379000</v>
      </c>
      <c r="C24" s="166">
        <f>C16+C21+C18</f>
        <v>3648000</v>
      </c>
      <c r="D24" s="166">
        <f>D16+D21+D18</f>
        <v>22351229.999801397</v>
      </c>
      <c r="E24" s="166">
        <f>E16+E21+E18</f>
        <v>0</v>
      </c>
      <c r="F24" s="167">
        <f>SUM(B24:E24)</f>
        <v>28378229.999801397</v>
      </c>
      <c r="G24" s="79"/>
      <c r="H24" s="79"/>
      <c r="I24" s="79"/>
      <c r="J24" s="79"/>
    </row>
    <row r="25" spans="1:10" x14ac:dyDescent="0.2">
      <c r="A25" s="159" t="s">
        <v>274</v>
      </c>
      <c r="B25" s="169">
        <f>B24/$F$24</f>
        <v>8.3831866892919299E-2</v>
      </c>
      <c r="C25" s="169">
        <f>C24/$F$24</f>
        <v>0.12854924355837311</v>
      </c>
      <c r="D25" s="169">
        <f>D24/$F$24</f>
        <v>0.78761888954870762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4"/>
      <c r="C26" s="234"/>
      <c r="D26" s="234"/>
      <c r="E26" s="169"/>
      <c r="F26" s="79"/>
      <c r="G26" s="79"/>
      <c r="H26" s="79"/>
      <c r="I26" s="79"/>
      <c r="J26" s="79"/>
    </row>
    <row r="27" spans="1:10" x14ac:dyDescent="0.2">
      <c r="A27" s="158" t="s">
        <v>275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273</v>
      </c>
      <c r="B28" s="170">
        <f>B24/1000*'A-10 Finance Assumptions'!$B$16*'A-10 Finance Assumptions'!$B$12</f>
        <v>807664.95408016909</v>
      </c>
      <c r="C28" s="170">
        <f>C24/1000*'A-10 Finance Assumptions'!$B$16*'A-10 Finance Assumptions'!$B$12</f>
        <v>1238487.4957900194</v>
      </c>
      <c r="D28" s="170">
        <f>D24/1000*'A-10 Finance Assumptions'!$B$16*'A-10 Finance Assumptions'!$B$12</f>
        <v>7588190.4797918843</v>
      </c>
      <c r="E28" s="170">
        <f>E24/1000*'A-10 Finance Assumptions'!$B$16*'A-10 Finance Assumptions'!$B$12</f>
        <v>0</v>
      </c>
      <c r="F28" s="161">
        <f>SUM(B28:E28)</f>
        <v>9634342.929662073</v>
      </c>
      <c r="G28" s="79" t="s">
        <v>276</v>
      </c>
      <c r="H28" s="79"/>
      <c r="I28" s="79"/>
      <c r="J28" s="79"/>
    </row>
    <row r="29" spans="1:10" x14ac:dyDescent="0.2">
      <c r="A29" s="159" t="s">
        <v>277</v>
      </c>
      <c r="B29" s="162">
        <f t="shared" ref="B29:E29" si="2">SUM(B28:B28)</f>
        <v>807664.95408016909</v>
      </c>
      <c r="C29" s="162">
        <f t="shared" si="2"/>
        <v>1238487.4957900194</v>
      </c>
      <c r="D29" s="162">
        <f t="shared" si="2"/>
        <v>7588190.4797918843</v>
      </c>
      <c r="E29" s="162">
        <f t="shared" si="2"/>
        <v>0</v>
      </c>
      <c r="F29" s="160">
        <f>SUM(B29:E29)</f>
        <v>9634342.929662073</v>
      </c>
      <c r="G29" s="163"/>
      <c r="H29" s="79"/>
      <c r="I29" s="79"/>
      <c r="J29" s="79"/>
    </row>
    <row r="30" spans="1:10" x14ac:dyDescent="0.2">
      <c r="A30" s="159" t="s">
        <v>278</v>
      </c>
      <c r="B30" s="169">
        <f>IF(B24&gt;0,B29/B24,0)</f>
        <v>0.3394976688020887</v>
      </c>
      <c r="C30" s="169">
        <f t="shared" ref="C30:F30" si="3">IF(C24&gt;0,C29/C24,0)</f>
        <v>0.33949766880208865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279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280</v>
      </c>
      <c r="B33" s="171">
        <f>B25*$F$33</f>
        <v>0</v>
      </c>
      <c r="C33" s="171">
        <f>C25*$F$33</f>
        <v>0</v>
      </c>
      <c r="D33" s="171">
        <f>D25*$F$33</f>
        <v>0</v>
      </c>
      <c r="E33" s="171">
        <f>E25*$F$33</f>
        <v>0</v>
      </c>
      <c r="F33" s="172">
        <v>0</v>
      </c>
      <c r="G33" s="79" t="s">
        <v>272</v>
      </c>
      <c r="H33" s="79"/>
      <c r="I33" s="79"/>
      <c r="J33" s="79"/>
    </row>
    <row r="34" spans="1:10" x14ac:dyDescent="0.2">
      <c r="A34" s="159" t="s">
        <v>281</v>
      </c>
      <c r="B34" s="173">
        <f>B24*0.02</f>
        <v>47580</v>
      </c>
      <c r="C34" s="173">
        <f t="shared" ref="C34:E34" si="4">C24*0.02</f>
        <v>72960</v>
      </c>
      <c r="D34" s="173">
        <f t="shared" si="4"/>
        <v>447024.59999602794</v>
      </c>
      <c r="E34" s="173">
        <f t="shared" si="4"/>
        <v>0</v>
      </c>
      <c r="F34" s="161">
        <f>SUM(B34:E34)</f>
        <v>567564.599996028</v>
      </c>
      <c r="G34" s="79" t="s">
        <v>374</v>
      </c>
      <c r="H34" s="79"/>
      <c r="I34" s="79"/>
      <c r="J34" s="79"/>
    </row>
    <row r="35" spans="1:10" x14ac:dyDescent="0.2">
      <c r="A35" s="79" t="s">
        <v>282</v>
      </c>
      <c r="B35" s="171">
        <f t="shared" ref="B35:F35" si="5">SUM(B32:B34)</f>
        <v>47580</v>
      </c>
      <c r="C35" s="171">
        <f t="shared" si="5"/>
        <v>72960</v>
      </c>
      <c r="D35" s="171">
        <f t="shared" si="5"/>
        <v>447024.59999602794</v>
      </c>
      <c r="E35" s="171">
        <f t="shared" si="5"/>
        <v>0</v>
      </c>
      <c r="F35" s="171">
        <f t="shared" si="5"/>
        <v>567564.599996028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283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284</v>
      </c>
      <c r="B38" s="172">
        <v>0</v>
      </c>
      <c r="C38" s="172">
        <v>0</v>
      </c>
      <c r="D38" s="172">
        <v>0</v>
      </c>
      <c r="E38" s="172">
        <v>0</v>
      </c>
      <c r="F38" s="160">
        <f>SUM(B38:E38)</f>
        <v>0</v>
      </c>
      <c r="G38" s="79" t="s">
        <v>285</v>
      </c>
      <c r="H38" s="79"/>
      <c r="I38" s="79"/>
      <c r="J38" s="79"/>
    </row>
    <row r="39" spans="1:10" x14ac:dyDescent="0.2">
      <c r="A39" s="79" t="s">
        <v>286</v>
      </c>
      <c r="B39" s="174">
        <v>0</v>
      </c>
      <c r="C39" s="174">
        <v>0</v>
      </c>
      <c r="D39" s="174">
        <v>0</v>
      </c>
      <c r="E39" s="174">
        <v>0</v>
      </c>
      <c r="F39" s="175">
        <f>SUM(B39:E39)</f>
        <v>0</v>
      </c>
      <c r="G39" s="79" t="s">
        <v>272</v>
      </c>
      <c r="H39" s="79"/>
      <c r="I39" s="79"/>
      <c r="J39" s="79"/>
    </row>
    <row r="40" spans="1:10" x14ac:dyDescent="0.2">
      <c r="A40" s="79" t="s">
        <v>287</v>
      </c>
      <c r="B40" s="171">
        <f t="shared" ref="B40:F40" si="6">SUM(B37:B39)</f>
        <v>0</v>
      </c>
      <c r="C40" s="171">
        <f t="shared" si="6"/>
        <v>0</v>
      </c>
      <c r="D40" s="171">
        <f t="shared" si="6"/>
        <v>0</v>
      </c>
      <c r="E40" s="171">
        <f t="shared" si="6"/>
        <v>0</v>
      </c>
      <c r="F40" s="171">
        <f t="shared" si="6"/>
        <v>0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288</v>
      </c>
      <c r="B42" s="176">
        <f t="shared" ref="B42:F42" si="7">B24+B35+B29-B40</f>
        <v>3234244.9540801691</v>
      </c>
      <c r="C42" s="176">
        <f t="shared" si="7"/>
        <v>4959447.4957900196</v>
      </c>
      <c r="D42" s="176">
        <f t="shared" si="7"/>
        <v>30386445.079589307</v>
      </c>
      <c r="E42" s="176">
        <f t="shared" si="7"/>
        <v>0</v>
      </c>
      <c r="F42" s="176">
        <f t="shared" si="7"/>
        <v>38580137.529459499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367</v>
      </c>
      <c r="B44" s="165">
        <f>'A-2 Groundwater Sup Fee'!C11</f>
        <v>1376</v>
      </c>
      <c r="C44" s="165">
        <f>'A-6 Peaking Summary'!C6</f>
        <v>2950</v>
      </c>
      <c r="D44" s="165">
        <f>'A-8 Dist Summary'!D20</f>
        <v>55000</v>
      </c>
      <c r="E44" s="165">
        <v>0</v>
      </c>
      <c r="F44" s="165">
        <f>SUM(B44:E44)</f>
        <v>59326</v>
      </c>
      <c r="G44" s="79" t="s">
        <v>289</v>
      </c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290</v>
      </c>
      <c r="B46" s="177">
        <f>IF(OR(B42=0,B44&lt;0),0,(B42/B44))</f>
        <v>2350.4687166280301</v>
      </c>
      <c r="C46" s="177">
        <f>IF(OR(C42=0,C44&lt;0),0,(C42/C44))</f>
        <v>1681.1686426406845</v>
      </c>
      <c r="D46" s="177">
        <f t="shared" ref="D46:E46" si="8">IF(OR(D42=0,D44&lt;0),0,(D42/D44))</f>
        <v>552.48081962889648</v>
      </c>
      <c r="E46" s="177">
        <f t="shared" si="8"/>
        <v>0</v>
      </c>
      <c r="F46" s="79"/>
      <c r="G46" s="79"/>
      <c r="H46" s="79"/>
      <c r="I46" s="79"/>
      <c r="J46" s="79"/>
    </row>
    <row r="47" spans="1:10" x14ac:dyDescent="0.2">
      <c r="A47" s="79"/>
      <c r="B47" s="88" t="s">
        <v>376</v>
      </c>
      <c r="C47" s="79"/>
      <c r="D47" s="88" t="s">
        <v>375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178" t="s">
        <v>291</v>
      </c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79" t="s">
        <v>373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292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293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378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294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381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/>
    </row>
  </sheetData>
  <printOptions horizontalCentered="1" verticalCentered="1"/>
  <pageMargins left="0.5" right="0.5" top="1" bottom="1" header="0.5" footer="0.5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7" workbookViewId="0">
      <selection activeCell="A12" sqref="A12"/>
    </sheetView>
  </sheetViews>
  <sheetFormatPr defaultRowHeight="12.75" x14ac:dyDescent="0.2"/>
  <cols>
    <col min="1" max="1" width="44.28515625" bestFit="1" customWidth="1"/>
    <col min="2" max="2" width="6.140625" bestFit="1" customWidth="1"/>
    <col min="3" max="3" width="16.140625" customWidth="1"/>
    <col min="4" max="4" width="8.7109375" bestFit="1" customWidth="1"/>
  </cols>
  <sheetData>
    <row r="1" spans="1:4" ht="18" x14ac:dyDescent="0.25">
      <c r="A1" s="251" t="s">
        <v>62</v>
      </c>
      <c r="B1" s="251"/>
      <c r="C1" s="251"/>
    </row>
    <row r="2" spans="1:4" ht="15.75" x14ac:dyDescent="0.25">
      <c r="A2" s="11"/>
      <c r="B2" s="11"/>
      <c r="C2" s="11"/>
    </row>
    <row r="3" spans="1:4" ht="20.25" x14ac:dyDescent="0.3">
      <c r="A3" s="252" t="s">
        <v>134</v>
      </c>
      <c r="B3" s="252"/>
      <c r="C3" s="252"/>
    </row>
    <row r="4" spans="1:4" ht="15.75" x14ac:dyDescent="0.25">
      <c r="A4" s="253"/>
      <c r="B4" s="253"/>
      <c r="C4" s="253"/>
      <c r="D4" t="s">
        <v>247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1500</v>
      </c>
    </row>
    <row r="8" spans="1:4" ht="15" x14ac:dyDescent="0.2">
      <c r="A8" s="70" t="s">
        <v>17</v>
      </c>
      <c r="B8" s="70"/>
      <c r="C8" s="232">
        <v>0.47399999999999998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370</v>
      </c>
      <c r="B11" s="70"/>
      <c r="C11" s="72">
        <f>ROUND(C7/(C9*C8*C10),0)</f>
        <v>1376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248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249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250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144</v>
      </c>
      <c r="B22" s="152">
        <v>0.03</v>
      </c>
      <c r="C22" s="110">
        <f>+$C$19*B22</f>
        <v>58500</v>
      </c>
    </row>
    <row r="23" spans="1:4" ht="15" x14ac:dyDescent="0.2">
      <c r="A23" s="82" t="s">
        <v>55</v>
      </c>
      <c r="B23" s="152">
        <v>0.08</v>
      </c>
      <c r="C23" s="110">
        <f>+$C$19*B23</f>
        <v>156000</v>
      </c>
    </row>
    <row r="24" spans="1:4" ht="15" x14ac:dyDescent="0.2">
      <c r="A24" s="82" t="s">
        <v>203</v>
      </c>
      <c r="B24" s="152">
        <v>7.0000000000000007E-2</v>
      </c>
      <c r="C24" s="110">
        <f>+$C$19*B24</f>
        <v>136500</v>
      </c>
    </row>
    <row r="25" spans="1:4" ht="15" x14ac:dyDescent="0.2">
      <c r="A25" s="82" t="s">
        <v>60</v>
      </c>
      <c r="B25" s="152">
        <v>0.04</v>
      </c>
      <c r="C25" s="111">
        <f>+$C$19*B25</f>
        <v>78000</v>
      </c>
    </row>
    <row r="26" spans="1:4" ht="15" x14ac:dyDescent="0.2">
      <c r="A26" s="82"/>
      <c r="B26" s="70"/>
      <c r="C26" s="110"/>
    </row>
    <row r="27" spans="1:4" ht="15" x14ac:dyDescent="0.2">
      <c r="A27" s="82" t="s">
        <v>52</v>
      </c>
      <c r="B27" s="70"/>
      <c r="C27" s="111">
        <f>ROUND(SUM(C22:C26),-3)</f>
        <v>429000</v>
      </c>
    </row>
    <row r="28" spans="1:4" ht="15" x14ac:dyDescent="0.2">
      <c r="A28" s="70"/>
      <c r="B28" s="70"/>
      <c r="C28" s="112"/>
    </row>
    <row r="29" spans="1:4" ht="15.75" thickBot="1" x14ac:dyDescent="0.25">
      <c r="A29" s="70" t="s">
        <v>71</v>
      </c>
      <c r="B29" s="70"/>
      <c r="C29" s="113">
        <f>ROUND(C19+C27,-4)</f>
        <v>2380000</v>
      </c>
    </row>
    <row r="30" spans="1:4" ht="15.75" thickTop="1" x14ac:dyDescent="0.2">
      <c r="A30" s="70"/>
      <c r="B30" s="70"/>
      <c r="C30" s="107"/>
    </row>
    <row r="31" spans="1:4" ht="15" x14ac:dyDescent="0.2">
      <c r="A31" s="70" t="s">
        <v>57</v>
      </c>
      <c r="B31" s="70"/>
      <c r="C31" s="110">
        <f>C29/C11</f>
        <v>1729.6511627906978</v>
      </c>
    </row>
    <row r="32" spans="1:4" ht="13.5" thickBot="1" x14ac:dyDescent="0.25">
      <c r="C32" s="13"/>
    </row>
    <row r="33" spans="1:3" ht="16.5" thickBot="1" x14ac:dyDescent="0.3">
      <c r="A33" s="47" t="s">
        <v>1</v>
      </c>
      <c r="B33" s="3"/>
      <c r="C33" s="57">
        <f>ROUND(C31,-1)</f>
        <v>1730</v>
      </c>
    </row>
    <row r="38" spans="1:3" x14ac:dyDescent="0.2">
      <c r="A38" s="52" t="s">
        <v>251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0" workbookViewId="0">
      <selection activeCell="A30" sqref="A30"/>
    </sheetView>
  </sheetViews>
  <sheetFormatPr defaultRowHeight="12.75" x14ac:dyDescent="0.2"/>
  <cols>
    <col min="1" max="1" width="57" bestFit="1" customWidth="1"/>
    <col min="2" max="2" width="9" customWidth="1"/>
    <col min="3" max="3" width="13.140625" customWidth="1"/>
  </cols>
  <sheetData>
    <row r="1" spans="1:3" ht="18" x14ac:dyDescent="0.25">
      <c r="A1" s="251" t="s">
        <v>73</v>
      </c>
      <c r="B1" s="251"/>
      <c r="C1" s="251"/>
    </row>
    <row r="2" spans="1:3" ht="20.25" x14ac:dyDescent="0.3">
      <c r="A2" s="252" t="s">
        <v>135</v>
      </c>
      <c r="B2" s="252"/>
      <c r="C2" s="252"/>
    </row>
    <row r="3" spans="1:3" ht="15" x14ac:dyDescent="0.2">
      <c r="A3" s="254" t="s">
        <v>227</v>
      </c>
      <c r="B3" s="254"/>
      <c r="C3" s="254"/>
    </row>
    <row r="5" spans="1:3" ht="18" x14ac:dyDescent="0.25">
      <c r="A5" s="251" t="s">
        <v>77</v>
      </c>
      <c r="B5" s="251"/>
      <c r="C5" s="251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251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6" workbookViewId="0">
      <selection activeCell="B40" sqref="B40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1" t="s">
        <v>83</v>
      </c>
      <c r="B1" s="251"/>
      <c r="C1" s="251"/>
    </row>
    <row r="2" spans="1:3" ht="15.75" x14ac:dyDescent="0.25">
      <c r="A2" s="11"/>
      <c r="B2" s="11"/>
      <c r="C2" s="11"/>
    </row>
    <row r="3" spans="1:3" ht="20.25" x14ac:dyDescent="0.3">
      <c r="A3" s="252" t="s">
        <v>135</v>
      </c>
      <c r="B3" s="252"/>
      <c r="C3" s="252"/>
    </row>
    <row r="4" spans="1:3" ht="15" x14ac:dyDescent="0.2">
      <c r="A4" s="254" t="s">
        <v>228</v>
      </c>
      <c r="B4" s="254"/>
      <c r="C4" s="254"/>
    </row>
    <row r="5" spans="1:3" ht="15.75" x14ac:dyDescent="0.25">
      <c r="A5" s="11"/>
      <c r="B5" s="11"/>
      <c r="C5" s="11"/>
    </row>
    <row r="6" spans="1:3" ht="18" x14ac:dyDescent="0.25">
      <c r="A6" s="251" t="s">
        <v>18</v>
      </c>
      <c r="B6" s="251"/>
      <c r="C6" s="251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91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89</v>
      </c>
      <c r="B28" s="70"/>
      <c r="C28" s="91">
        <v>22000</v>
      </c>
    </row>
    <row r="29" spans="1:3" ht="15" x14ac:dyDescent="0.2">
      <c r="A29" s="70" t="s">
        <v>88</v>
      </c>
      <c r="B29" s="70"/>
      <c r="C29" s="91">
        <v>9000</v>
      </c>
    </row>
    <row r="30" spans="1:3" ht="15" x14ac:dyDescent="0.2">
      <c r="A30" s="70" t="s">
        <v>92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90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187</v>
      </c>
      <c r="B39" s="76" t="s">
        <v>254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251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4" sqref="A24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5.28515625" customWidth="1"/>
  </cols>
  <sheetData>
    <row r="1" spans="1:3" ht="18" x14ac:dyDescent="0.25">
      <c r="A1" s="251" t="s">
        <v>143</v>
      </c>
      <c r="B1" s="251"/>
      <c r="C1" s="251"/>
    </row>
    <row r="2" spans="1:3" ht="20.25" x14ac:dyDescent="0.3">
      <c r="A2" s="252" t="s">
        <v>135</v>
      </c>
      <c r="B2" s="252"/>
      <c r="C2" s="252"/>
    </row>
    <row r="3" spans="1:3" ht="15" x14ac:dyDescent="0.2">
      <c r="A3" s="254" t="s">
        <v>228</v>
      </c>
      <c r="B3" s="254"/>
      <c r="C3" s="254"/>
    </row>
    <row r="4" spans="1:3" ht="15.75" x14ac:dyDescent="0.25">
      <c r="A4" s="11"/>
      <c r="B4" s="11"/>
      <c r="C4" s="11"/>
    </row>
    <row r="5" spans="1:3" ht="18" x14ac:dyDescent="0.25">
      <c r="A5" s="251" t="s">
        <v>74</v>
      </c>
      <c r="B5" s="251"/>
      <c r="C5" s="251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252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253</v>
      </c>
    </row>
    <row r="22" spans="1:1" x14ac:dyDescent="0.2">
      <c r="A22" s="52" t="s">
        <v>251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3" sqref="A3:C3"/>
    </sheetView>
  </sheetViews>
  <sheetFormatPr defaultRowHeight="12.75" x14ac:dyDescent="0.2"/>
  <cols>
    <col min="1" max="1" width="54.28515625" bestFit="1" customWidth="1"/>
    <col min="3" max="3" width="13.85546875" customWidth="1"/>
    <col min="5" max="5" width="10.42578125" hidden="1" customWidth="1"/>
    <col min="6" max="6" width="0" hidden="1" customWidth="1"/>
    <col min="7" max="7" width="21.42578125" hidden="1" customWidth="1"/>
    <col min="8" max="8" width="0" hidden="1" customWidth="1"/>
    <col min="9" max="9" width="9.28515625" hidden="1" customWidth="1"/>
  </cols>
  <sheetData>
    <row r="1" spans="1:9" ht="18" x14ac:dyDescent="0.25">
      <c r="A1" s="251" t="s">
        <v>84</v>
      </c>
      <c r="B1" s="251"/>
      <c r="C1" s="251"/>
    </row>
    <row r="2" spans="1:9" ht="20.25" x14ac:dyDescent="0.3">
      <c r="A2" s="252" t="s">
        <v>382</v>
      </c>
      <c r="B2" s="252"/>
      <c r="C2" s="252"/>
    </row>
    <row r="3" spans="1:9" ht="15.75" x14ac:dyDescent="0.25">
      <c r="A3" s="253"/>
      <c r="B3" s="253"/>
      <c r="C3" s="253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237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234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ROUND(+'A-7 Peaking Costs'!C31,-4)</f>
        <v>3650000</v>
      </c>
      <c r="E8" s="26">
        <f>+H12</f>
        <v>8625820.2916446757</v>
      </c>
      <c r="G8" s="52" t="s">
        <v>240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1237.2881355932204</v>
      </c>
      <c r="E10" s="72">
        <f>+E8/E6</f>
        <v>812.98965990995998</v>
      </c>
      <c r="G10" s="79" t="s">
        <v>233</v>
      </c>
      <c r="H10" s="20">
        <f>+'3.6'!D35</f>
        <v>3711017.9043923616</v>
      </c>
    </row>
    <row r="11" spans="1:9" ht="13.5" thickBot="1" x14ac:dyDescent="0.25">
      <c r="C11" s="26"/>
      <c r="G11" s="133" t="s">
        <v>239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1240</v>
      </c>
      <c r="E12" s="60">
        <f>ROUND(E10,-1)</f>
        <v>810</v>
      </c>
      <c r="G12" s="79" t="s">
        <v>104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7" workbookViewId="0">
      <selection activeCell="A35" sqref="A35"/>
    </sheetView>
  </sheetViews>
  <sheetFormatPr defaultRowHeight="12.75" x14ac:dyDescent="0.2"/>
  <cols>
    <col min="1" max="1" width="45.28515625" bestFit="1" customWidth="1"/>
    <col min="2" max="2" width="5.42578125" bestFit="1" customWidth="1"/>
    <col min="3" max="3" width="13.85546875" customWidth="1"/>
  </cols>
  <sheetData>
    <row r="1" spans="1:3" ht="18" x14ac:dyDescent="0.25">
      <c r="A1" s="251" t="s">
        <v>85</v>
      </c>
      <c r="B1" s="251"/>
      <c r="C1" s="251"/>
    </row>
    <row r="2" spans="1:3" ht="20.25" x14ac:dyDescent="0.3">
      <c r="A2" s="252" t="s">
        <v>140</v>
      </c>
      <c r="B2" s="252"/>
      <c r="C2" s="252"/>
    </row>
    <row r="3" spans="1:3" ht="15.75" x14ac:dyDescent="0.25">
      <c r="A3" s="11"/>
      <c r="B3" s="11"/>
      <c r="C3" s="11"/>
    </row>
    <row r="4" spans="1:3" ht="15.75" x14ac:dyDescent="0.25">
      <c r="A4" s="253" t="s">
        <v>78</v>
      </c>
      <c r="B4" s="253"/>
      <c r="C4" s="253"/>
    </row>
    <row r="6" spans="1:3" x14ac:dyDescent="0.2">
      <c r="A6" s="3" t="s">
        <v>63</v>
      </c>
    </row>
    <row r="7" spans="1:3" ht="15" x14ac:dyDescent="0.2">
      <c r="A7" s="82" t="s">
        <v>145</v>
      </c>
      <c r="B7" s="70"/>
      <c r="C7" s="91">
        <v>5000</v>
      </c>
    </row>
    <row r="8" spans="1:3" ht="15" x14ac:dyDescent="0.2">
      <c r="A8" s="82" t="s">
        <v>146</v>
      </c>
      <c r="B8" s="70"/>
      <c r="C8" s="91">
        <v>50000</v>
      </c>
    </row>
    <row r="9" spans="1:3" ht="15" x14ac:dyDescent="0.2">
      <c r="A9" s="82" t="s">
        <v>43</v>
      </c>
      <c r="B9" s="70"/>
      <c r="C9" s="91">
        <v>200000</v>
      </c>
    </row>
    <row r="10" spans="1:3" ht="15" x14ac:dyDescent="0.2">
      <c r="A10" s="82" t="s">
        <v>93</v>
      </c>
      <c r="B10" s="70"/>
      <c r="C10" s="91">
        <v>250000</v>
      </c>
    </row>
    <row r="11" spans="1:3" ht="15" x14ac:dyDescent="0.2">
      <c r="A11" s="82" t="s">
        <v>44</v>
      </c>
      <c r="B11" s="70"/>
      <c r="C11" s="91">
        <v>350000</v>
      </c>
    </row>
    <row r="12" spans="1:3" ht="15" x14ac:dyDescent="0.2">
      <c r="A12" s="82" t="s">
        <v>45</v>
      </c>
      <c r="B12" s="70"/>
      <c r="C12" s="91">
        <v>350000</v>
      </c>
    </row>
    <row r="13" spans="1:3" ht="15" x14ac:dyDescent="0.2">
      <c r="A13" s="82" t="s">
        <v>46</v>
      </c>
      <c r="B13" s="70"/>
      <c r="C13" s="91">
        <v>120000</v>
      </c>
    </row>
    <row r="14" spans="1:3" ht="15" x14ac:dyDescent="0.2">
      <c r="A14" s="82" t="s">
        <v>47</v>
      </c>
      <c r="B14" s="70"/>
      <c r="C14" s="91">
        <v>25000</v>
      </c>
    </row>
    <row r="15" spans="1:3" ht="15" x14ac:dyDescent="0.2">
      <c r="A15" s="82" t="s">
        <v>48</v>
      </c>
      <c r="B15" s="70"/>
      <c r="C15" s="92">
        <v>1000000</v>
      </c>
    </row>
    <row r="16" spans="1:3" ht="15" x14ac:dyDescent="0.2">
      <c r="A16" s="82" t="s">
        <v>41</v>
      </c>
      <c r="B16" s="70"/>
      <c r="C16" s="91">
        <f>SUM(C7:C15)</f>
        <v>2350000</v>
      </c>
    </row>
    <row r="17" spans="1:4" ht="15" x14ac:dyDescent="0.2">
      <c r="A17" s="82"/>
      <c r="B17" s="70"/>
      <c r="C17" s="91"/>
    </row>
    <row r="18" spans="1:4" ht="15" x14ac:dyDescent="0.2">
      <c r="A18" s="82" t="s">
        <v>72</v>
      </c>
      <c r="B18" s="109">
        <v>0.05</v>
      </c>
      <c r="C18" s="114">
        <f>C16*B18</f>
        <v>117500</v>
      </c>
    </row>
    <row r="19" spans="1:4" ht="15" x14ac:dyDescent="0.2">
      <c r="A19" s="82" t="s">
        <v>54</v>
      </c>
      <c r="B19" s="109">
        <v>0.1</v>
      </c>
      <c r="C19" s="92">
        <f>+C16*B19</f>
        <v>235000</v>
      </c>
    </row>
    <row r="20" spans="1:4" ht="15" x14ac:dyDescent="0.2">
      <c r="A20" s="82" t="s">
        <v>128</v>
      </c>
      <c r="B20" s="70"/>
      <c r="C20" s="91">
        <f>ROUND(+C16+C18+C19,-3)</f>
        <v>2703000</v>
      </c>
    </row>
    <row r="21" spans="1:4" ht="15" x14ac:dyDescent="0.2">
      <c r="A21" s="70"/>
      <c r="B21" s="70"/>
      <c r="C21" s="91"/>
    </row>
    <row r="22" spans="1:4" ht="15" x14ac:dyDescent="0.2">
      <c r="A22" s="70" t="s">
        <v>69</v>
      </c>
      <c r="B22" s="70"/>
      <c r="C22" s="91"/>
    </row>
    <row r="23" spans="1:4" ht="15" x14ac:dyDescent="0.2">
      <c r="A23" s="82" t="s">
        <v>58</v>
      </c>
      <c r="B23" s="109"/>
      <c r="C23" s="110">
        <f>ROUND(2*43560*4,-4)</f>
        <v>350000</v>
      </c>
    </row>
    <row r="24" spans="1:4" ht="15" x14ac:dyDescent="0.2">
      <c r="A24" s="120" t="s">
        <v>147</v>
      </c>
      <c r="B24" s="109"/>
      <c r="C24" s="91"/>
    </row>
    <row r="25" spans="1:4" ht="15" x14ac:dyDescent="0.2">
      <c r="A25" s="82" t="s">
        <v>59</v>
      </c>
      <c r="B25" s="109">
        <v>0.03</v>
      </c>
      <c r="C25" s="91">
        <f>$C$20*B25</f>
        <v>81090</v>
      </c>
    </row>
    <row r="26" spans="1:4" ht="15" x14ac:dyDescent="0.2">
      <c r="A26" s="82" t="s">
        <v>55</v>
      </c>
      <c r="B26" s="109">
        <v>0.08</v>
      </c>
      <c r="C26" s="91">
        <f>$C$20*B26</f>
        <v>216240</v>
      </c>
    </row>
    <row r="27" spans="1:4" ht="15" x14ac:dyDescent="0.2">
      <c r="A27" s="82" t="s">
        <v>203</v>
      </c>
      <c r="B27" s="109">
        <v>7.0000000000000007E-2</v>
      </c>
      <c r="C27" s="91">
        <f>$C$20*B27</f>
        <v>189210.00000000003</v>
      </c>
      <c r="D27" s="52"/>
    </row>
    <row r="28" spans="1:4" ht="15" x14ac:dyDescent="0.2">
      <c r="A28" s="82" t="s">
        <v>60</v>
      </c>
      <c r="B28" s="109">
        <v>0.04</v>
      </c>
      <c r="C28" s="92">
        <f>$C$20*B28</f>
        <v>108120</v>
      </c>
    </row>
    <row r="29" spans="1:4" ht="15" x14ac:dyDescent="0.2">
      <c r="A29" s="82" t="s">
        <v>52</v>
      </c>
      <c r="B29" s="70"/>
      <c r="C29" s="92">
        <f>ROUND(SUM(C23:C28),-3)</f>
        <v>945000</v>
      </c>
    </row>
    <row r="30" spans="1:4" ht="15" x14ac:dyDescent="0.2">
      <c r="A30" s="70"/>
      <c r="B30" s="70"/>
      <c r="C30" s="91"/>
    </row>
    <row r="31" spans="1:4" ht="16.5" thickBot="1" x14ac:dyDescent="0.3">
      <c r="A31" s="47" t="s">
        <v>79</v>
      </c>
      <c r="B31" s="47"/>
      <c r="C31" s="121">
        <f>ROUND(+C29+C20,-3)</f>
        <v>3648000</v>
      </c>
    </row>
    <row r="32" spans="1:4" ht="15.75" thickTop="1" x14ac:dyDescent="0.2">
      <c r="A32" s="70"/>
      <c r="B32" s="70"/>
      <c r="C32" s="122"/>
    </row>
    <row r="34" spans="1:3" x14ac:dyDescent="0.2">
      <c r="C34" s="13"/>
    </row>
    <row r="35" spans="1:3" x14ac:dyDescent="0.2">
      <c r="A35" s="79" t="s">
        <v>251</v>
      </c>
      <c r="C35" s="13"/>
    </row>
  </sheetData>
  <mergeCells count="3">
    <mergeCell ref="A2:C2"/>
    <mergeCell ref="A4:C4"/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39" sqref="C39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1" t="s">
        <v>86</v>
      </c>
      <c r="B1" s="251"/>
      <c r="C1" s="251"/>
      <c r="D1" s="251"/>
      <c r="E1" s="251"/>
    </row>
    <row r="2" spans="1:5" ht="15.75" x14ac:dyDescent="0.25">
      <c r="A2" s="11"/>
      <c r="B2" s="11"/>
      <c r="C2" s="11"/>
      <c r="D2" s="11"/>
    </row>
    <row r="3" spans="1:5" ht="20.25" x14ac:dyDescent="0.3">
      <c r="A3" s="252" t="s">
        <v>383</v>
      </c>
      <c r="B3" s="252"/>
      <c r="C3" s="252"/>
      <c r="D3" s="252"/>
      <c r="E3" s="252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125</v>
      </c>
    </row>
    <row r="6" spans="1:5" x14ac:dyDescent="0.2">
      <c r="A6" s="29" t="s">
        <v>94</v>
      </c>
      <c r="B6" s="29" t="s">
        <v>96</v>
      </c>
      <c r="C6" s="29" t="s">
        <v>126</v>
      </c>
      <c r="D6" s="29" t="s">
        <v>95</v>
      </c>
      <c r="E6" s="28"/>
    </row>
    <row r="7" spans="1:5" s="52" customFormat="1" x14ac:dyDescent="0.2">
      <c r="A7" s="235"/>
      <c r="B7" s="235"/>
      <c r="C7" s="235"/>
      <c r="D7" s="235"/>
      <c r="E7" s="28"/>
    </row>
    <row r="8" spans="1:5" x14ac:dyDescent="0.2">
      <c r="A8" t="s">
        <v>119</v>
      </c>
      <c r="B8" s="26">
        <f>0.9*'A-9 Dist Costs'!D7</f>
        <v>269999.99999729998</v>
      </c>
      <c r="C8" s="62">
        <f>+'A-9 Dist Costs'!D27</f>
        <v>58.649999999999991</v>
      </c>
      <c r="D8" s="23">
        <f>B8*C8</f>
        <v>15835499.999841642</v>
      </c>
    </row>
    <row r="9" spans="1:5" x14ac:dyDescent="0.2">
      <c r="A9" t="s">
        <v>133</v>
      </c>
      <c r="B9" s="26">
        <f>+'A-9 Dist Costs'!D7-B8</f>
        <v>29999.999999699998</v>
      </c>
      <c r="C9" s="62">
        <f>+'A-9 Dist Costs'!D36</f>
        <v>82.2</v>
      </c>
      <c r="D9" s="23">
        <f>B9*C9</f>
        <v>2465999.99997534</v>
      </c>
    </row>
    <row r="10" spans="1:5" x14ac:dyDescent="0.2">
      <c r="A10" t="s">
        <v>120</v>
      </c>
      <c r="B10" s="26">
        <f>+'A-9 Dist Costs'!D8</f>
        <v>149999.99999985</v>
      </c>
      <c r="C10" s="63">
        <f>+'A-9 Dist Costs'!D27-'A-9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6"/>
    </row>
    <row r="12" spans="1:5" s="52" customFormat="1" x14ac:dyDescent="0.2">
      <c r="B12" s="26"/>
      <c r="C12" s="63"/>
      <c r="D12" s="43"/>
    </row>
    <row r="13" spans="1:5" x14ac:dyDescent="0.2">
      <c r="A13" s="242" t="s">
        <v>379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371</v>
      </c>
      <c r="B15" s="26"/>
      <c r="C15" s="237">
        <v>7.0000000000000007E-2</v>
      </c>
      <c r="D15" s="43">
        <f>C15*D13</f>
        <v>1462229.9999870076</v>
      </c>
    </row>
    <row r="16" spans="1:5" s="52" customFormat="1" x14ac:dyDescent="0.2">
      <c r="B16" s="26"/>
      <c r="C16" s="6"/>
      <c r="D16" s="236"/>
    </row>
    <row r="17" spans="1:4" s="52" customFormat="1" x14ac:dyDescent="0.2">
      <c r="B17" s="26"/>
      <c r="C17" s="6"/>
      <c r="D17" s="43"/>
    </row>
    <row r="18" spans="1:4" x14ac:dyDescent="0.2">
      <c r="A18" s="42" t="s">
        <v>380</v>
      </c>
      <c r="B18" s="44"/>
      <c r="C18" s="5"/>
      <c r="D18" s="46">
        <f>D15+D13</f>
        <v>22351229.999801397</v>
      </c>
    </row>
    <row r="20" spans="1:4" x14ac:dyDescent="0.2">
      <c r="A20" s="15" t="s">
        <v>102</v>
      </c>
      <c r="D20" s="20">
        <v>55000</v>
      </c>
    </row>
    <row r="21" spans="1:4" s="52" customFormat="1" x14ac:dyDescent="0.2">
      <c r="A21" s="15"/>
      <c r="D21" s="20"/>
    </row>
    <row r="22" spans="1:4" hidden="1" x14ac:dyDescent="0.2">
      <c r="A22" s="15" t="s">
        <v>99</v>
      </c>
      <c r="B22" s="4"/>
      <c r="C22" s="4"/>
      <c r="D22" s="30">
        <f>+D18/D20</f>
        <v>406.38599999638905</v>
      </c>
    </row>
    <row r="23" spans="1:4" ht="13.5" hidden="1" thickBot="1" x14ac:dyDescent="0.25"/>
    <row r="24" spans="1:4" ht="16.5" hidden="1" thickBot="1" x14ac:dyDescent="0.3">
      <c r="A24" s="47" t="s">
        <v>372</v>
      </c>
      <c r="D24" s="57">
        <f>ROUND(D22,-1)</f>
        <v>410</v>
      </c>
    </row>
    <row r="29" spans="1:4" x14ac:dyDescent="0.2">
      <c r="A29" s="79" t="s">
        <v>251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QD2UCF5UJE4V-699202894-352</_dlc_DocId>
    <_dlc_DocIdUrl xmlns="7184055b-e5ea-4162-8b19-ace5c644b73a">
      <Url>http://intranet2/pw/_layouts/15/DocIdRedir.aspx?ID=QD2UCF5UJE4V-699202894-352</Url>
      <Description>QD2UCF5UJE4V-699202894-352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97D603-7F28-4490-8A95-21FF933DA4B4}"/>
</file>

<file path=customXml/itemProps2.xml><?xml version="1.0" encoding="utf-8"?>
<ds:datastoreItem xmlns:ds="http://schemas.openxmlformats.org/officeDocument/2006/customXml" ds:itemID="{6CBB8F54-0DC5-4917-86AC-5FCE73A221DA}"/>
</file>

<file path=customXml/itemProps3.xml><?xml version="1.0" encoding="utf-8"?>
<ds:datastoreItem xmlns:ds="http://schemas.openxmlformats.org/officeDocument/2006/customXml" ds:itemID="{3E71CF19-5688-4BB3-B8CD-5F8049D9944A}"/>
</file>

<file path=customXml/itemProps4.xml><?xml version="1.0" encoding="utf-8"?>
<ds:datastoreItem xmlns:ds="http://schemas.openxmlformats.org/officeDocument/2006/customXml" ds:itemID="{37D782B9-C37D-44FD-9B33-464ECA28F45B}"/>
</file>

<file path=customXml/itemProps5.xml><?xml version="1.0" encoding="utf-8"?>
<ds:datastoreItem xmlns:ds="http://schemas.openxmlformats.org/officeDocument/2006/customXml" ds:itemID="{B563BD93-EC36-45F5-ABE6-D440D8BE9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</vt:lpstr>
      <vt:lpstr>A-7 Peaking Costs</vt:lpstr>
      <vt:lpstr>A-8 Dist Summary</vt:lpstr>
      <vt:lpstr>A-9 Dist Costs</vt:lpstr>
      <vt:lpstr>A10</vt:lpstr>
      <vt:lpstr>A-10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Govea, Phil</cp:lastModifiedBy>
  <cp:lastPrinted>2012-06-17T21:14:38Z</cp:lastPrinted>
  <dcterms:created xsi:type="dcterms:W3CDTF">2009-12-12T00:04:46Z</dcterms:created>
  <dcterms:modified xsi:type="dcterms:W3CDTF">2012-06-20T16:52:05Z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0d3ee8fe-751a-4bf7-bd27-b7c48844b7a8</vt:lpwstr>
  </property>
  <property fmtid="{D5CDD505-2E9C-101B-9397-08002B2CF9AE}" pid="4" name="Order">
    <vt:r8>5200</vt:r8>
  </property>
  <property fmtid="{D5CDD505-2E9C-101B-9397-08002B2CF9AE}" pid="5" name="TemplateUrl">
    <vt:lpwstr/>
  </property>
  <property fmtid="{D5CDD505-2E9C-101B-9397-08002B2CF9AE}" pid="6" name="_dlc_DocId">
    <vt:lpwstr>DS6S4WKU732Q-3-52</vt:lpwstr>
  </property>
  <property fmtid="{D5CDD505-2E9C-101B-9397-08002B2CF9AE}" pid="7" name="_dlc_DocIdUrl">
    <vt:lpwstr>http://intranet:12013/_layouts/DocIdRedir.aspx?ID=DS6S4WKU732Q-3-52, DS6S4WKU732Q-3-52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