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5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 firstSheet="11" activeTab="13"/>
  </bookViews>
  <sheets>
    <sheet name="Assumptions" sheetId="4" r:id="rId1"/>
    <sheet name="1. Wastewater Fee Calc Sum" sheetId="1" r:id="rId2"/>
    <sheet name="1.1 Fee Summary By Land use" sheetId="16" r:id="rId3"/>
    <sheet name="1.2 EDU Factors" sheetId="15" r:id="rId4"/>
    <sheet name="1.3 Total EDUs Developed" sheetId="14" r:id="rId5"/>
    <sheet name="2. CIP From Master Plan" sheetId="12" r:id="rId6"/>
    <sheet name="2. Zone 24 CIP Costs" sheetId="2" state="hidden" r:id="rId7"/>
    <sheet name="3. Fund Balance Sewer" sheetId="6" r:id="rId8"/>
    <sheet name="4. Und Land Sewer Zones" sheetId="9" r:id="rId9"/>
    <sheet name="5. Financing Assumptions" sheetId="8" r:id="rId10"/>
    <sheet name="Sum 1. City Admin Costs Summary" sheetId="13" r:id="rId11"/>
    <sheet name="Sum 2. City Admin Costs Ongoing" sheetId="10" r:id="rId12"/>
    <sheet name="DEBT_SERVICE_V" sheetId="7" state="hidden" r:id="rId13"/>
    <sheet name="Sum 3. PFF Update Costs" sheetId="11" r:id="rId14"/>
    <sheet name="Fund Alloc" sheetId="3" state="hidden" r:id="rId15"/>
  </sheets>
  <externalReferences>
    <externalReference r:id="rId16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 localSheetId="2">#REF!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_xlnm.Print_Titles" localSheetId="5">'2. CIP From Master Plan'!$1:$11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/>
</workbook>
</file>

<file path=xl/calcChain.xml><?xml version="1.0" encoding="utf-8"?>
<calcChain xmlns="http://schemas.openxmlformats.org/spreadsheetml/2006/main">
  <c r="T38" i="16" l="1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G58" i="1"/>
  <c r="G54" i="1"/>
  <c r="G50" i="1"/>
  <c r="C117" i="14"/>
  <c r="L114" i="14"/>
  <c r="J114" i="14"/>
  <c r="K114" i="14" s="1"/>
  <c r="I114" i="14"/>
  <c r="F114" i="14"/>
  <c r="G114" i="14" s="1"/>
  <c r="E114" i="14"/>
  <c r="L113" i="14"/>
  <c r="J113" i="14"/>
  <c r="K113" i="14" s="1"/>
  <c r="I113" i="14"/>
  <c r="F113" i="14"/>
  <c r="G113" i="14" s="1"/>
  <c r="G117" i="14" l="1"/>
  <c r="M113" i="14"/>
  <c r="M114" i="14"/>
  <c r="U3" i="16"/>
  <c r="A3" i="16"/>
  <c r="U2" i="16"/>
  <c r="A2" i="16"/>
  <c r="U1" i="16"/>
  <c r="G59" i="1"/>
  <c r="J12" i="16" s="1"/>
  <c r="H59" i="1"/>
  <c r="K12" i="16" s="1"/>
  <c r="G55" i="1"/>
  <c r="T12" i="16" s="1"/>
  <c r="H55" i="1"/>
  <c r="U12" i="16" s="1"/>
  <c r="G51" i="1"/>
  <c r="H51" i="1"/>
  <c r="M1" i="14"/>
  <c r="M3" i="14"/>
  <c r="A3" i="14"/>
  <c r="M2" i="14"/>
  <c r="A2" i="14"/>
  <c r="C90" i="14"/>
  <c r="C63" i="14"/>
  <c r="C52" i="14"/>
  <c r="C22" i="14"/>
  <c r="C108" i="14"/>
  <c r="J3" i="15"/>
  <c r="A3" i="15"/>
  <c r="J2" i="15"/>
  <c r="A2" i="15"/>
  <c r="J1" i="15"/>
  <c r="E12" i="15"/>
  <c r="D14" i="16" s="1"/>
  <c r="I12" i="15"/>
  <c r="J12" i="15"/>
  <c r="N14" i="16" s="1"/>
  <c r="E13" i="15"/>
  <c r="D15" i="16" s="1"/>
  <c r="I13" i="15"/>
  <c r="J13" i="15" s="1"/>
  <c r="N15" i="16" s="1"/>
  <c r="E14" i="15"/>
  <c r="D16" i="16" s="1"/>
  <c r="I14" i="15"/>
  <c r="J14" i="15" s="1"/>
  <c r="N16" i="16" s="1"/>
  <c r="E15" i="15"/>
  <c r="D17" i="16" s="1"/>
  <c r="I15" i="15"/>
  <c r="J15" i="15" s="1"/>
  <c r="N17" i="16" s="1"/>
  <c r="E16" i="15"/>
  <c r="D18" i="16" s="1"/>
  <c r="H16" i="15"/>
  <c r="J16" i="15"/>
  <c r="N18" i="16" s="1"/>
  <c r="E17" i="15"/>
  <c r="D19" i="16" s="1"/>
  <c r="I17" i="15"/>
  <c r="J17" i="15"/>
  <c r="N19" i="16" s="1"/>
  <c r="E18" i="15"/>
  <c r="D20" i="16" s="1"/>
  <c r="H18" i="15"/>
  <c r="J18" i="15"/>
  <c r="N20" i="16" s="1"/>
  <c r="E19" i="15"/>
  <c r="D21" i="16" s="1"/>
  <c r="I19" i="15"/>
  <c r="J19" i="15"/>
  <c r="N21" i="16" s="1"/>
  <c r="E20" i="15"/>
  <c r="D22" i="16" s="1"/>
  <c r="H20" i="15"/>
  <c r="J20" i="15"/>
  <c r="N22" i="16" s="1"/>
  <c r="E21" i="15"/>
  <c r="D23" i="16" s="1"/>
  <c r="I21" i="15"/>
  <c r="J21" i="15"/>
  <c r="N23" i="16" s="1"/>
  <c r="E22" i="15"/>
  <c r="D24" i="16" s="1"/>
  <c r="I22" i="15"/>
  <c r="J22" i="15" s="1"/>
  <c r="N24" i="16" s="1"/>
  <c r="E23" i="15"/>
  <c r="D25" i="16" s="1"/>
  <c r="I23" i="15"/>
  <c r="J23" i="15" s="1"/>
  <c r="N25" i="16" s="1"/>
  <c r="E24" i="15"/>
  <c r="D26" i="16" s="1"/>
  <c r="I24" i="15"/>
  <c r="J24" i="15" s="1"/>
  <c r="N26" i="16" s="1"/>
  <c r="E25" i="15"/>
  <c r="D27" i="16" s="1"/>
  <c r="I25" i="15"/>
  <c r="J25" i="15" s="1"/>
  <c r="N27" i="16" s="1"/>
  <c r="E26" i="15"/>
  <c r="D28" i="16" s="1"/>
  <c r="I26" i="15"/>
  <c r="J26" i="15" s="1"/>
  <c r="N28" i="16" s="1"/>
  <c r="E27" i="15"/>
  <c r="D29" i="16" s="1"/>
  <c r="I27" i="15"/>
  <c r="J27" i="15"/>
  <c r="N29" i="16" s="1"/>
  <c r="E28" i="15"/>
  <c r="D30" i="16" s="1"/>
  <c r="I28" i="15"/>
  <c r="J28" i="15" s="1"/>
  <c r="N30" i="16" s="1"/>
  <c r="E29" i="15"/>
  <c r="D31" i="16" s="1"/>
  <c r="I29" i="15"/>
  <c r="J29" i="15" s="1"/>
  <c r="L42" i="14" s="1"/>
  <c r="E30" i="15"/>
  <c r="D32" i="16" s="1"/>
  <c r="H30" i="15"/>
  <c r="J30" i="15"/>
  <c r="N32" i="16" s="1"/>
  <c r="E31" i="15"/>
  <c r="D33" i="16" s="1"/>
  <c r="I31" i="15"/>
  <c r="J31" i="15" s="1"/>
  <c r="L44" i="14" s="1"/>
  <c r="E32" i="15"/>
  <c r="D34" i="16" s="1"/>
  <c r="H32" i="15"/>
  <c r="J32" i="15"/>
  <c r="N34" i="16" s="1"/>
  <c r="E33" i="15"/>
  <c r="D35" i="16" s="1"/>
  <c r="I33" i="15"/>
  <c r="J33" i="15" s="1"/>
  <c r="N35" i="16" s="1"/>
  <c r="E34" i="15"/>
  <c r="D36" i="16" s="1"/>
  <c r="I34" i="15"/>
  <c r="J34" i="15" s="1"/>
  <c r="E35" i="15"/>
  <c r="D37" i="16" s="1"/>
  <c r="H35" i="15"/>
  <c r="J35" i="15"/>
  <c r="N37" i="16" s="1"/>
  <c r="E36" i="15"/>
  <c r="D38" i="16" s="1"/>
  <c r="H36" i="15"/>
  <c r="J36" i="15"/>
  <c r="N38" i="16" s="1"/>
  <c r="E105" i="14"/>
  <c r="E104" i="14"/>
  <c r="E103" i="14"/>
  <c r="E102" i="14"/>
  <c r="E101" i="14"/>
  <c r="E100" i="14"/>
  <c r="E99" i="14"/>
  <c r="E98" i="14"/>
  <c r="E97" i="14"/>
  <c r="E96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0" i="14"/>
  <c r="E59" i="14"/>
  <c r="E58" i="14"/>
  <c r="E57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12" i="14"/>
  <c r="E13" i="14"/>
  <c r="E14" i="14"/>
  <c r="E15" i="14"/>
  <c r="E16" i="14"/>
  <c r="E17" i="14"/>
  <c r="E18" i="14"/>
  <c r="E19" i="14"/>
  <c r="E11" i="14"/>
  <c r="I105" i="14"/>
  <c r="I104" i="14"/>
  <c r="J103" i="14"/>
  <c r="K103" i="14" s="1"/>
  <c r="I103" i="14"/>
  <c r="J102" i="14"/>
  <c r="K102" i="14" s="1"/>
  <c r="I102" i="14"/>
  <c r="J101" i="14"/>
  <c r="K101" i="14" s="1"/>
  <c r="I101" i="14"/>
  <c r="I100" i="14"/>
  <c r="I99" i="14"/>
  <c r="I98" i="14"/>
  <c r="J97" i="14"/>
  <c r="K97" i="14" s="1"/>
  <c r="I97" i="14"/>
  <c r="J96" i="14"/>
  <c r="K96" i="14" s="1"/>
  <c r="I96" i="14"/>
  <c r="J95" i="14"/>
  <c r="K95" i="14" s="1"/>
  <c r="I95" i="14"/>
  <c r="I87" i="14"/>
  <c r="I86" i="14"/>
  <c r="I85" i="14"/>
  <c r="I84" i="14"/>
  <c r="J83" i="14"/>
  <c r="K83" i="14" s="1"/>
  <c r="I83" i="14"/>
  <c r="J82" i="14"/>
  <c r="K82" i="14" s="1"/>
  <c r="I82" i="14"/>
  <c r="J81" i="14"/>
  <c r="K81" i="14" s="1"/>
  <c r="I81" i="14"/>
  <c r="J80" i="14"/>
  <c r="K80" i="14" s="1"/>
  <c r="I80" i="14"/>
  <c r="J79" i="14"/>
  <c r="K79" i="14" s="1"/>
  <c r="I79" i="14"/>
  <c r="J78" i="14"/>
  <c r="K78" i="14" s="1"/>
  <c r="I78" i="14"/>
  <c r="J77" i="14"/>
  <c r="K77" i="14" s="1"/>
  <c r="I77" i="14"/>
  <c r="I76" i="14"/>
  <c r="J75" i="14"/>
  <c r="K75" i="14" s="1"/>
  <c r="I75" i="14"/>
  <c r="I74" i="14"/>
  <c r="J73" i="14"/>
  <c r="K73" i="14" s="1"/>
  <c r="I73" i="14"/>
  <c r="I72" i="14"/>
  <c r="J71" i="14"/>
  <c r="K71" i="14" s="1"/>
  <c r="I71" i="14"/>
  <c r="J70" i="14"/>
  <c r="K70" i="14" s="1"/>
  <c r="I70" i="14"/>
  <c r="J69" i="14"/>
  <c r="K69" i="14" s="1"/>
  <c r="I69" i="14"/>
  <c r="J68" i="14"/>
  <c r="K68" i="14" s="1"/>
  <c r="I68" i="14"/>
  <c r="J60" i="14"/>
  <c r="K60" i="14" s="1"/>
  <c r="I60" i="14"/>
  <c r="I59" i="14"/>
  <c r="J58" i="14"/>
  <c r="K58" i="14" s="1"/>
  <c r="I58" i="14"/>
  <c r="J57" i="14"/>
  <c r="K57" i="14" s="1"/>
  <c r="I57" i="14"/>
  <c r="I49" i="14"/>
  <c r="I48" i="14"/>
  <c r="J47" i="14"/>
  <c r="K47" i="14" s="1"/>
  <c r="I47" i="14"/>
  <c r="I46" i="14"/>
  <c r="I45" i="14"/>
  <c r="J44" i="14"/>
  <c r="K44" i="14" s="1"/>
  <c r="I44" i="14"/>
  <c r="I43" i="14"/>
  <c r="J42" i="14"/>
  <c r="K42" i="14" s="1"/>
  <c r="I42" i="14"/>
  <c r="J41" i="14"/>
  <c r="K41" i="14" s="1"/>
  <c r="I41" i="14"/>
  <c r="J40" i="14"/>
  <c r="K40" i="14" s="1"/>
  <c r="I40" i="14"/>
  <c r="J39" i="14"/>
  <c r="K39" i="14" s="1"/>
  <c r="I39" i="14"/>
  <c r="J38" i="14"/>
  <c r="K38" i="14" s="1"/>
  <c r="I38" i="14"/>
  <c r="J37" i="14"/>
  <c r="K37" i="14" s="1"/>
  <c r="I37" i="14"/>
  <c r="J36" i="14"/>
  <c r="K36" i="14" s="1"/>
  <c r="I36" i="14"/>
  <c r="J35" i="14"/>
  <c r="K35" i="14" s="1"/>
  <c r="I35" i="14"/>
  <c r="I34" i="14"/>
  <c r="J33" i="14"/>
  <c r="K33" i="14" s="1"/>
  <c r="I33" i="14"/>
  <c r="I32" i="14"/>
  <c r="J31" i="14"/>
  <c r="K31" i="14" s="1"/>
  <c r="I31" i="14"/>
  <c r="I30" i="14"/>
  <c r="J29" i="14"/>
  <c r="K29" i="14" s="1"/>
  <c r="I29" i="14"/>
  <c r="J28" i="14"/>
  <c r="K28" i="14" s="1"/>
  <c r="I28" i="14"/>
  <c r="J27" i="14"/>
  <c r="K27" i="14" s="1"/>
  <c r="I27" i="14"/>
  <c r="I19" i="14"/>
  <c r="J18" i="14"/>
  <c r="K18" i="14" s="1"/>
  <c r="I18" i="14"/>
  <c r="J17" i="14"/>
  <c r="K17" i="14" s="1"/>
  <c r="I17" i="14"/>
  <c r="I16" i="14"/>
  <c r="J15" i="14"/>
  <c r="K15" i="14" s="1"/>
  <c r="I15" i="14"/>
  <c r="I14" i="14"/>
  <c r="I13" i="14"/>
  <c r="J12" i="14"/>
  <c r="K12" i="14" s="1"/>
  <c r="I12" i="14"/>
  <c r="I11" i="14"/>
  <c r="J11" i="14"/>
  <c r="K11" i="14" s="1"/>
  <c r="M125" i="14"/>
  <c r="G125" i="14"/>
  <c r="G68" i="14"/>
  <c r="F73" i="14"/>
  <c r="F30" i="14"/>
  <c r="F28" i="14"/>
  <c r="F95" i="14"/>
  <c r="F47" i="14"/>
  <c r="F85" i="14"/>
  <c r="F44" i="14"/>
  <c r="F42" i="14"/>
  <c r="C123" i="14" l="1"/>
  <c r="M23" i="14"/>
  <c r="M118" i="14"/>
  <c r="G23" i="14"/>
  <c r="G118" i="14"/>
  <c r="G119" i="14" s="1"/>
  <c r="M117" i="14"/>
  <c r="N36" i="16"/>
  <c r="L47" i="14"/>
  <c r="N33" i="16"/>
  <c r="N31" i="16"/>
  <c r="G109" i="14"/>
  <c r="G91" i="14"/>
  <c r="G64" i="14"/>
  <c r="G53" i="14"/>
  <c r="M109" i="14"/>
  <c r="M91" i="14"/>
  <c r="M64" i="14"/>
  <c r="M53" i="14"/>
  <c r="M42" i="14"/>
  <c r="F17" i="14"/>
  <c r="G17" i="14" s="1"/>
  <c r="F77" i="14"/>
  <c r="F35" i="14"/>
  <c r="G35" i="14" s="1"/>
  <c r="F99" i="14"/>
  <c r="G99" i="14" s="1"/>
  <c r="F74" i="14"/>
  <c r="G74" i="14" s="1"/>
  <c r="F59" i="14"/>
  <c r="F14" i="14"/>
  <c r="G14" i="14" s="1"/>
  <c r="F76" i="14"/>
  <c r="G76" i="14" s="1"/>
  <c r="F34" i="14"/>
  <c r="G34" i="14" s="1"/>
  <c r="F100" i="14"/>
  <c r="G100" i="14" s="1"/>
  <c r="F16" i="14"/>
  <c r="G16" i="14" s="1"/>
  <c r="F101" i="14"/>
  <c r="F36" i="14"/>
  <c r="G36" i="14" s="1"/>
  <c r="F38" i="14"/>
  <c r="F79" i="14"/>
  <c r="F40" i="14"/>
  <c r="G40" i="14" s="1"/>
  <c r="F81" i="14"/>
  <c r="G81" i="14" s="1"/>
  <c r="F103" i="14"/>
  <c r="G103" i="14" s="1"/>
  <c r="F83" i="14"/>
  <c r="G83" i="14" s="1"/>
  <c r="F41" i="14"/>
  <c r="G41" i="14" s="1"/>
  <c r="F84" i="14"/>
  <c r="G84" i="14" s="1"/>
  <c r="F104" i="14"/>
  <c r="G104" i="14" s="1"/>
  <c r="F19" i="14"/>
  <c r="G19" i="14" s="1"/>
  <c r="F87" i="14"/>
  <c r="G87" i="14" s="1"/>
  <c r="F96" i="14"/>
  <c r="G96" i="14" s="1"/>
  <c r="F69" i="14"/>
  <c r="G69" i="14" s="1"/>
  <c r="F97" i="14"/>
  <c r="G97" i="14" s="1"/>
  <c r="F58" i="14"/>
  <c r="G58" i="14" s="1"/>
  <c r="F71" i="14"/>
  <c r="F12" i="14"/>
  <c r="G12" i="14" s="1"/>
  <c r="L70" i="14"/>
  <c r="M70" i="14" s="1"/>
  <c r="L57" i="14"/>
  <c r="M57" i="14" s="1"/>
  <c r="L11" i="14"/>
  <c r="M11" i="14" s="1"/>
  <c r="L28" i="14"/>
  <c r="M28" i="14" s="1"/>
  <c r="L72" i="14"/>
  <c r="L13" i="14"/>
  <c r="L98" i="14"/>
  <c r="L30" i="14"/>
  <c r="L99" i="14"/>
  <c r="L74" i="14"/>
  <c r="L59" i="14"/>
  <c r="L32" i="14"/>
  <c r="L14" i="14"/>
  <c r="L76" i="14"/>
  <c r="L100" i="14"/>
  <c r="L34" i="14"/>
  <c r="L16" i="14"/>
  <c r="L101" i="14"/>
  <c r="M101" i="14" s="1"/>
  <c r="L36" i="14"/>
  <c r="L79" i="14"/>
  <c r="M79" i="14" s="1"/>
  <c r="L38" i="14"/>
  <c r="M38" i="14" s="1"/>
  <c r="L81" i="14"/>
  <c r="L40" i="14"/>
  <c r="M40" i="14" s="1"/>
  <c r="L103" i="14"/>
  <c r="M103" i="14" s="1"/>
  <c r="L41" i="14"/>
  <c r="M41" i="14" s="1"/>
  <c r="L83" i="14"/>
  <c r="M83" i="14" s="1"/>
  <c r="L84" i="14"/>
  <c r="L43" i="14"/>
  <c r="L104" i="14"/>
  <c r="L46" i="14"/>
  <c r="L85" i="14"/>
  <c r="L45" i="14"/>
  <c r="L19" i="14"/>
  <c r="L87" i="14"/>
  <c r="L49" i="14"/>
  <c r="J32" i="14"/>
  <c r="K32" i="14" s="1"/>
  <c r="J14" i="14"/>
  <c r="K14" i="14" s="1"/>
  <c r="J99" i="14"/>
  <c r="K99" i="14" s="1"/>
  <c r="J74" i="14"/>
  <c r="K74" i="14" s="1"/>
  <c r="J59" i="14"/>
  <c r="K59" i="14" s="1"/>
  <c r="J104" i="14"/>
  <c r="K104" i="14" s="1"/>
  <c r="M104" i="14" s="1"/>
  <c r="J84" i="14"/>
  <c r="K84" i="14" s="1"/>
  <c r="J43" i="14"/>
  <c r="K43" i="14" s="1"/>
  <c r="J105" i="14"/>
  <c r="K105" i="14" s="1"/>
  <c r="J86" i="14"/>
  <c r="K86" i="14" s="1"/>
  <c r="J48" i="14"/>
  <c r="K48" i="14" s="1"/>
  <c r="F32" i="14"/>
  <c r="F49" i="14"/>
  <c r="G49" i="14" s="1"/>
  <c r="F45" i="14"/>
  <c r="G45" i="14" s="1"/>
  <c r="F43" i="14"/>
  <c r="G43" i="14" s="1"/>
  <c r="F60" i="14"/>
  <c r="G60" i="14" s="1"/>
  <c r="F15" i="14"/>
  <c r="F75" i="14"/>
  <c r="F33" i="14"/>
  <c r="G33" i="14" s="1"/>
  <c r="F78" i="14"/>
  <c r="F18" i="14"/>
  <c r="G18" i="14" s="1"/>
  <c r="F37" i="14"/>
  <c r="G37" i="14" s="1"/>
  <c r="F80" i="14"/>
  <c r="G80" i="14" s="1"/>
  <c r="F39" i="14"/>
  <c r="F82" i="14"/>
  <c r="G82" i="14" s="1"/>
  <c r="F102" i="14"/>
  <c r="F105" i="14"/>
  <c r="G105" i="14" s="1"/>
  <c r="F86" i="14"/>
  <c r="G86" i="14" s="1"/>
  <c r="F70" i="14"/>
  <c r="G70" i="14" s="1"/>
  <c r="F11" i="14"/>
  <c r="G11" i="14" s="1"/>
  <c r="F57" i="14"/>
  <c r="G57" i="14" s="1"/>
  <c r="F72" i="14"/>
  <c r="G72" i="14" s="1"/>
  <c r="F13" i="14"/>
  <c r="G13" i="14" s="1"/>
  <c r="F98" i="14"/>
  <c r="G98" i="14" s="1"/>
  <c r="L95" i="14"/>
  <c r="M95" i="14" s="1"/>
  <c r="L68" i="14"/>
  <c r="M68" i="14" s="1"/>
  <c r="L27" i="14"/>
  <c r="M27" i="14" s="1"/>
  <c r="L97" i="14"/>
  <c r="M97" i="14" s="1"/>
  <c r="L29" i="14"/>
  <c r="L71" i="14"/>
  <c r="L58" i="14"/>
  <c r="M58" i="14" s="1"/>
  <c r="L12" i="14"/>
  <c r="M12" i="14" s="1"/>
  <c r="L31" i="14"/>
  <c r="M31" i="14" s="1"/>
  <c r="L73" i="14"/>
  <c r="M73" i="14" s="1"/>
  <c r="L33" i="14"/>
  <c r="M33" i="14" s="1"/>
  <c r="L15" i="14"/>
  <c r="M15" i="14" s="1"/>
  <c r="L75" i="14"/>
  <c r="M75" i="14" s="1"/>
  <c r="L60" i="14"/>
  <c r="M60" i="14" s="1"/>
  <c r="L35" i="14"/>
  <c r="M35" i="14" s="1"/>
  <c r="L17" i="14"/>
  <c r="M17" i="14" s="1"/>
  <c r="L77" i="14"/>
  <c r="M77" i="14" s="1"/>
  <c r="L78" i="14"/>
  <c r="L37" i="14"/>
  <c r="M37" i="14" s="1"/>
  <c r="L18" i="14"/>
  <c r="M18" i="14" s="1"/>
  <c r="L80" i="14"/>
  <c r="M80" i="14" s="1"/>
  <c r="L39" i="14"/>
  <c r="L82" i="14"/>
  <c r="M82" i="14" s="1"/>
  <c r="L102" i="14"/>
  <c r="L105" i="14"/>
  <c r="M105" i="14" s="1"/>
  <c r="L86" i="14"/>
  <c r="M86" i="14" s="1"/>
  <c r="L48" i="14"/>
  <c r="M48" i="14" s="1"/>
  <c r="J98" i="14"/>
  <c r="K98" i="14" s="1"/>
  <c r="M98" i="14" s="1"/>
  <c r="J30" i="14"/>
  <c r="K30" i="14" s="1"/>
  <c r="J72" i="14"/>
  <c r="K72" i="14" s="1"/>
  <c r="J13" i="14"/>
  <c r="K13" i="14" s="1"/>
  <c r="J100" i="14"/>
  <c r="K100" i="14" s="1"/>
  <c r="M100" i="14" s="1"/>
  <c r="J34" i="14"/>
  <c r="K34" i="14" s="1"/>
  <c r="J16" i="14"/>
  <c r="K16" i="14" s="1"/>
  <c r="J76" i="14"/>
  <c r="K76" i="14" s="1"/>
  <c r="J85" i="14"/>
  <c r="K85" i="14" s="1"/>
  <c r="M85" i="14" s="1"/>
  <c r="J46" i="14"/>
  <c r="K46" i="14" s="1"/>
  <c r="J45" i="14"/>
  <c r="K45" i="14" s="1"/>
  <c r="J87" i="14"/>
  <c r="K87" i="14" s="1"/>
  <c r="M87" i="14" s="1"/>
  <c r="J49" i="14"/>
  <c r="K49" i="14" s="1"/>
  <c r="M49" i="14" s="1"/>
  <c r="J19" i="14"/>
  <c r="K19" i="14" s="1"/>
  <c r="L96" i="14"/>
  <c r="M96" i="14" s="1"/>
  <c r="L69" i="14"/>
  <c r="M69" i="14" s="1"/>
  <c r="F31" i="14"/>
  <c r="G31" i="14" s="1"/>
  <c r="F29" i="14"/>
  <c r="G29" i="14" s="1"/>
  <c r="F27" i="14"/>
  <c r="F48" i="14"/>
  <c r="G48" i="14" s="1"/>
  <c r="F46" i="14"/>
  <c r="G46" i="14" s="1"/>
  <c r="M29" i="14"/>
  <c r="M39" i="14"/>
  <c r="M47" i="14"/>
  <c r="M71" i="14"/>
  <c r="M81" i="14"/>
  <c r="M102" i="14"/>
  <c r="M36" i="14"/>
  <c r="M44" i="14"/>
  <c r="M78" i="14"/>
  <c r="M14" i="14"/>
  <c r="G102" i="14"/>
  <c r="G85" i="14"/>
  <c r="G79" i="14"/>
  <c r="G77" i="14"/>
  <c r="G75" i="14"/>
  <c r="G73" i="14"/>
  <c r="G71" i="14"/>
  <c r="G47" i="14"/>
  <c r="G39" i="14"/>
  <c r="G27" i="14"/>
  <c r="G101" i="14"/>
  <c r="G95" i="14"/>
  <c r="G78" i="14"/>
  <c r="G59" i="14"/>
  <c r="G44" i="14"/>
  <c r="G42" i="14"/>
  <c r="G38" i="14"/>
  <c r="G32" i="14"/>
  <c r="G30" i="14"/>
  <c r="G28" i="14"/>
  <c r="G15" i="14"/>
  <c r="M119" i="14" l="1"/>
  <c r="M16" i="14"/>
  <c r="M19" i="14"/>
  <c r="M84" i="14"/>
  <c r="M59" i="14"/>
  <c r="M63" i="14" s="1"/>
  <c r="M32" i="14"/>
  <c r="G63" i="14"/>
  <c r="G52" i="14"/>
  <c r="G22" i="14"/>
  <c r="G90" i="14"/>
  <c r="G108" i="14"/>
  <c r="M74" i="14"/>
  <c r="M13" i="14"/>
  <c r="M45" i="14"/>
  <c r="M43" i="14"/>
  <c r="M46" i="14"/>
  <c r="M34" i="14"/>
  <c r="M76" i="14"/>
  <c r="M30" i="14"/>
  <c r="M99" i="14"/>
  <c r="M108" i="14" s="1"/>
  <c r="M72" i="14"/>
  <c r="M22" i="14" l="1"/>
  <c r="G123" i="14"/>
  <c r="G92" i="14"/>
  <c r="E58" i="1"/>
  <c r="E59" i="1" s="1"/>
  <c r="H12" i="16" s="1"/>
  <c r="G24" i="14"/>
  <c r="B58" i="1"/>
  <c r="G65" i="14"/>
  <c r="D58" i="1"/>
  <c r="D59" i="1" s="1"/>
  <c r="G12" i="16" s="1"/>
  <c r="G110" i="14"/>
  <c r="F58" i="1"/>
  <c r="F59" i="1" s="1"/>
  <c r="I12" i="16" s="1"/>
  <c r="G54" i="14"/>
  <c r="C58" i="1"/>
  <c r="C59" i="1" s="1"/>
  <c r="F12" i="16" s="1"/>
  <c r="M110" i="14"/>
  <c r="F50" i="1" s="1"/>
  <c r="F54" i="1"/>
  <c r="M90" i="14"/>
  <c r="M123" i="14" s="1"/>
  <c r="M52" i="14"/>
  <c r="M24" i="14"/>
  <c r="B50" i="1" s="1"/>
  <c r="B54" i="1"/>
  <c r="M65" i="14"/>
  <c r="D50" i="1" s="1"/>
  <c r="D54" i="1"/>
  <c r="M92" i="14"/>
  <c r="E50" i="1" s="1"/>
  <c r="G126" i="14"/>
  <c r="F27" i="16" l="1"/>
  <c r="F17" i="16"/>
  <c r="F23" i="16"/>
  <c r="F19" i="16"/>
  <c r="F14" i="16"/>
  <c r="F25" i="16"/>
  <c r="F15" i="16"/>
  <c r="F21" i="16"/>
  <c r="F28" i="16"/>
  <c r="F30" i="16"/>
  <c r="F32" i="16"/>
  <c r="F34" i="16"/>
  <c r="F36" i="16"/>
  <c r="F38" i="16"/>
  <c r="F29" i="16"/>
  <c r="F33" i="16"/>
  <c r="F37" i="16"/>
  <c r="F16" i="16"/>
  <c r="F20" i="16"/>
  <c r="F24" i="16"/>
  <c r="F31" i="16"/>
  <c r="F35" i="16"/>
  <c r="F22" i="16"/>
  <c r="F18" i="16"/>
  <c r="F26" i="16"/>
  <c r="I28" i="16"/>
  <c r="I30" i="16"/>
  <c r="I32" i="16"/>
  <c r="I34" i="16"/>
  <c r="I36" i="16"/>
  <c r="I38" i="16"/>
  <c r="I18" i="16"/>
  <c r="I22" i="16"/>
  <c r="I26" i="16"/>
  <c r="I16" i="16"/>
  <c r="I20" i="16"/>
  <c r="I24" i="16"/>
  <c r="I27" i="16"/>
  <c r="I29" i="16"/>
  <c r="I31" i="16"/>
  <c r="I33" i="16"/>
  <c r="I35" i="16"/>
  <c r="I37" i="16"/>
  <c r="I17" i="16"/>
  <c r="I21" i="16"/>
  <c r="I25" i="16"/>
  <c r="I14" i="16"/>
  <c r="I15" i="16"/>
  <c r="I23" i="16"/>
  <c r="I19" i="16"/>
  <c r="G16" i="16"/>
  <c r="G20" i="16"/>
  <c r="G24" i="16"/>
  <c r="G28" i="16"/>
  <c r="G30" i="16"/>
  <c r="G32" i="16"/>
  <c r="G34" i="16"/>
  <c r="G36" i="16"/>
  <c r="G38" i="16"/>
  <c r="G18" i="16"/>
  <c r="G22" i="16"/>
  <c r="G26" i="16"/>
  <c r="G14" i="16"/>
  <c r="G15" i="16"/>
  <c r="G19" i="16"/>
  <c r="G23" i="16"/>
  <c r="G27" i="16"/>
  <c r="G29" i="16"/>
  <c r="G31" i="16"/>
  <c r="G35" i="16"/>
  <c r="G17" i="16"/>
  <c r="G25" i="16"/>
  <c r="G33" i="16"/>
  <c r="G37" i="16"/>
  <c r="G21" i="16"/>
  <c r="B59" i="1"/>
  <c r="E12" i="16" s="1"/>
  <c r="I58" i="1"/>
  <c r="I59" i="1" s="1"/>
  <c r="H17" i="16"/>
  <c r="H21" i="16"/>
  <c r="H25" i="16"/>
  <c r="H28" i="16"/>
  <c r="H30" i="16"/>
  <c r="H32" i="16"/>
  <c r="H34" i="16"/>
  <c r="H36" i="16"/>
  <c r="H38" i="16"/>
  <c r="H27" i="16"/>
  <c r="H15" i="16"/>
  <c r="H19" i="16"/>
  <c r="H23" i="16"/>
  <c r="H14" i="16"/>
  <c r="H31" i="16"/>
  <c r="H35" i="16"/>
  <c r="H18" i="16"/>
  <c r="H22" i="16"/>
  <c r="H26" i="16"/>
  <c r="H29" i="16"/>
  <c r="H20" i="16"/>
  <c r="H33" i="16"/>
  <c r="H37" i="16"/>
  <c r="H16" i="16"/>
  <c r="H24" i="16"/>
  <c r="M126" i="14"/>
  <c r="E54" i="1"/>
  <c r="M54" i="14"/>
  <c r="C50" i="1" s="1"/>
  <c r="C54" i="1"/>
  <c r="E28" i="16" l="1"/>
  <c r="E30" i="16"/>
  <c r="E32" i="16"/>
  <c r="E34" i="16"/>
  <c r="E36" i="16"/>
  <c r="E38" i="16"/>
  <c r="E14" i="16"/>
  <c r="E18" i="16"/>
  <c r="E22" i="16"/>
  <c r="E26" i="16"/>
  <c r="E16" i="16"/>
  <c r="E20" i="16"/>
  <c r="E24" i="16"/>
  <c r="E29" i="16"/>
  <c r="E31" i="16"/>
  <c r="E33" i="16"/>
  <c r="E35" i="16"/>
  <c r="E37" i="16"/>
  <c r="E17" i="16"/>
  <c r="E21" i="16"/>
  <c r="E25" i="16"/>
  <c r="E19" i="16"/>
  <c r="E27" i="16"/>
  <c r="E15" i="16"/>
  <c r="E23" i="16"/>
  <c r="I54" i="1"/>
  <c r="I36" i="1" l="1"/>
  <c r="E29" i="13"/>
  <c r="E37" i="13"/>
  <c r="E21" i="13"/>
  <c r="E13" i="13"/>
  <c r="D72" i="11"/>
  <c r="D71" i="11"/>
  <c r="D64" i="11"/>
  <c r="D63" i="11"/>
  <c r="D56" i="11"/>
  <c r="D55" i="11"/>
  <c r="D48" i="11"/>
  <c r="D47" i="11"/>
  <c r="E3" i="13"/>
  <c r="A3" i="13"/>
  <c r="E2" i="13"/>
  <c r="A2" i="13"/>
  <c r="E1" i="13"/>
  <c r="E46" i="13" l="1"/>
  <c r="E17" i="11"/>
  <c r="E34" i="11"/>
  <c r="E73" i="11"/>
  <c r="F72" i="11"/>
  <c r="F71" i="11"/>
  <c r="E65" i="11"/>
  <c r="F64" i="11"/>
  <c r="F63" i="11"/>
  <c r="E57" i="11"/>
  <c r="F56" i="11"/>
  <c r="F55" i="11"/>
  <c r="F48" i="11"/>
  <c r="F47" i="11"/>
  <c r="F31" i="11"/>
  <c r="D14" i="11"/>
  <c r="F14" i="11" s="1"/>
  <c r="F30" i="11"/>
  <c r="F34" i="11" s="1"/>
  <c r="D13" i="11"/>
  <c r="F13" i="11" s="1"/>
  <c r="F17" i="11" s="1"/>
  <c r="L92" i="12"/>
  <c r="M92" i="12" s="1"/>
  <c r="N92" i="12" s="1"/>
  <c r="L91" i="12"/>
  <c r="M91" i="12" s="1"/>
  <c r="N91" i="12" s="1"/>
  <c r="L90" i="12"/>
  <c r="M90" i="12" s="1"/>
  <c r="N90" i="12" s="1"/>
  <c r="F49" i="11" l="1"/>
  <c r="F57" i="11"/>
  <c r="F73" i="11"/>
  <c r="F65" i="11"/>
  <c r="D103" i="12"/>
  <c r="E103" i="12"/>
  <c r="F103" i="12"/>
  <c r="G103" i="12"/>
  <c r="H103" i="12"/>
  <c r="I103" i="12"/>
  <c r="J103" i="12"/>
  <c r="K103" i="12"/>
  <c r="C103" i="12"/>
  <c r="D96" i="12"/>
  <c r="E96" i="12"/>
  <c r="F96" i="12"/>
  <c r="G96" i="12"/>
  <c r="H96" i="12"/>
  <c r="I96" i="12"/>
  <c r="J96" i="12"/>
  <c r="K96" i="12"/>
  <c r="C96" i="12"/>
  <c r="D79" i="12"/>
  <c r="E79" i="12"/>
  <c r="F79" i="12"/>
  <c r="G79" i="12"/>
  <c r="H79" i="12"/>
  <c r="I79" i="12"/>
  <c r="J79" i="12"/>
  <c r="K79" i="12"/>
  <c r="C79" i="12"/>
  <c r="D23" i="12"/>
  <c r="E23" i="12"/>
  <c r="F23" i="12"/>
  <c r="G23" i="12"/>
  <c r="H23" i="12"/>
  <c r="I23" i="12"/>
  <c r="J23" i="12"/>
  <c r="K23" i="12"/>
  <c r="C23" i="12"/>
  <c r="F75" i="11" l="1"/>
  <c r="F74" i="11"/>
  <c r="E36" i="13" s="1"/>
  <c r="F50" i="11"/>
  <c r="E12" i="13" s="1"/>
  <c r="E45" i="13" s="1"/>
  <c r="F51" i="11"/>
  <c r="F67" i="11"/>
  <c r="F66" i="11"/>
  <c r="E28" i="13" s="1"/>
  <c r="F59" i="11"/>
  <c r="F58" i="11"/>
  <c r="E20" i="13" s="1"/>
  <c r="F78" i="11"/>
  <c r="F80" i="11"/>
  <c r="F86" i="11" s="1"/>
  <c r="C107" i="12"/>
  <c r="F107" i="12"/>
  <c r="J107" i="12"/>
  <c r="H107" i="12"/>
  <c r="D107" i="12"/>
  <c r="K107" i="12"/>
  <c r="I107" i="12"/>
  <c r="G107" i="12"/>
  <c r="E107" i="12"/>
  <c r="E11" i="10"/>
  <c r="E10" i="10"/>
  <c r="E55" i="7"/>
  <c r="F79" i="11" l="1"/>
  <c r="B3" i="8"/>
  <c r="A3" i="8"/>
  <c r="B2" i="8"/>
  <c r="A2" i="8"/>
  <c r="B1" i="8"/>
  <c r="A3" i="9"/>
  <c r="A2" i="9"/>
  <c r="M3" i="12"/>
  <c r="M2" i="12"/>
  <c r="M1" i="12"/>
  <c r="A3" i="12"/>
  <c r="A2" i="12"/>
  <c r="L113" i="12" l="1"/>
  <c r="M113" i="12" s="1"/>
  <c r="N113" i="12" s="1"/>
  <c r="L66" i="12"/>
  <c r="M66" i="12" s="1"/>
  <c r="L67" i="12"/>
  <c r="M67" i="12" s="1"/>
  <c r="L68" i="12"/>
  <c r="M68" i="12" s="1"/>
  <c r="L69" i="12"/>
  <c r="M69" i="12" s="1"/>
  <c r="L70" i="12"/>
  <c r="M70" i="12" s="1"/>
  <c r="L71" i="12"/>
  <c r="M71" i="12" s="1"/>
  <c r="L72" i="12"/>
  <c r="M72" i="12" s="1"/>
  <c r="L73" i="12"/>
  <c r="M73" i="12" s="1"/>
  <c r="L74" i="12"/>
  <c r="M74" i="12" s="1"/>
  <c r="L75" i="12"/>
  <c r="M75" i="12" s="1"/>
  <c r="L28" i="12"/>
  <c r="M28" i="12" s="1"/>
  <c r="L61" i="12"/>
  <c r="M61" i="12" s="1"/>
  <c r="L62" i="12"/>
  <c r="M62" i="12" s="1"/>
  <c r="L58" i="12"/>
  <c r="M58" i="12" s="1"/>
  <c r="L59" i="12"/>
  <c r="M59" i="12" s="1"/>
  <c r="L55" i="12"/>
  <c r="M55" i="12" s="1"/>
  <c r="L56" i="12"/>
  <c r="M56" i="12" s="1"/>
  <c r="L57" i="12"/>
  <c r="M57" i="12" s="1"/>
  <c r="L50" i="12"/>
  <c r="M50" i="12" s="1"/>
  <c r="L51" i="12"/>
  <c r="M51" i="12" s="1"/>
  <c r="L52" i="12"/>
  <c r="M52" i="12" s="1"/>
  <c r="L53" i="12"/>
  <c r="M53" i="12" s="1"/>
  <c r="L54" i="12"/>
  <c r="M54" i="12" s="1"/>
  <c r="L85" i="12"/>
  <c r="M85" i="12" s="1"/>
  <c r="L47" i="12"/>
  <c r="M47" i="12" s="1"/>
  <c r="L48" i="12"/>
  <c r="M48" i="12" s="1"/>
  <c r="L44" i="12"/>
  <c r="M44" i="12" s="1"/>
  <c r="L45" i="12"/>
  <c r="M45" i="12" s="1"/>
  <c r="L46" i="12"/>
  <c r="M46" i="12" s="1"/>
  <c r="L20" i="12"/>
  <c r="M20" i="12" s="1"/>
  <c r="L42" i="12"/>
  <c r="M42" i="12" s="1"/>
  <c r="L43" i="12"/>
  <c r="M43" i="12" s="1"/>
  <c r="L39" i="12"/>
  <c r="M39" i="12" s="1"/>
  <c r="L40" i="12"/>
  <c r="M40" i="12" s="1"/>
  <c r="L41" i="12"/>
  <c r="M41" i="12" s="1"/>
  <c r="L89" i="12"/>
  <c r="M89" i="12" s="1"/>
  <c r="L83" i="12"/>
  <c r="M83" i="12" s="1"/>
  <c r="L14" i="12"/>
  <c r="L34" i="12"/>
  <c r="M34" i="12" s="1"/>
  <c r="N34" i="12" s="1"/>
  <c r="L32" i="12"/>
  <c r="M32" i="12" s="1"/>
  <c r="L88" i="12"/>
  <c r="M88" i="12" s="1"/>
  <c r="N88" i="12" s="1"/>
  <c r="L15" i="12"/>
  <c r="M15" i="12" s="1"/>
  <c r="L17" i="12"/>
  <c r="M17" i="12" s="1"/>
  <c r="N17" i="12" s="1"/>
  <c r="L16" i="12"/>
  <c r="M16" i="12" s="1"/>
  <c r="L87" i="12"/>
  <c r="M87" i="12" s="1"/>
  <c r="N87" i="12" s="1"/>
  <c r="L18" i="12"/>
  <c r="M18" i="12" s="1"/>
  <c r="N18" i="12" s="1"/>
  <c r="L19" i="12"/>
  <c r="M19" i="12" s="1"/>
  <c r="N19" i="12" s="1"/>
  <c r="L30" i="12"/>
  <c r="M30" i="12" s="1"/>
  <c r="L33" i="12"/>
  <c r="M33" i="12" s="1"/>
  <c r="N33" i="12" s="1"/>
  <c r="L27" i="12"/>
  <c r="M27" i="12" s="1"/>
  <c r="N27" i="12" s="1"/>
  <c r="L29" i="12"/>
  <c r="M29" i="12" s="1"/>
  <c r="N29" i="12" s="1"/>
  <c r="L84" i="12"/>
  <c r="M84" i="12" s="1"/>
  <c r="N84" i="12" s="1"/>
  <c r="L64" i="12"/>
  <c r="M64" i="12" s="1"/>
  <c r="N64" i="12" s="1"/>
  <c r="L76" i="12"/>
  <c r="M76" i="12" s="1"/>
  <c r="N76" i="12" s="1"/>
  <c r="L60" i="12"/>
  <c r="M60" i="12" s="1"/>
  <c r="N60" i="12" s="1"/>
  <c r="L63" i="12"/>
  <c r="M63" i="12" s="1"/>
  <c r="N63" i="12" s="1"/>
  <c r="L82" i="12"/>
  <c r="L49" i="12"/>
  <c r="M49" i="12" s="1"/>
  <c r="N49" i="12" s="1"/>
  <c r="L35" i="12"/>
  <c r="M35" i="12" s="1"/>
  <c r="N35" i="12" s="1"/>
  <c r="L37" i="12"/>
  <c r="M37" i="12" s="1"/>
  <c r="L38" i="12"/>
  <c r="M38" i="12" s="1"/>
  <c r="N38" i="12" s="1"/>
  <c r="L26" i="12"/>
  <c r="L31" i="12"/>
  <c r="M31" i="12" s="1"/>
  <c r="N31" i="12" s="1"/>
  <c r="L36" i="12"/>
  <c r="M36" i="12" s="1"/>
  <c r="N36" i="12" s="1"/>
  <c r="L86" i="12"/>
  <c r="M86" i="12" s="1"/>
  <c r="N86" i="12" s="1"/>
  <c r="L65" i="12"/>
  <c r="G46" i="1"/>
  <c r="H118" i="12"/>
  <c r="L118" i="12" s="1"/>
  <c r="M118" i="12" s="1"/>
  <c r="D124" i="12"/>
  <c r="E124" i="12"/>
  <c r="B18" i="1" s="1"/>
  <c r="F124" i="12"/>
  <c r="C18" i="1" s="1"/>
  <c r="G124" i="12"/>
  <c r="D18" i="1" s="1"/>
  <c r="H124" i="12"/>
  <c r="E18" i="1" s="1"/>
  <c r="I124" i="12"/>
  <c r="F18" i="1" s="1"/>
  <c r="F19" i="1" s="1"/>
  <c r="J124" i="12"/>
  <c r="G18" i="1" s="1"/>
  <c r="G19" i="1" s="1"/>
  <c r="G21" i="1" s="1"/>
  <c r="K124" i="12"/>
  <c r="H18" i="1" s="1"/>
  <c r="C125" i="12"/>
  <c r="N37" i="12"/>
  <c r="N30" i="12"/>
  <c r="N16" i="12"/>
  <c r="N15" i="12"/>
  <c r="N32" i="12"/>
  <c r="N83" i="12"/>
  <c r="N89" i="12"/>
  <c r="N41" i="12"/>
  <c r="N40" i="12"/>
  <c r="N39" i="12"/>
  <c r="N43" i="12"/>
  <c r="N66" i="12"/>
  <c r="N67" i="12"/>
  <c r="N68" i="12"/>
  <c r="N69" i="12"/>
  <c r="N70" i="12"/>
  <c r="N71" i="12"/>
  <c r="N72" i="12"/>
  <c r="N73" i="12"/>
  <c r="N74" i="12"/>
  <c r="N75" i="12"/>
  <c r="N28" i="12"/>
  <c r="N61" i="12"/>
  <c r="N62" i="12"/>
  <c r="N58" i="12"/>
  <c r="N59" i="12"/>
  <c r="N55" i="12"/>
  <c r="N56" i="12"/>
  <c r="N57" i="12"/>
  <c r="N50" i="12"/>
  <c r="N51" i="12"/>
  <c r="N52" i="12"/>
  <c r="N53" i="12"/>
  <c r="N54" i="12"/>
  <c r="N85" i="12"/>
  <c r="N47" i="12"/>
  <c r="N48" i="12"/>
  <c r="N44" i="12"/>
  <c r="N45" i="12"/>
  <c r="N46" i="12"/>
  <c r="N20" i="12"/>
  <c r="N42" i="12"/>
  <c r="F42" i="1"/>
  <c r="F46" i="1" s="1"/>
  <c r="B17" i="8"/>
  <c r="B19" i="8" s="1"/>
  <c r="L103" i="12" l="1"/>
  <c r="M82" i="12"/>
  <c r="L96" i="12"/>
  <c r="M26" i="12"/>
  <c r="L79" i="12"/>
  <c r="M14" i="12"/>
  <c r="L23" i="12"/>
  <c r="C124" i="12"/>
  <c r="M65" i="12"/>
  <c r="N65" i="12" s="1"/>
  <c r="N118" i="12"/>
  <c r="G26" i="1"/>
  <c r="G37" i="1" s="1"/>
  <c r="F21" i="1"/>
  <c r="F26" i="1" s="1"/>
  <c r="F37" i="1" s="1"/>
  <c r="K125" i="12"/>
  <c r="I125" i="12"/>
  <c r="G125" i="12"/>
  <c r="E125" i="12"/>
  <c r="J125" i="12"/>
  <c r="H125" i="12"/>
  <c r="F125" i="12"/>
  <c r="D125" i="12"/>
  <c r="F31" i="1"/>
  <c r="G31" i="1"/>
  <c r="G32" i="1" s="1"/>
  <c r="G33" i="1" s="1"/>
  <c r="L107" i="12" l="1"/>
  <c r="L125" i="12" s="1"/>
  <c r="N103" i="12"/>
  <c r="M103" i="12"/>
  <c r="M79" i="12"/>
  <c r="N26" i="12"/>
  <c r="N79" i="12" s="1"/>
  <c r="N82" i="12"/>
  <c r="N96" i="12" s="1"/>
  <c r="M96" i="12"/>
  <c r="M23" i="12"/>
  <c r="N14" i="12"/>
  <c r="L124" i="12" l="1"/>
  <c r="M107" i="12"/>
  <c r="M124" i="12" s="1"/>
  <c r="M125" i="12"/>
  <c r="N23" i="12"/>
  <c r="N107" i="12" s="1"/>
  <c r="F3" i="11"/>
  <c r="F2" i="11"/>
  <c r="F1" i="11"/>
  <c r="A2" i="11"/>
  <c r="E3" i="10"/>
  <c r="E2" i="10"/>
  <c r="E1" i="10"/>
  <c r="A2" i="10"/>
  <c r="E22" i="11"/>
  <c r="N124" i="12" l="1"/>
  <c r="N125" i="12"/>
  <c r="E13" i="10"/>
  <c r="C13" i="10"/>
  <c r="E21" i="11"/>
  <c r="E23" i="11"/>
  <c r="E20" i="11"/>
  <c r="C80" i="9"/>
  <c r="F22" i="11" l="1"/>
  <c r="E34" i="13" s="1"/>
  <c r="F20" i="11"/>
  <c r="F21" i="11"/>
  <c r="E18" i="13" s="1"/>
  <c r="F23" i="11"/>
  <c r="E26" i="13" s="1"/>
  <c r="E26" i="11"/>
  <c r="E49" i="11"/>
  <c r="E78" i="11" s="1"/>
  <c r="E18" i="10"/>
  <c r="E16" i="10"/>
  <c r="E17" i="10"/>
  <c r="E15" i="10"/>
  <c r="E10" i="13" l="1"/>
  <c r="E43" i="13" s="1"/>
  <c r="E40" i="11"/>
  <c r="E37" i="11"/>
  <c r="E39" i="11"/>
  <c r="E38" i="11"/>
  <c r="E21" i="10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6" i="1"/>
  <c r="C42" i="1"/>
  <c r="C46" i="1" s="1"/>
  <c r="D42" i="1"/>
  <c r="D46" i="1" s="1"/>
  <c r="E42" i="1"/>
  <c r="E46" i="1" s="1"/>
  <c r="B42" i="1"/>
  <c r="B46" i="1" s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I23" i="1"/>
  <c r="H19" i="1"/>
  <c r="D19" i="1"/>
  <c r="C19" i="1"/>
  <c r="E43" i="11" l="1"/>
  <c r="E84" i="11" s="1"/>
  <c r="F26" i="11"/>
  <c r="C21" i="1"/>
  <c r="C26" i="1" s="1"/>
  <c r="C37" i="1" s="1"/>
  <c r="H21" i="1"/>
  <c r="H26" i="1" s="1"/>
  <c r="H37" i="1" s="1"/>
  <c r="D21" i="1"/>
  <c r="D26" i="1" s="1"/>
  <c r="D37" i="1" s="1"/>
  <c r="H31" i="1"/>
  <c r="D31" i="1"/>
  <c r="C31" i="1"/>
  <c r="I42" i="1"/>
  <c r="I46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I18" i="1"/>
  <c r="D15" i="3"/>
  <c r="F15" i="3"/>
  <c r="E17" i="3"/>
  <c r="C17" i="3" s="1"/>
  <c r="C14" i="3"/>
  <c r="D16" i="3" s="1"/>
  <c r="B19" i="1"/>
  <c r="I50" i="1"/>
  <c r="F38" i="11" l="1"/>
  <c r="E19" i="13" s="1"/>
  <c r="E22" i="13" s="1"/>
  <c r="F40" i="11"/>
  <c r="E27" i="13" s="1"/>
  <c r="E30" i="13" s="1"/>
  <c r="F39" i="11"/>
  <c r="E35" i="13" s="1"/>
  <c r="E38" i="13" s="1"/>
  <c r="F37" i="11"/>
  <c r="B21" i="1"/>
  <c r="B26" i="1" s="1"/>
  <c r="B37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E11" i="13" l="1"/>
  <c r="F43" i="11"/>
  <c r="D18" i="3"/>
  <c r="G13" i="3"/>
  <c r="G16" i="3"/>
  <c r="N78" i="6"/>
  <c r="N80" i="6" s="1"/>
  <c r="C80" i="6"/>
  <c r="E18" i="3"/>
  <c r="E11" i="3" s="1"/>
  <c r="F18" i="3"/>
  <c r="F11" i="3" s="1"/>
  <c r="D11" i="3"/>
  <c r="E14" i="13" l="1"/>
  <c r="E44" i="13"/>
  <c r="E47" i="13" s="1"/>
  <c r="F84" i="11"/>
  <c r="F85" i="11"/>
  <c r="E13" i="2"/>
  <c r="G18" i="3"/>
  <c r="B21" i="8" l="1"/>
  <c r="B23" i="8" s="1"/>
  <c r="E28" i="2"/>
  <c r="E44" i="2" s="1"/>
  <c r="E53" i="2" s="1"/>
  <c r="I17" i="1" l="1"/>
  <c r="E19" i="1"/>
  <c r="B77" i="8"/>
  <c r="B35" i="8"/>
  <c r="E21" i="1" l="1"/>
  <c r="I21" i="1" s="1"/>
  <c r="E31" i="1"/>
  <c r="B79" i="8"/>
  <c r="B30" i="8"/>
  <c r="B27" i="8"/>
  <c r="C27" i="8" s="1"/>
  <c r="B39" i="8"/>
  <c r="B29" i="8"/>
  <c r="D9" i="7"/>
  <c r="E56" i="7" s="1"/>
  <c r="E57" i="7" s="1"/>
  <c r="B28" i="8"/>
  <c r="B31" i="8"/>
  <c r="B26" i="8"/>
  <c r="I19" i="1"/>
  <c r="C23" i="8"/>
  <c r="B80" i="8"/>
  <c r="I26" i="1" l="1"/>
  <c r="E26" i="1"/>
  <c r="B33" i="8"/>
  <c r="C33" i="8" s="1"/>
  <c r="C35" i="8" s="1"/>
  <c r="C79" i="8"/>
  <c r="C78" i="8"/>
  <c r="B37" i="8"/>
  <c r="B18" i="8" s="1"/>
  <c r="C77" i="8"/>
  <c r="D12" i="7"/>
  <c r="D13" i="7" s="1"/>
  <c r="C23" i="7"/>
  <c r="E37" i="1" l="1"/>
  <c r="I37" i="1" s="1"/>
  <c r="I38" i="1" s="1"/>
  <c r="F27" i="1"/>
  <c r="G27" i="1"/>
  <c r="F32" i="1"/>
  <c r="F33" i="1" s="1"/>
  <c r="B27" i="1"/>
  <c r="C27" i="1"/>
  <c r="D27" i="1"/>
  <c r="I27" i="1"/>
  <c r="H27" i="1"/>
  <c r="D23" i="7"/>
  <c r="E23" i="7"/>
  <c r="E27" i="1"/>
  <c r="C80" i="8"/>
  <c r="E36" i="1" l="1"/>
  <c r="C32" i="1"/>
  <c r="C33" i="1" s="1"/>
  <c r="C36" i="1"/>
  <c r="F36" i="1"/>
  <c r="H32" i="1"/>
  <c r="H33" i="1" s="1"/>
  <c r="H36" i="1"/>
  <c r="D32" i="1"/>
  <c r="D33" i="1" s="1"/>
  <c r="D36" i="1"/>
  <c r="B36" i="1"/>
  <c r="G36" i="1"/>
  <c r="F38" i="1"/>
  <c r="F48" i="1" s="1"/>
  <c r="I31" i="1"/>
  <c r="B32" i="1"/>
  <c r="B33" i="1" s="1"/>
  <c r="F23" i="7"/>
  <c r="G23" i="7" s="1"/>
  <c r="C24" i="7" s="1"/>
  <c r="D24" i="7" s="1"/>
  <c r="F51" i="1" l="1"/>
  <c r="F55" i="1"/>
  <c r="S12" i="16" s="1"/>
  <c r="G38" i="1"/>
  <c r="G48" i="1" s="1"/>
  <c r="B38" i="1"/>
  <c r="B48" i="1" s="1"/>
  <c r="C38" i="1"/>
  <c r="C48" i="1" s="1"/>
  <c r="E24" i="7"/>
  <c r="F24" i="7"/>
  <c r="G24" i="7" s="1"/>
  <c r="C25" i="7" s="1"/>
  <c r="E25" i="7" s="1"/>
  <c r="D38" i="1"/>
  <c r="D48" i="1" s="1"/>
  <c r="H38" i="1"/>
  <c r="H48" i="1" s="1"/>
  <c r="E38" i="1"/>
  <c r="S38" i="16" l="1"/>
  <c r="S36" i="16"/>
  <c r="S34" i="16"/>
  <c r="S32" i="16"/>
  <c r="S30" i="16"/>
  <c r="S28" i="16"/>
  <c r="S26" i="16"/>
  <c r="S24" i="16"/>
  <c r="S22" i="16"/>
  <c r="S20" i="16"/>
  <c r="S18" i="16"/>
  <c r="S16" i="16"/>
  <c r="S37" i="16"/>
  <c r="S35" i="16"/>
  <c r="S33" i="16"/>
  <c r="S31" i="16"/>
  <c r="S29" i="16"/>
  <c r="S27" i="16"/>
  <c r="S25" i="16"/>
  <c r="S23" i="16"/>
  <c r="S21" i="16"/>
  <c r="S19" i="16"/>
  <c r="S17" i="16"/>
  <c r="S15" i="16"/>
  <c r="S14" i="16"/>
  <c r="C51" i="1"/>
  <c r="C55" i="1"/>
  <c r="P12" i="16" s="1"/>
  <c r="D51" i="1"/>
  <c r="D55" i="1"/>
  <c r="Q12" i="16" s="1"/>
  <c r="B51" i="1"/>
  <c r="B55" i="1"/>
  <c r="O12" i="16" s="1"/>
  <c r="D25" i="7"/>
  <c r="F25" i="7" s="1"/>
  <c r="G25" i="7" s="1"/>
  <c r="C26" i="7" s="1"/>
  <c r="Q38" i="16" l="1"/>
  <c r="Q36" i="16"/>
  <c r="Q34" i="16"/>
  <c r="Q32" i="16"/>
  <c r="Q30" i="16"/>
  <c r="Q28" i="16"/>
  <c r="Q26" i="16"/>
  <c r="Q24" i="16"/>
  <c r="Q22" i="16"/>
  <c r="Q20" i="16"/>
  <c r="Q18" i="16"/>
  <c r="Q16" i="16"/>
  <c r="Q37" i="16"/>
  <c r="Q35" i="16"/>
  <c r="Q33" i="16"/>
  <c r="Q31" i="16"/>
  <c r="Q29" i="16"/>
  <c r="Q27" i="16"/>
  <c r="Q25" i="16"/>
  <c r="Q23" i="16"/>
  <c r="Q21" i="16"/>
  <c r="Q19" i="16"/>
  <c r="Q17" i="16"/>
  <c r="Q15" i="16"/>
  <c r="Q14" i="16"/>
  <c r="P37" i="16"/>
  <c r="P35" i="16"/>
  <c r="P33" i="16"/>
  <c r="P31" i="16"/>
  <c r="P29" i="16"/>
  <c r="P27" i="16"/>
  <c r="P25" i="16"/>
  <c r="P23" i="16"/>
  <c r="P21" i="16"/>
  <c r="P19" i="16"/>
  <c r="P17" i="16"/>
  <c r="P15" i="16"/>
  <c r="P14" i="16"/>
  <c r="P38" i="16"/>
  <c r="P36" i="16"/>
  <c r="P34" i="16"/>
  <c r="P32" i="16"/>
  <c r="P30" i="16"/>
  <c r="P28" i="16"/>
  <c r="P26" i="16"/>
  <c r="P24" i="16"/>
  <c r="P22" i="16"/>
  <c r="P20" i="16"/>
  <c r="P18" i="16"/>
  <c r="P16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37" i="16"/>
  <c r="O35" i="16"/>
  <c r="O33" i="16"/>
  <c r="O31" i="16"/>
  <c r="O29" i="16"/>
  <c r="O27" i="16"/>
  <c r="O25" i="16"/>
  <c r="O23" i="16"/>
  <c r="O21" i="16"/>
  <c r="O19" i="16"/>
  <c r="O17" i="16"/>
  <c r="O15" i="16"/>
  <c r="D26" i="7"/>
  <c r="E26" i="7"/>
  <c r="F26" i="7" l="1"/>
  <c r="G26" i="7" l="1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8" i="1" s="1"/>
  <c r="E48" i="1"/>
  <c r="G52" i="7"/>
  <c r="I55" i="1" l="1"/>
  <c r="I51" i="1"/>
  <c r="E51" i="1"/>
  <c r="E55" i="1"/>
  <c r="R12" i="16" s="1"/>
  <c r="R37" i="16" l="1"/>
  <c r="R35" i="16"/>
  <c r="R33" i="16"/>
  <c r="R31" i="16"/>
  <c r="R29" i="16"/>
  <c r="R27" i="16"/>
  <c r="R25" i="16"/>
  <c r="R23" i="16"/>
  <c r="R21" i="16"/>
  <c r="R19" i="16"/>
  <c r="R17" i="16"/>
  <c r="R15" i="16"/>
  <c r="R14" i="16"/>
  <c r="R38" i="16"/>
  <c r="R36" i="16"/>
  <c r="R34" i="16"/>
  <c r="R32" i="16"/>
  <c r="R30" i="16"/>
  <c r="R28" i="16"/>
  <c r="R26" i="16"/>
  <c r="R24" i="16"/>
  <c r="R22" i="16"/>
  <c r="R20" i="16"/>
  <c r="R18" i="16"/>
  <c r="R16" i="16"/>
</calcChain>
</file>

<file path=xl/sharedStrings.xml><?xml version="1.0" encoding="utf-8"?>
<sst xmlns="http://schemas.openxmlformats.org/spreadsheetml/2006/main" count="954" uniqueCount="492">
  <si>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</si>
  <si>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</si>
  <si>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</si>
  <si>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</si>
  <si>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</si>
  <si>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</si>
  <si>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</si>
  <si>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</si>
  <si>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</si>
  <si>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</si>
  <si>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</si>
  <si>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</si>
  <si>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</si>
  <si>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Total Master Plan CIP (__/__/__ $)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</si>
  <si>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</si>
  <si>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</si>
  <si>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</si>
  <si>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</si>
  <si>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</si>
  <si>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</si>
  <si>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</si>
  <si>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</si>
  <si>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</si>
  <si>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</si>
  <si>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</si>
  <si>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</si>
  <si>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</si>
  <si>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</si>
  <si>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</si>
  <si>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</si>
  <si>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</si>
  <si>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</si>
  <si>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</si>
  <si>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</si>
  <si>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</si>
  <si>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</si>
  <si>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</si>
  <si>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</si>
  <si>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</si>
  <si>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</si>
  <si>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</si>
  <si>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</si>
  <si>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</si>
  <si>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</si>
  <si>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</si>
  <si>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</si>
  <si>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</si>
  <si>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</si>
  <si>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</si>
  <si>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</si>
  <si>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</si>
  <si>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</si>
  <si>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</si>
  <si>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</si>
  <si>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</si>
  <si>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</si>
  <si>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</si>
  <si>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</si>
  <si>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</si>
  <si>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</si>
  <si>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</si>
  <si>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</si>
  <si>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</si>
  <si>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</si>
  <si>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</si>
  <si>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</si>
  <si>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</si>
  <si>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</si>
  <si>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</si>
  <si>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</si>
  <si>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</si>
  <si>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</si>
  <si>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</si>
  <si>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</si>
  <si>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</si>
  <si>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</si>
  <si>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</si>
  <si>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</si>
  <si>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</si>
  <si>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</si>
  <si>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</si>
  <si>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</si>
  <si>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</si>
  <si>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</si>
  <si>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</si>
  <si>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</si>
  <si>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</si>
  <si>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</si>
  <si>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</si>
  <si>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</si>
  <si>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</si>
  <si>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</si>
  <si>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</si>
  <si>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</si>
  <si>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</si>
  <si>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</si>
  <si>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</si>
  <si>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</si>
  <si>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</si>
  <si>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</si>
  <si>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</si>
  <si>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</si>
  <si>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</si>
  <si>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</si>
  <si>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</si>
  <si>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</si>
  <si>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</si>
  <si>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</si>
  <si>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</si>
  <si>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</si>
  <si>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</si>
  <si>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</si>
  <si>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</si>
  <si>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</si>
  <si>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</si>
  <si>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</si>
  <si>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</si>
  <si>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</si>
  <si>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</si>
  <si>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</si>
  <si>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</si>
  <si>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</si>
  <si>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</si>
  <si>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</si>
  <si>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</si>
  <si>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</si>
  <si>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</si>
  <si>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</si>
  <si>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</si>
  <si>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</si>
  <si>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</si>
  <si>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</si>
  <si>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Out of date 2007 balances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</si>
  <si>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</si>
  <si>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</si>
  <si>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</si>
  <si>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</si>
  <si>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</si>
  <si>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</si>
  <si>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Total Fund Balances</t>
  </si>
  <si>
    <t>.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</si>
  <si>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</si>
  <si>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</si>
  <si>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</si>
  <si>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</si>
  <si>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</si>
  <si>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</si>
  <si>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</si>
  <si>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</si>
  <si>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</si>
  <si>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</si>
  <si>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</si>
  <si>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</si>
  <si>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</si>
  <si>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</si>
  <si>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</si>
  <si>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</si>
  <si>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</si>
  <si>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</si>
  <si>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</si>
  <si>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</si>
  <si>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</si>
  <si>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</si>
  <si>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</si>
  <si>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</si>
  <si>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</si>
  <si>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</si>
  <si>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</si>
  <si>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</si>
  <si>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</si>
  <si>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</si>
  <si>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</si>
  <si>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</si>
  <si>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</si>
  <si>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</si>
  <si>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</si>
  <si>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</si>
  <si>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</si>
  <si>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</si>
  <si>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</si>
  <si>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</si>
  <si>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</si>
  <si>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</si>
  <si>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</si>
  <si>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</si>
  <si>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</si>
  <si>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</si>
  <si>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</si>
  <si>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</si>
  <si>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</si>
  <si>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</si>
  <si>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</si>
  <si>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</si>
  <si>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</si>
  <si>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</si>
  <si>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</si>
  <si>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</si>
  <si>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</si>
  <si>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</si>
  <si>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</si>
  <si>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</si>
  <si>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</si>
  <si>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</si>
  <si>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</si>
  <si>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</si>
  <si>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</si>
  <si>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</si>
  <si>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</si>
  <si>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</si>
  <si>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</si>
  <si>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</si>
  <si>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</si>
  <si>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</si>
  <si>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</si>
  <si>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</si>
  <si>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</si>
  <si>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</si>
  <si>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</si>
  <si>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</si>
  <si>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</si>
  <si>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</si>
  <si>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</si>
  <si>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</si>
  <si>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Assumes entire cost of current projects funded by 30 year debt service with 2.0% interest.</t>
  </si>
  <si>
    <t>(2)  Need ENR for cost estimates.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</si>
  <si>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</si>
  <si>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</si>
  <si>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</si>
  <si>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</si>
  <si>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</si>
  <si>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</si>
  <si>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</si>
  <si>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</si>
  <si>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</si>
  <si>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</si>
  <si>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</si>
  <si>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</si>
  <si>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</si>
  <si>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</si>
  <si>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</si>
  <si>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</si>
  <si>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</si>
  <si>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</si>
  <si>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</si>
  <si>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</si>
  <si>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</si>
  <si>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</si>
  <si>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</si>
  <si>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</si>
  <si>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</si>
  <si>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</si>
  <si>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</si>
  <si>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</si>
  <si>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</si>
  <si>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</si>
  <si>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</si>
  <si>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</si>
  <si>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</si>
  <si>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</si>
  <si>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</si>
  <si>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</si>
  <si>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</si>
  <si>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</si>
  <si>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Personnel</t>
  </si>
  <si>
    <t>Equipment, Audit, Professional Services, Legal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</si>
  <si>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</si>
  <si>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</si>
  <si>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</si>
  <si>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</si>
  <si>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</si>
  <si>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</si>
  <si>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</si>
  <si>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</si>
  <si>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</si>
  <si>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</si>
  <si>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</si>
  <si>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</si>
  <si>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</si>
  <si>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</si>
  <si>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</si>
  <si>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</si>
  <si>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</si>
  <si>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</si>
  <si>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</si>
  <si>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</si>
  <si>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</si>
  <si>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</si>
  <si>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</si>
  <si>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</si>
  <si>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</si>
  <si>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</si>
  <si>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</si>
  <si>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</si>
  <si>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Additional CIP Costs - 2012/13 Budget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</si>
  <si>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</si>
  <si>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</si>
  <si>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</si>
  <si>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</si>
  <si>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</si>
  <si>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</si>
  <si>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</si>
  <si>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</si>
  <si>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</si>
  <si>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</si>
  <si>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</si>
  <si>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</si>
  <si>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</si>
  <si>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</si>
  <si>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</si>
  <si>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</si>
  <si>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</si>
  <si>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</si>
  <si>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</si>
  <si>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</si>
  <si>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</si>
  <si>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</si>
  <si>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</si>
  <si>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</si>
  <si>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</si>
  <si>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</si>
  <si>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</si>
  <si>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</si>
  <si>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</si>
  <si>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</si>
  <si>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</si>
  <si>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</si>
  <si>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</si>
  <si>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</si>
  <si>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</si>
  <si>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</si>
  <si>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</si>
  <si>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</si>
  <si>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</si>
  <si>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</si>
  <si>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</si>
  <si>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</si>
  <si>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</si>
  <si>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</si>
  <si>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</si>
  <si>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</si>
  <si>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</si>
  <si>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</si>
  <si>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</si>
  <si>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</si>
  <si>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</si>
  <si>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South Main Pump Station</t>
  </si>
  <si>
    <t>Force Main 22S</t>
  </si>
  <si>
    <t>Link 2</t>
  </si>
  <si>
    <t>Link 22S1</t>
  </si>
  <si>
    <t>Link 25</t>
  </si>
  <si>
    <t>Austin Business Pump Station</t>
  </si>
  <si>
    <t>Force Main 27</t>
  </si>
  <si>
    <t>Force Main 28</t>
  </si>
  <si>
    <t>Force Main 27S</t>
  </si>
  <si>
    <t>Yosemite Square Pump Station</t>
  </si>
  <si>
    <t>Force Main 35</t>
  </si>
  <si>
    <t>Force Main 36</t>
  </si>
  <si>
    <t>Link 16A-02</t>
  </si>
  <si>
    <t>Link 10</t>
  </si>
  <si>
    <t>Link 10S</t>
  </si>
  <si>
    <t>South Union Lift Station</t>
  </si>
  <si>
    <t>Link 9</t>
  </si>
  <si>
    <t>Link 9S</t>
  </si>
  <si>
    <t>Link 8</t>
  </si>
  <si>
    <t>Link 8S</t>
  </si>
  <si>
    <t>South Airport Lift Station</t>
  </si>
  <si>
    <t>Link 7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</si>
  <si>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</si>
  <si>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</si>
  <si>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</si>
  <si>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</si>
  <si>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</si>
  <si>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</si>
  <si>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</si>
  <si>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</si>
  <si>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</si>
  <si>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Subtotal</t>
  </si>
  <si>
    <t>Woodward Park Pressure Reduction Alternatives</t>
  </si>
  <si>
    <t>Alternative 1:</t>
  </si>
  <si>
    <t>Increase Woodward Force Main</t>
  </si>
  <si>
    <t>Diameter to 15-inch</t>
  </si>
  <si>
    <t>Alternative 2:</t>
  </si>
  <si>
    <t>Extend Yosemite Square Force Man</t>
  </si>
  <si>
    <t>to Link 22</t>
  </si>
  <si>
    <t>Total By Alternative</t>
  </si>
  <si>
    <t xml:space="preserve">     Alternative 1</t>
  </si>
  <si>
    <t xml:space="preserve">     Alternative 2</t>
  </si>
  <si>
    <t xml:space="preserve">     Future Projects (Alternative 1)</t>
  </si>
  <si>
    <t>PFF</t>
  </si>
  <si>
    <t>Share</t>
  </si>
  <si>
    <t>(3) Assumes 100% of PFF CIP costs are financed, see Table 6 for financing assumptions.</t>
  </si>
  <si>
    <t>(4) Contingency estimate of 19% from City of Manteca.</t>
  </si>
  <si>
    <t>Soft Costs (19% of Construction Costs)</t>
  </si>
  <si>
    <t>See Note (4)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</si>
  <si>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</si>
  <si>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</si>
  <si>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</si>
  <si>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</si>
  <si>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</si>
  <si>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</si>
  <si>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</si>
  <si>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</si>
  <si>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</si>
  <si>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</si>
  <si>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</si>
  <si>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</si>
  <si>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</si>
  <si>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Subtotal 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</si>
  <si>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</si>
  <si>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</si>
  <si>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</si>
  <si>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</si>
  <si>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</si>
  <si>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</si>
  <si>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</si>
  <si>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(1) Alternative 1 for Woodward Park Pressure Reduction Alternatives was used.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</si>
  <si>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</si>
  <si>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</si>
  <si>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</si>
  <si>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</si>
  <si>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</si>
  <si>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</si>
  <si>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</si>
  <si>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</si>
  <si>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</si>
  <si>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</si>
  <si>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</si>
  <si>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</si>
  <si>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</si>
  <si>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</si>
  <si>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</si>
  <si>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</si>
  <si>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City Administrative Costs - Variable</t>
  </si>
  <si>
    <t>PFF Updates - 5 Year</t>
  </si>
  <si>
    <t>PFF Updates - Annual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</si>
  <si>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</si>
  <si>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</si>
  <si>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</si>
  <si>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</si>
  <si>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</si>
  <si>
    <t>Table (General Section 1)</t>
  </si>
  <si>
    <t>Table (General Section 21)</t>
  </si>
  <si>
    <t>PFF Program Update Costs</t>
  </si>
  <si>
    <t>Estimated</t>
  </si>
  <si>
    <t>Costs</t>
  </si>
  <si>
    <t>Storm Drainage</t>
  </si>
  <si>
    <t>Every 10 Years</t>
  </si>
  <si>
    <t xml:space="preserve">City Administrative Costs - On Going </t>
  </si>
  <si>
    <t>Master Plan Updates</t>
  </si>
  <si>
    <t xml:space="preserve">     Total PFF Admin Costs - Wastewater</t>
  </si>
  <si>
    <t>Table (General Section 2)</t>
  </si>
  <si>
    <t>PFF On-Going Administration</t>
  </si>
  <si>
    <t>See General Section</t>
  </si>
  <si>
    <t>Program Updates and On-Going Admin</t>
  </si>
  <si>
    <t>(5) City Admistrative Costs - Variable assumed to be 3.0% of PFF CIP costs.</t>
  </si>
  <si>
    <t>Land Use</t>
  </si>
  <si>
    <t xml:space="preserve">UR-P </t>
  </si>
  <si>
    <t>(a) per City GIS analysis</t>
  </si>
  <si>
    <t>(b) per Nolte master plan</t>
  </si>
  <si>
    <t>Acre</t>
  </si>
  <si>
    <t>EDU Factor (per acre)</t>
  </si>
  <si>
    <t>Dwelling Unit</t>
  </si>
  <si>
    <t>Units</t>
  </si>
  <si>
    <t>Units Per Acre</t>
  </si>
  <si>
    <t>EDU Factor (per unit)</t>
  </si>
  <si>
    <t>Total EDUs</t>
  </si>
  <si>
    <t>Units Developed</t>
  </si>
  <si>
    <t>GPD per EDU</t>
  </si>
  <si>
    <t>Estimated GPD</t>
  </si>
  <si>
    <t>Table 1.1</t>
  </si>
  <si>
    <t>EDU Factors</t>
  </si>
  <si>
    <t>Undeveloped Acres (a)</t>
  </si>
  <si>
    <t>Total Zone 25</t>
  </si>
  <si>
    <t>Total Zone 21</t>
  </si>
  <si>
    <t>Total Zone 22</t>
  </si>
  <si>
    <t>Total Zone 23</t>
  </si>
  <si>
    <t>Total Zone 24</t>
  </si>
  <si>
    <t>Table 1.2</t>
  </si>
  <si>
    <t>New Development - Total EDUs Developed</t>
  </si>
  <si>
    <t>Fee EDU (Units)</t>
  </si>
  <si>
    <t>Fee EDU (Acres)</t>
  </si>
  <si>
    <t>Fee Per EDU:</t>
  </si>
  <si>
    <t>Fee Per Acre</t>
  </si>
  <si>
    <t>Fee Per Units</t>
  </si>
  <si>
    <t>Sewer Zone</t>
  </si>
  <si>
    <t>ZONE 26</t>
  </si>
  <si>
    <t>Capacity Provided (EDUs = DU Basis)</t>
  </si>
  <si>
    <t>Capacity Provided (EDUs = Acre Basis)</t>
  </si>
  <si>
    <t>Working Draft - v4</t>
  </si>
  <si>
    <t>Wastwater Generation Factor (WGF)
(gpd/acre)  (b)</t>
  </si>
  <si>
    <t>Wastewater Generation Factor (WGF) Per Unit</t>
  </si>
  <si>
    <t>Table 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</si>
</sst>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9" x14ac:knownFonts="1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  <font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33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164" fontId="0" fillId="0" borderId="17" xfId="1" applyNumberFormat="1" applyFont="1" applyBorder="1"/>
    <xf numFmtId="164" fontId="3" fillId="0" borderId="0" xfId="1" applyNumberFormat="1" applyFont="1"/>
    <xf numFmtId="164" fontId="3" fillId="0" borderId="8" xfId="1" applyNumberFormat="1" applyFont="1" applyBorder="1"/>
    <xf numFmtId="164" fontId="3" fillId="0" borderId="6" xfId="1" applyNumberFormat="1" applyFont="1" applyBorder="1"/>
    <xf numFmtId="164" fontId="3" fillId="0" borderId="9" xfId="1" applyNumberFormat="1" applyFont="1" applyBorder="1"/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0" xfId="0" applyBorder="1"/>
    <xf numFmtId="0" fontId="0" fillId="0" borderId="5" xfId="0" applyBorder="1"/>
    <xf numFmtId="167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0" xfId="0" applyBorder="1"/>
    <xf numFmtId="167" fontId="0" fillId="0" borderId="0" xfId="0" applyNumberFormat="1" applyBorder="1"/>
    <xf numFmtId="167" fontId="0" fillId="0" borderId="13" xfId="0" applyNumberFormat="1" applyBorder="1"/>
    <xf numFmtId="0" fontId="1" fillId="0" borderId="12" xfId="0" applyFont="1" applyFill="1" applyBorder="1"/>
    <xf numFmtId="167" fontId="13" fillId="0" borderId="13" xfId="14" applyNumberFormat="1" applyBorder="1"/>
    <xf numFmtId="0" fontId="1" fillId="0" borderId="14" xfId="0" applyFont="1" applyFill="1" applyBorder="1"/>
    <xf numFmtId="167" fontId="13" fillId="0" borderId="15" xfId="14" applyNumberFormat="1" applyBorder="1"/>
    <xf numFmtId="164" fontId="1" fillId="0" borderId="0" xfId="0" applyNumberFormat="1" applyFont="1" applyBorder="1"/>
    <xf numFmtId="0" fontId="18" fillId="0" borderId="0" xfId="0" applyFont="1" applyAlignment="1">
      <alignment wrapText="1"/>
    </xf>
    <xf numFmtId="0" fontId="11" fillId="8" borderId="0" xfId="0" applyFont="1" applyFill="1" applyBorder="1" applyAlignment="1">
      <alignment horizont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 applyAlignment="1">
      <alignment horizontal="left"/>
    </xf>
    <xf numFmtId="172" fontId="12" fillId="0" borderId="0" xfId="0" applyNumberFormat="1" applyFont="1"/>
    <xf numFmtId="3" fontId="12" fillId="3" borderId="0" xfId="0" applyNumberFormat="1" applyFont="1" applyFill="1"/>
    <xf numFmtId="0" fontId="12" fillId="3" borderId="0" xfId="0" applyFont="1" applyFill="1"/>
    <xf numFmtId="43" fontId="12" fillId="3" borderId="0" xfId="1" applyFont="1" applyFill="1"/>
    <xf numFmtId="43" fontId="12" fillId="0" borderId="0" xfId="1" applyFont="1"/>
    <xf numFmtId="0" fontId="12" fillId="3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43" fontId="12" fillId="3" borderId="0" xfId="1" applyFont="1" applyFill="1" applyAlignment="1">
      <alignment horizontal="center"/>
    </xf>
    <xf numFmtId="43" fontId="12" fillId="0" borderId="0" xfId="1" applyFont="1" applyBorder="1"/>
    <xf numFmtId="164" fontId="12" fillId="0" borderId="0" xfId="1" applyNumberFormat="1" applyFont="1"/>
    <xf numFmtId="43" fontId="12" fillId="0" borderId="0" xfId="0" applyNumberFormat="1" applyFont="1"/>
    <xf numFmtId="43" fontId="12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0" fontId="18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/>
    <xf numFmtId="164" fontId="12" fillId="3" borderId="0" xfId="1" applyNumberFormat="1" applyFont="1" applyFill="1"/>
    <xf numFmtId="0" fontId="11" fillId="9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/>
    <xf numFmtId="3" fontId="12" fillId="0" borderId="16" xfId="0" applyNumberFormat="1" applyFont="1" applyBorder="1"/>
    <xf numFmtId="3" fontId="12" fillId="0" borderId="4" xfId="0" applyNumberFormat="1" applyFont="1" applyBorder="1"/>
    <xf numFmtId="164" fontId="12" fillId="0" borderId="4" xfId="1" applyNumberFormat="1" applyFont="1" applyBorder="1"/>
    <xf numFmtId="3" fontId="11" fillId="3" borderId="0" xfId="0" applyNumberFormat="1" applyFont="1" applyFill="1"/>
    <xf numFmtId="44" fontId="1" fillId="0" borderId="0" xfId="14" applyFont="1"/>
    <xf numFmtId="167" fontId="1" fillId="0" borderId="0" xfId="14" applyNumberFormat="1" applyFont="1"/>
    <xf numFmtId="0" fontId="11" fillId="0" borderId="8" xfId="0" applyFont="1" applyFill="1" applyBorder="1" applyAlignment="1">
      <alignment horizontal="left"/>
    </xf>
    <xf numFmtId="0" fontId="12" fillId="0" borderId="6" xfId="0" applyFont="1" applyBorder="1"/>
    <xf numFmtId="0" fontId="11" fillId="0" borderId="6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0" fontId="0" fillId="0" borderId="6" xfId="0" applyFill="1" applyBorder="1"/>
    <xf numFmtId="164" fontId="12" fillId="0" borderId="6" xfId="1" applyNumberFormat="1" applyFont="1" applyFill="1" applyBorder="1" applyAlignment="1">
      <alignment wrapText="1"/>
    </xf>
    <xf numFmtId="164" fontId="12" fillId="0" borderId="9" xfId="1" applyNumberFormat="1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wrapText="1"/>
    </xf>
    <xf numFmtId="172" fontId="11" fillId="9" borderId="4" xfId="0" applyNumberFormat="1" applyFont="1" applyFill="1" applyBorder="1" applyAlignment="1">
      <alignment horizontal="center" wrapText="1"/>
    </xf>
    <xf numFmtId="0" fontId="12" fillId="0" borderId="4" xfId="0" applyFont="1" applyBorder="1"/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>
      <selection activeCell="B15" sqref="B15"/>
    </sheetView>
  </sheetViews>
  <sheetFormatPr defaultRowHeight="12.75" x14ac:dyDescent="0.2"/>
  <cols>
    <col min="1" max="1" width="18.5703125" bestFit="1" customWidth="1"/>
    <col min="2" max="2" width="22.5703125" bestFit="1" customWidth="1"/>
  </cols>
  <sheetData>
    <row r="10" spans="1:2" x14ac:dyDescent="0.2">
      <c r="A10" t="s">
        <v>65</v>
      </c>
      <c r="B10" t="s">
        <v>58</v>
      </c>
    </row>
    <row r="12" spans="1:2" x14ac:dyDescent="0.2">
      <c r="A12" t="s">
        <v>72</v>
      </c>
      <c r="B12" t="s">
        <v>75</v>
      </c>
    </row>
    <row r="13" spans="1:2" x14ac:dyDescent="0.2">
      <c r="A13" t="s">
        <v>73</v>
      </c>
      <c r="B13" s="171" t="s">
        <v>488</v>
      </c>
    </row>
    <row r="14" spans="1:2" x14ac:dyDescent="0.2">
      <c r="A14" t="s">
        <v>74</v>
      </c>
      <c r="B14" s="172">
        <v>41113</v>
      </c>
    </row>
    <row r="17" spans="1:2" x14ac:dyDescent="0.2">
      <c r="A17" s="5" t="s">
        <v>63</v>
      </c>
    </row>
    <row r="18" spans="1:2" x14ac:dyDescent="0.2">
      <c r="A18" t="s">
        <v>64</v>
      </c>
      <c r="B18" t="s">
        <v>59</v>
      </c>
    </row>
    <row r="21" spans="1:2" x14ac:dyDescent="0.2">
      <c r="A21" t="s">
        <v>289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>
      <selection activeCell="B110" sqref="B110"/>
    </sheetView>
  </sheetViews>
  <sheetFormatPr defaultColWidth="11.42578125" defaultRowHeight="15.75" x14ac:dyDescent="0.25"/>
  <cols>
    <col min="1" max="1" width="51.5703125" style="130" bestFit="1" customWidth="1"/>
    <col min="2" max="2" width="17.28515625" style="130" bestFit="1" customWidth="1"/>
    <col min="3" max="3" width="14.28515625" style="130" customWidth="1"/>
    <col min="4" max="4" width="17.5703125" style="130" bestFit="1" customWidth="1"/>
    <col min="5" max="5" width="11.42578125" style="130" customWidth="1"/>
    <col min="6" max="6" width="13.28515625" style="130" customWidth="1"/>
    <col min="7" max="8" width="11.42578125" style="130" customWidth="1"/>
    <col min="9" max="9" width="48.7109375" style="130" customWidth="1"/>
    <col min="10" max="11" width="11.42578125" style="130" customWidth="1"/>
    <col min="12" max="12" width="16.5703125" style="130" bestFit="1" customWidth="1"/>
    <col min="13" max="13" width="11.42578125" style="130" customWidth="1"/>
    <col min="14" max="14" width="30.42578125" style="130" bestFit="1" customWidth="1"/>
    <col min="15" max="16384" width="11.42578125" style="130"/>
  </cols>
  <sheetData>
    <row r="1" spans="1:7" x14ac:dyDescent="0.25">
      <c r="A1" s="209" t="s">
        <v>399</v>
      </c>
      <c r="B1" s="51" t="str">
        <f>Assumptions!$B$12</f>
        <v>Internal</v>
      </c>
      <c r="C1"/>
      <c r="D1"/>
      <c r="G1" s="131" t="s">
        <v>167</v>
      </c>
    </row>
    <row r="2" spans="1:7" x14ac:dyDescent="0.25">
      <c r="A2" s="50" t="str">
        <f>Assumptions!B10</f>
        <v>City of Manteca</v>
      </c>
      <c r="B2" s="52" t="str">
        <f>Assumptions!$B$13</f>
        <v>Working Draft - v4</v>
      </c>
      <c r="C2"/>
      <c r="D2"/>
      <c r="G2" s="131"/>
    </row>
    <row r="3" spans="1:7" x14ac:dyDescent="0.25">
      <c r="A3" s="50" t="str">
        <f>Assumptions!B18</f>
        <v>PFF Sewer Collection Fee</v>
      </c>
      <c r="B3" s="53">
        <f>Assumptions!$B$14</f>
        <v>41113</v>
      </c>
      <c r="C3"/>
      <c r="D3"/>
      <c r="G3" s="131"/>
    </row>
    <row r="4" spans="1:7" x14ac:dyDescent="0.25">
      <c r="A4" s="209" t="s">
        <v>400</v>
      </c>
      <c r="B4"/>
      <c r="C4"/>
      <c r="D4"/>
      <c r="E4"/>
      <c r="G4" s="131"/>
    </row>
    <row r="5" spans="1:7" x14ac:dyDescent="0.25">
      <c r="D5" s="132"/>
      <c r="G5" s="131"/>
    </row>
    <row r="6" spans="1:7" x14ac:dyDescent="0.25">
      <c r="G6" s="131"/>
    </row>
    <row r="7" spans="1:7" x14ac:dyDescent="0.25">
      <c r="A7" s="133"/>
      <c r="G7" s="131"/>
    </row>
    <row r="8" spans="1:7" x14ac:dyDescent="0.25">
      <c r="A8" s="134"/>
      <c r="G8" s="131"/>
    </row>
    <row r="9" spans="1:7" x14ac:dyDescent="0.25">
      <c r="G9" s="131"/>
    </row>
    <row r="10" spans="1:7" x14ac:dyDescent="0.25">
      <c r="B10" s="135"/>
      <c r="G10" s="131"/>
    </row>
    <row r="11" spans="1:7" x14ac:dyDescent="0.25">
      <c r="D11" s="136"/>
      <c r="E11" s="136"/>
      <c r="F11" s="136"/>
      <c r="G11" s="131"/>
    </row>
    <row r="12" spans="1:7" x14ac:dyDescent="0.25">
      <c r="A12" s="213" t="s">
        <v>7</v>
      </c>
      <c r="B12" s="214" t="s">
        <v>168</v>
      </c>
      <c r="D12" s="136"/>
      <c r="E12" s="136"/>
      <c r="F12" s="136"/>
      <c r="G12" s="131"/>
    </row>
    <row r="13" spans="1:7" x14ac:dyDescent="0.25">
      <c r="A13" s="215"/>
      <c r="B13" s="215"/>
      <c r="C13" s="139"/>
      <c r="D13" s="140"/>
      <c r="E13" s="140"/>
      <c r="F13" s="136"/>
      <c r="G13" s="131"/>
    </row>
    <row r="14" spans="1:7" x14ac:dyDescent="0.25">
      <c r="A14" s="216" t="s">
        <v>296</v>
      </c>
      <c r="B14" s="217">
        <v>0.02</v>
      </c>
      <c r="D14" s="136"/>
      <c r="E14" s="136"/>
      <c r="F14" s="136"/>
      <c r="G14" s="131"/>
    </row>
    <row r="15" spans="1:7" x14ac:dyDescent="0.25">
      <c r="A15" s="216" t="s">
        <v>294</v>
      </c>
      <c r="B15" s="218">
        <v>30</v>
      </c>
      <c r="G15" s="131"/>
    </row>
    <row r="16" spans="1:7" x14ac:dyDescent="0.25">
      <c r="A16" s="216" t="s">
        <v>295</v>
      </c>
      <c r="B16" s="218">
        <v>1</v>
      </c>
      <c r="G16" s="131"/>
    </row>
    <row r="17" spans="1:7" x14ac:dyDescent="0.25">
      <c r="A17" s="216" t="s">
        <v>297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idden="1" x14ac:dyDescent="0.25">
      <c r="A18" s="216" t="s">
        <v>169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 x14ac:dyDescent="0.25">
      <c r="A19" s="216" t="s">
        <v>298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 x14ac:dyDescent="0.25">
      <c r="B20" s="142"/>
      <c r="C20" s="142"/>
      <c r="D20" s="142"/>
      <c r="E20" s="142"/>
      <c r="F20" s="142"/>
      <c r="G20" s="131"/>
    </row>
    <row r="21" spans="1:7" hidden="1" x14ac:dyDescent="0.25">
      <c r="A21" s="130" t="s">
        <v>170</v>
      </c>
      <c r="B21" s="142">
        <f>'2. Zone 24 CIP Costs'!E13</f>
        <v>4766282.7501152651</v>
      </c>
      <c r="C21" s="164"/>
      <c r="D21" s="164"/>
      <c r="G21" s="131"/>
    </row>
    <row r="22" spans="1:7" hidden="1" x14ac:dyDescent="0.25">
      <c r="B22" s="144"/>
      <c r="D22" s="212"/>
      <c r="G22" s="131"/>
    </row>
    <row r="23" spans="1:7" hidden="1" x14ac:dyDescent="0.25">
      <c r="A23" s="130" t="s">
        <v>171</v>
      </c>
      <c r="B23" s="142">
        <f>SUM(B21:B21)</f>
        <v>4766282.7501152651</v>
      </c>
      <c r="C23" s="145">
        <f>B23/B35</f>
        <v>1</v>
      </c>
      <c r="G23" s="131"/>
    </row>
    <row r="24" spans="1:7" hidden="1" x14ac:dyDescent="0.25">
      <c r="G24" s="131"/>
    </row>
    <row r="25" spans="1:7" hidden="1" x14ac:dyDescent="0.25">
      <c r="A25" s="130" t="s">
        <v>172</v>
      </c>
      <c r="B25" s="142"/>
      <c r="C25" s="142"/>
      <c r="D25" s="142"/>
      <c r="E25" s="142"/>
      <c r="F25" s="142"/>
      <c r="G25" s="131"/>
    </row>
    <row r="26" spans="1:7" hidden="1" x14ac:dyDescent="0.25">
      <c r="A26" s="130" t="s">
        <v>173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 x14ac:dyDescent="0.25">
      <c r="A27" s="130" t="s">
        <v>174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 x14ac:dyDescent="0.25">
      <c r="A28" s="143" t="s">
        <v>175</v>
      </c>
      <c r="B28" s="142">
        <f>B65+$B$35*C65</f>
        <v>0</v>
      </c>
      <c r="G28" s="131"/>
    </row>
    <row r="29" spans="1:7" hidden="1" x14ac:dyDescent="0.25">
      <c r="A29" s="130" t="s">
        <v>176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 x14ac:dyDescent="0.25">
      <c r="A30" s="130" t="s">
        <v>177</v>
      </c>
      <c r="B30" s="142">
        <f>B67+$B$35*C67</f>
        <v>0</v>
      </c>
      <c r="C30" s="145"/>
      <c r="G30" s="131"/>
    </row>
    <row r="31" spans="1:7" hidden="1" x14ac:dyDescent="0.25">
      <c r="A31" s="130" t="s">
        <v>178</v>
      </c>
      <c r="B31" s="142">
        <f>SUM(B69:B72)+$B$35*SUM(C69:C72)</f>
        <v>0</v>
      </c>
      <c r="C31" s="145"/>
      <c r="G31" s="131"/>
    </row>
    <row r="32" spans="1:7" hidden="1" x14ac:dyDescent="0.25">
      <c r="B32" s="144"/>
      <c r="C32" s="147"/>
      <c r="D32" s="142"/>
      <c r="E32" s="142"/>
      <c r="F32" s="142"/>
      <c r="G32" s="131"/>
    </row>
    <row r="33" spans="1:7" hidden="1" x14ac:dyDescent="0.25">
      <c r="A33" s="130" t="s">
        <v>179</v>
      </c>
      <c r="B33" s="142">
        <f>SUM(B25:B32)</f>
        <v>0</v>
      </c>
      <c r="C33" s="141">
        <f>B33/B35</f>
        <v>0</v>
      </c>
      <c r="G33" s="131"/>
    </row>
    <row r="34" spans="1:7" hidden="1" x14ac:dyDescent="0.25">
      <c r="B34" s="144"/>
      <c r="C34" s="141"/>
      <c r="G34" s="131"/>
    </row>
    <row r="35" spans="1:7" hidden="1" x14ac:dyDescent="0.25">
      <c r="A35" s="142" t="s">
        <v>180</v>
      </c>
      <c r="B35" s="142">
        <f>(+B23+B74)/(1-C74)</f>
        <v>4766282.7501152651</v>
      </c>
      <c r="C35" s="141">
        <f>SUM(C23:C34)</f>
        <v>1</v>
      </c>
      <c r="G35" s="131"/>
    </row>
    <row r="36" spans="1:7" hidden="1" x14ac:dyDescent="0.25">
      <c r="G36" s="131"/>
    </row>
    <row r="37" spans="1:7" hidden="1" x14ac:dyDescent="0.25">
      <c r="A37" s="130" t="s">
        <v>181</v>
      </c>
      <c r="B37" s="142">
        <f>B23+B33</f>
        <v>4766282.7501152651</v>
      </c>
      <c r="D37" s="142"/>
      <c r="E37" s="142"/>
      <c r="F37" s="142"/>
      <c r="G37" s="131"/>
    </row>
    <row r="38" spans="1:7" hidden="1" x14ac:dyDescent="0.25">
      <c r="G38" s="131"/>
    </row>
    <row r="39" spans="1:7" hidden="1" x14ac:dyDescent="0.25">
      <c r="A39" s="130" t="s">
        <v>182</v>
      </c>
      <c r="B39" s="142">
        <f>IF(MOD(B35,5000)&gt;0,TRUNC(B35/5000)*5000+5000,B35)</f>
        <v>4770000</v>
      </c>
      <c r="C39" s="142"/>
      <c r="G39" s="131"/>
    </row>
    <row r="40" spans="1:7" hidden="1" x14ac:dyDescent="0.25">
      <c r="A40" s="139" t="s">
        <v>183</v>
      </c>
      <c r="B40" s="142"/>
      <c r="C40" s="142"/>
      <c r="G40" s="131"/>
    </row>
    <row r="41" spans="1:7" hidden="1" x14ac:dyDescent="0.25">
      <c r="G41" s="131"/>
    </row>
    <row r="42" spans="1:7" hidden="1" x14ac:dyDescent="0.25">
      <c r="A42" s="130" t="s">
        <v>290</v>
      </c>
      <c r="G42" s="131"/>
    </row>
    <row r="43" spans="1:7" hidden="1" x14ac:dyDescent="0.25">
      <c r="G43" s="131"/>
    </row>
    <row r="44" spans="1:7" hidden="1" x14ac:dyDescent="0.25">
      <c r="G44" s="131"/>
    </row>
    <row r="45" spans="1:7" hidden="1" x14ac:dyDescent="0.25">
      <c r="A45" s="130" t="s">
        <v>288</v>
      </c>
      <c r="G45" s="131"/>
    </row>
    <row r="46" spans="1:7" hidden="1" x14ac:dyDescent="0.25">
      <c r="G46" s="131"/>
    </row>
    <row r="47" spans="1:7" hidden="1" x14ac:dyDescent="0.25">
      <c r="A47" s="148"/>
      <c r="G47" s="131"/>
    </row>
    <row r="48" spans="1:7" hidden="1" x14ac:dyDescent="0.25"/>
    <row r="49" spans="1:7" hidden="1" x14ac:dyDescent="0.25">
      <c r="A49" s="137"/>
      <c r="B49" s="137"/>
      <c r="C49" s="137"/>
      <c r="D49" s="137"/>
      <c r="E49" s="137"/>
      <c r="F49" s="137"/>
      <c r="G49" s="137"/>
    </row>
    <row r="50" spans="1:7" hidden="1" x14ac:dyDescent="0.25"/>
    <row r="51" spans="1:7" hidden="1" x14ac:dyDescent="0.25">
      <c r="A51" s="130" t="s">
        <v>184</v>
      </c>
    </row>
    <row r="52" spans="1:7" hidden="1" x14ac:dyDescent="0.25"/>
    <row r="53" spans="1:7" hidden="1" x14ac:dyDescent="0.25">
      <c r="A53" s="130" t="s">
        <v>185</v>
      </c>
    </row>
    <row r="54" spans="1:7" hidden="1" x14ac:dyDescent="0.25"/>
    <row r="55" spans="1:7" hidden="1" x14ac:dyDescent="0.25"/>
    <row r="56" spans="1:7" hidden="1" x14ac:dyDescent="0.25">
      <c r="A56" s="149"/>
    </row>
    <row r="57" spans="1:7" hidden="1" x14ac:dyDescent="0.25">
      <c r="A57" s="150"/>
    </row>
    <row r="58" spans="1:7" hidden="1" x14ac:dyDescent="0.25"/>
    <row r="59" spans="1:7" hidden="1" x14ac:dyDescent="0.25"/>
    <row r="60" spans="1:7" hidden="1" x14ac:dyDescent="0.25">
      <c r="A60" s="151"/>
      <c r="B60" s="151" t="s">
        <v>186</v>
      </c>
      <c r="C60" s="151" t="s">
        <v>187</v>
      </c>
      <c r="D60" s="152"/>
    </row>
    <row r="61" spans="1:7" hidden="1" x14ac:dyDescent="0.25">
      <c r="A61" s="138" t="s">
        <v>188</v>
      </c>
      <c r="B61" s="138" t="s">
        <v>189</v>
      </c>
      <c r="C61" s="138" t="s">
        <v>189</v>
      </c>
      <c r="D61" s="138" t="s">
        <v>190</v>
      </c>
    </row>
    <row r="62" spans="1:7" hidden="1" x14ac:dyDescent="0.25"/>
    <row r="63" spans="1:7" hidden="1" x14ac:dyDescent="0.25">
      <c r="A63" s="130" t="s">
        <v>191</v>
      </c>
      <c r="B63" s="153">
        <v>0</v>
      </c>
      <c r="C63" s="154">
        <v>0</v>
      </c>
      <c r="D63" s="130" t="s">
        <v>192</v>
      </c>
    </row>
    <row r="64" spans="1:7" hidden="1" x14ac:dyDescent="0.25">
      <c r="A64" s="130" t="s">
        <v>193</v>
      </c>
      <c r="B64" s="153">
        <v>0</v>
      </c>
      <c r="C64" s="155">
        <v>0</v>
      </c>
      <c r="D64" s="130" t="s">
        <v>194</v>
      </c>
    </row>
    <row r="65" spans="1:6" hidden="1" x14ac:dyDescent="0.25">
      <c r="A65" s="130" t="s">
        <v>195</v>
      </c>
      <c r="B65" s="153">
        <v>0</v>
      </c>
      <c r="C65" s="155">
        <v>0</v>
      </c>
    </row>
    <row r="66" spans="1:6" hidden="1" x14ac:dyDescent="0.25">
      <c r="A66" s="130" t="s">
        <v>196</v>
      </c>
      <c r="B66" s="156">
        <v>0</v>
      </c>
      <c r="C66" s="155">
        <v>0</v>
      </c>
      <c r="D66" s="130" t="s">
        <v>197</v>
      </c>
    </row>
    <row r="67" spans="1:6" hidden="1" x14ac:dyDescent="0.25">
      <c r="A67" s="130" t="s">
        <v>198</v>
      </c>
      <c r="B67" s="157">
        <v>0</v>
      </c>
      <c r="C67" s="157">
        <v>0</v>
      </c>
    </row>
    <row r="68" spans="1:6" hidden="1" x14ac:dyDescent="0.25">
      <c r="A68" s="130" t="s">
        <v>199</v>
      </c>
      <c r="B68" s="142"/>
      <c r="C68" s="158"/>
    </row>
    <row r="69" spans="1:6" hidden="1" x14ac:dyDescent="0.25">
      <c r="A69" s="130" t="s">
        <v>200</v>
      </c>
      <c r="B69" s="156">
        <v>0</v>
      </c>
      <c r="C69" s="157">
        <v>0</v>
      </c>
    </row>
    <row r="70" spans="1:6" hidden="1" x14ac:dyDescent="0.25">
      <c r="A70" s="130" t="s">
        <v>201</v>
      </c>
      <c r="B70" s="156">
        <v>0</v>
      </c>
      <c r="C70" s="157">
        <v>0</v>
      </c>
    </row>
    <row r="71" spans="1:6" hidden="1" x14ac:dyDescent="0.25">
      <c r="A71" s="130" t="s">
        <v>202</v>
      </c>
      <c r="B71" s="156">
        <v>0</v>
      </c>
      <c r="C71" s="157">
        <v>0</v>
      </c>
    </row>
    <row r="72" spans="1:6" hidden="1" x14ac:dyDescent="0.25">
      <c r="A72" s="130" t="s">
        <v>203</v>
      </c>
      <c r="B72" s="159">
        <f>0.1*(B69+B70+B71)</f>
        <v>0</v>
      </c>
      <c r="C72" s="155">
        <v>0</v>
      </c>
    </row>
    <row r="73" spans="1:6" hidden="1" x14ac:dyDescent="0.25">
      <c r="B73" s="160" t="s">
        <v>204</v>
      </c>
      <c r="C73" s="160" t="s">
        <v>204</v>
      </c>
    </row>
    <row r="74" spans="1:6" hidden="1" x14ac:dyDescent="0.25">
      <c r="B74" s="142">
        <f>SUM(B62:B73)</f>
        <v>0</v>
      </c>
      <c r="C74" s="141">
        <f>SUM(C62:C73)</f>
        <v>0</v>
      </c>
      <c r="F74" s="161"/>
    </row>
    <row r="75" spans="1:6" hidden="1" x14ac:dyDescent="0.25">
      <c r="B75" s="142"/>
      <c r="C75" s="141"/>
      <c r="F75" s="161"/>
    </row>
    <row r="76" spans="1:6" hidden="1" x14ac:dyDescent="0.25">
      <c r="B76" s="142"/>
      <c r="F76" s="162"/>
    </row>
    <row r="77" spans="1:6" hidden="1" x14ac:dyDescent="0.25">
      <c r="A77" s="130" t="s">
        <v>205</v>
      </c>
      <c r="B77" s="142">
        <f>B23</f>
        <v>4766282.7501152651</v>
      </c>
      <c r="C77" s="163">
        <f>B77/$B$80</f>
        <v>1</v>
      </c>
      <c r="F77" s="164"/>
    </row>
    <row r="78" spans="1:6" hidden="1" x14ac:dyDescent="0.25">
      <c r="A78" s="130" t="s">
        <v>206</v>
      </c>
      <c r="B78" s="142">
        <f>FIXED</f>
        <v>0</v>
      </c>
      <c r="C78" s="163">
        <f>B78/$B$80</f>
        <v>0</v>
      </c>
      <c r="F78" s="164"/>
    </row>
    <row r="79" spans="1:6" hidden="1" x14ac:dyDescent="0.25">
      <c r="A79" s="130" t="s">
        <v>207</v>
      </c>
      <c r="B79" s="165">
        <f>C74*B35</f>
        <v>0</v>
      </c>
      <c r="C79" s="166">
        <f>B79/$B$80</f>
        <v>0</v>
      </c>
      <c r="F79" s="162"/>
    </row>
    <row r="80" spans="1:6" hidden="1" x14ac:dyDescent="0.25">
      <c r="A80" s="130" t="s">
        <v>208</v>
      </c>
      <c r="B80" s="162">
        <f>SUM(B77:B79)</f>
        <v>4766282.7501152651</v>
      </c>
      <c r="C80" s="167">
        <f>SUM(C77:C79)</f>
        <v>1</v>
      </c>
    </row>
    <row r="81" spans="1:6" hidden="1" x14ac:dyDescent="0.25">
      <c r="D81" s="164"/>
    </row>
    <row r="82" spans="1:6" hidden="1" x14ac:dyDescent="0.25">
      <c r="D82" s="164"/>
    </row>
    <row r="83" spans="1:6" hidden="1" x14ac:dyDescent="0.25">
      <c r="A83" s="132" t="s">
        <v>11</v>
      </c>
      <c r="D83" s="164"/>
    </row>
    <row r="84" spans="1:6" hidden="1" x14ac:dyDescent="0.25">
      <c r="A84" s="130" t="s">
        <v>209</v>
      </c>
    </row>
    <row r="85" spans="1:6" hidden="1" x14ac:dyDescent="0.25">
      <c r="A85" s="130" t="s">
        <v>210</v>
      </c>
    </row>
    <row r="86" spans="1:6" hidden="1" x14ac:dyDescent="0.25">
      <c r="F86" s="164"/>
    </row>
    <row r="87" spans="1:6" hidden="1" x14ac:dyDescent="0.25">
      <c r="A87" s="152"/>
      <c r="C87" s="168" t="s">
        <v>211</v>
      </c>
      <c r="D87" s="169"/>
    </row>
    <row r="88" spans="1:6" hidden="1" x14ac:dyDescent="0.25">
      <c r="A88" s="151"/>
      <c r="B88" s="131" t="s">
        <v>212</v>
      </c>
      <c r="C88" s="151" t="s">
        <v>186</v>
      </c>
      <c r="D88" s="151" t="s">
        <v>213</v>
      </c>
    </row>
    <row r="89" spans="1:6" hidden="1" x14ac:dyDescent="0.25">
      <c r="A89" s="138" t="s">
        <v>214</v>
      </c>
      <c r="B89" s="170" t="s">
        <v>215</v>
      </c>
      <c r="C89" s="138" t="s">
        <v>189</v>
      </c>
      <c r="D89" s="138" t="s">
        <v>189</v>
      </c>
    </row>
    <row r="90" spans="1:6" hidden="1" x14ac:dyDescent="0.25"/>
    <row r="91" spans="1:6" hidden="1" x14ac:dyDescent="0.25">
      <c r="A91" s="152" t="s">
        <v>216</v>
      </c>
      <c r="B91" s="142">
        <v>15000</v>
      </c>
      <c r="C91" s="142">
        <v>15000</v>
      </c>
      <c r="D91" s="141">
        <v>0</v>
      </c>
    </row>
    <row r="92" spans="1:6" hidden="1" x14ac:dyDescent="0.25">
      <c r="A92" s="152" t="s">
        <v>217</v>
      </c>
      <c r="B92" s="141">
        <v>0.02</v>
      </c>
      <c r="C92" s="142">
        <v>0</v>
      </c>
      <c r="D92" s="141">
        <v>0.02</v>
      </c>
    </row>
    <row r="93" spans="1:6" hidden="1" x14ac:dyDescent="0.25">
      <c r="A93" s="152" t="s">
        <v>218</v>
      </c>
      <c r="B93" s="141">
        <v>0.01</v>
      </c>
      <c r="C93" s="142">
        <v>20000</v>
      </c>
      <c r="D93" s="141">
        <v>0.01</v>
      </c>
    </row>
    <row r="94" spans="1:6" hidden="1" x14ac:dyDescent="0.25">
      <c r="A94" s="152" t="s">
        <v>219</v>
      </c>
      <c r="B94" s="141">
        <v>5.0000000000000001E-3</v>
      </c>
      <c r="C94" s="142">
        <v>70000</v>
      </c>
      <c r="D94" s="141">
        <v>5.0000000000000001E-3</v>
      </c>
    </row>
    <row r="95" spans="1:6" hidden="1" x14ac:dyDescent="0.25"/>
    <row r="96" spans="1:6" hidden="1" x14ac:dyDescent="0.25">
      <c r="A96" s="130" t="s">
        <v>220</v>
      </c>
    </row>
    <row r="97" spans="1:2" hidden="1" x14ac:dyDescent="0.25">
      <c r="A97" s="130" t="s">
        <v>221</v>
      </c>
    </row>
    <row r="98" spans="1:2" hidden="1" x14ac:dyDescent="0.25"/>
    <row r="101" spans="1:2" x14ac:dyDescent="0.25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7"/>
  <sheetViews>
    <sheetView workbookViewId="0">
      <selection activeCell="G52" sqref="G52"/>
    </sheetView>
  </sheetViews>
  <sheetFormatPr defaultRowHeight="12.75" x14ac:dyDescent="0.2"/>
  <cols>
    <col min="1" max="1" width="30.140625" bestFit="1" customWidth="1"/>
    <col min="5" max="5" width="16.28515625" customWidth="1"/>
  </cols>
  <sheetData>
    <row r="1" spans="1:5" x14ac:dyDescent="0.2">
      <c r="A1" s="209" t="s">
        <v>440</v>
      </c>
      <c r="E1" s="51" t="str">
        <f>Assumptions!$B$12</f>
        <v>Internal</v>
      </c>
    </row>
    <row r="2" spans="1:5" x14ac:dyDescent="0.2">
      <c r="A2" s="50" t="str">
        <f>Assumptions!B10</f>
        <v>City of Manteca</v>
      </c>
      <c r="E2" s="52" t="str">
        <f>Assumptions!$B$13</f>
        <v>Working Draft - v4</v>
      </c>
    </row>
    <row r="3" spans="1:5" x14ac:dyDescent="0.2">
      <c r="A3" s="50" t="str">
        <f>Assumptions!B18</f>
        <v>PFF Sewer Collection Fee</v>
      </c>
      <c r="E3" s="53">
        <f>Assumptions!$B$14</f>
        <v>41113</v>
      </c>
    </row>
    <row r="4" spans="1:5" x14ac:dyDescent="0.2">
      <c r="A4" s="209" t="s">
        <v>287</v>
      </c>
    </row>
    <row r="7" spans="1:5" x14ac:dyDescent="0.2">
      <c r="E7" s="249" t="s">
        <v>443</v>
      </c>
    </row>
    <row r="8" spans="1:5" x14ac:dyDescent="0.2">
      <c r="A8" s="224" t="s">
        <v>266</v>
      </c>
      <c r="B8" s="237"/>
      <c r="E8" s="6" t="s">
        <v>444</v>
      </c>
    </row>
    <row r="9" spans="1:5" x14ac:dyDescent="0.2">
      <c r="A9" s="96"/>
      <c r="B9" s="237"/>
    </row>
    <row r="10" spans="1:5" x14ac:dyDescent="0.2">
      <c r="A10" s="171" t="s">
        <v>433</v>
      </c>
      <c r="E10" s="228">
        <f>'Sum 3. PFF Update Costs'!F20</f>
        <v>225000</v>
      </c>
    </row>
    <row r="11" spans="1:5" x14ac:dyDescent="0.2">
      <c r="A11" s="171" t="s">
        <v>434</v>
      </c>
      <c r="E11" s="228">
        <f>'Sum 3. PFF Update Costs'!F37</f>
        <v>287500</v>
      </c>
    </row>
    <row r="12" spans="1:5" x14ac:dyDescent="0.2">
      <c r="A12" s="229" t="s">
        <v>448</v>
      </c>
      <c r="E12" s="228">
        <f>'Sum 3. PFF Update Costs'!F50</f>
        <v>1593750</v>
      </c>
    </row>
    <row r="13" spans="1:5" x14ac:dyDescent="0.2">
      <c r="A13" s="229" t="s">
        <v>447</v>
      </c>
      <c r="E13" s="242">
        <f>'Sum 2. City Admin Costs Ongoing'!E15</f>
        <v>5062500</v>
      </c>
    </row>
    <row r="14" spans="1:5" x14ac:dyDescent="0.2">
      <c r="A14" s="171" t="s">
        <v>449</v>
      </c>
      <c r="E14" s="228">
        <f>SUM(E10:E13)</f>
        <v>7168750</v>
      </c>
    </row>
    <row r="16" spans="1:5" x14ac:dyDescent="0.2">
      <c r="A16" s="224" t="s">
        <v>445</v>
      </c>
      <c r="B16" s="237"/>
    </row>
    <row r="17" spans="1:5" x14ac:dyDescent="0.2">
      <c r="A17" s="96"/>
      <c r="B17" s="237"/>
    </row>
    <row r="18" spans="1:5" x14ac:dyDescent="0.2">
      <c r="A18" s="171" t="s">
        <v>433</v>
      </c>
      <c r="E18" s="228">
        <f>'Sum 3. PFF Update Costs'!F21</f>
        <v>225000</v>
      </c>
    </row>
    <row r="19" spans="1:5" x14ac:dyDescent="0.2">
      <c r="A19" s="171" t="s">
        <v>434</v>
      </c>
      <c r="E19" s="228">
        <f>'Sum 3. PFF Update Costs'!F38</f>
        <v>287500</v>
      </c>
    </row>
    <row r="20" spans="1:5" x14ac:dyDescent="0.2">
      <c r="A20" s="229" t="s">
        <v>448</v>
      </c>
      <c r="E20" s="228">
        <f>'Sum 3. PFF Update Costs'!F58</f>
        <v>656250</v>
      </c>
    </row>
    <row r="21" spans="1:5" x14ac:dyDescent="0.2">
      <c r="A21" s="229" t="s">
        <v>447</v>
      </c>
      <c r="E21" s="242">
        <f>'Sum 2. City Admin Costs Ongoing'!E16</f>
        <v>5062500</v>
      </c>
    </row>
    <row r="22" spans="1:5" x14ac:dyDescent="0.2">
      <c r="A22" s="171" t="s">
        <v>435</v>
      </c>
      <c r="E22" s="228">
        <f>SUM(E18:E21)</f>
        <v>6231250</v>
      </c>
    </row>
    <row r="24" spans="1:5" x14ac:dyDescent="0.2">
      <c r="A24" s="224" t="s">
        <v>269</v>
      </c>
      <c r="B24" s="237"/>
    </row>
    <row r="25" spans="1:5" x14ac:dyDescent="0.2">
      <c r="A25" s="96"/>
      <c r="B25" s="237"/>
    </row>
    <row r="26" spans="1:5" x14ac:dyDescent="0.2">
      <c r="A26" s="171" t="s">
        <v>433</v>
      </c>
      <c r="E26" s="228">
        <f>'Sum 3. PFF Update Costs'!F23</f>
        <v>225000</v>
      </c>
    </row>
    <row r="27" spans="1:5" x14ac:dyDescent="0.2">
      <c r="A27" s="171" t="s">
        <v>434</v>
      </c>
      <c r="E27" s="228">
        <f>'Sum 3. PFF Update Costs'!F40</f>
        <v>287500</v>
      </c>
    </row>
    <row r="28" spans="1:5" x14ac:dyDescent="0.2">
      <c r="A28" s="229" t="s">
        <v>448</v>
      </c>
      <c r="E28" s="228">
        <f>'Sum 3. PFF Update Costs'!F66</f>
        <v>1406250</v>
      </c>
    </row>
    <row r="29" spans="1:5" x14ac:dyDescent="0.2">
      <c r="A29" s="229" t="s">
        <v>447</v>
      </c>
      <c r="E29" s="242">
        <f>'Sum 2. City Admin Costs Ongoing'!E18</f>
        <v>5062500</v>
      </c>
    </row>
    <row r="30" spans="1:5" x14ac:dyDescent="0.2">
      <c r="A30" s="171" t="s">
        <v>435</v>
      </c>
      <c r="E30" s="228">
        <f>SUM(E26:E29)</f>
        <v>6981250</v>
      </c>
    </row>
    <row r="32" spans="1:5" x14ac:dyDescent="0.2">
      <c r="A32" s="224" t="s">
        <v>268</v>
      </c>
      <c r="B32" s="237"/>
    </row>
    <row r="33" spans="1:5" x14ac:dyDescent="0.2">
      <c r="A33" s="96"/>
      <c r="B33" s="237"/>
    </row>
    <row r="34" spans="1:5" x14ac:dyDescent="0.2">
      <c r="A34" s="171" t="s">
        <v>433</v>
      </c>
      <c r="E34" s="228">
        <f>'Sum 3. PFF Update Costs'!F22</f>
        <v>225000</v>
      </c>
    </row>
    <row r="35" spans="1:5" x14ac:dyDescent="0.2">
      <c r="A35" s="171" t="s">
        <v>434</v>
      </c>
      <c r="E35" s="228">
        <f>'Sum 3. PFF Update Costs'!F39</f>
        <v>287500</v>
      </c>
    </row>
    <row r="36" spans="1:5" x14ac:dyDescent="0.2">
      <c r="A36" s="229" t="s">
        <v>448</v>
      </c>
      <c r="E36" s="228">
        <f>'Sum 3. PFF Update Costs'!F74</f>
        <v>1687500</v>
      </c>
    </row>
    <row r="37" spans="1:5" x14ac:dyDescent="0.2">
      <c r="A37" s="229" t="s">
        <v>447</v>
      </c>
      <c r="E37" s="242">
        <f>'Sum 2. City Admin Costs Ongoing'!E17</f>
        <v>5062500</v>
      </c>
    </row>
    <row r="38" spans="1:5" x14ac:dyDescent="0.2">
      <c r="A38" s="171" t="s">
        <v>435</v>
      </c>
      <c r="E38" s="228">
        <f>SUM(E34:E37)</f>
        <v>7262500</v>
      </c>
    </row>
    <row r="41" spans="1:5" x14ac:dyDescent="0.2">
      <c r="A41" s="224" t="s">
        <v>9</v>
      </c>
      <c r="B41" s="237"/>
    </row>
    <row r="42" spans="1:5" x14ac:dyDescent="0.2">
      <c r="A42" s="96"/>
      <c r="B42" s="237"/>
    </row>
    <row r="43" spans="1:5" x14ac:dyDescent="0.2">
      <c r="A43" s="171" t="s">
        <v>433</v>
      </c>
      <c r="E43" s="274">
        <f>E10+E18+E26+E34</f>
        <v>900000</v>
      </c>
    </row>
    <row r="44" spans="1:5" x14ac:dyDescent="0.2">
      <c r="A44" s="171" t="s">
        <v>434</v>
      </c>
      <c r="E44" s="274">
        <f t="shared" ref="E44:E46" si="0">E11+E19+E27+E35</f>
        <v>1150000</v>
      </c>
    </row>
    <row r="45" spans="1:5" x14ac:dyDescent="0.2">
      <c r="A45" s="229" t="s">
        <v>448</v>
      </c>
      <c r="E45" s="274">
        <f t="shared" si="0"/>
        <v>5343750</v>
      </c>
    </row>
    <row r="46" spans="1:5" x14ac:dyDescent="0.2">
      <c r="A46" s="229" t="s">
        <v>447</v>
      </c>
      <c r="E46" s="242">
        <f t="shared" si="0"/>
        <v>20250000</v>
      </c>
    </row>
    <row r="47" spans="1:5" x14ac:dyDescent="0.2">
      <c r="A47" s="171" t="s">
        <v>435</v>
      </c>
      <c r="E47" s="228">
        <f>SUM(E43:E46)</f>
        <v>27643750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7"/>
  <sheetViews>
    <sheetView zoomScale="75" workbookViewId="0">
      <selection activeCell="G52" sqref="G52"/>
    </sheetView>
  </sheetViews>
  <sheetFormatPr defaultRowHeight="12.75" x14ac:dyDescent="0.2"/>
  <cols>
    <col min="1" max="1" width="41.28515625" customWidth="1"/>
    <col min="3" max="3" width="12.28515625" bestFit="1" customWidth="1"/>
    <col min="4" max="4" width="9.7109375" bestFit="1" customWidth="1"/>
    <col min="5" max="5" width="16.140625" bestFit="1" customWidth="1"/>
    <col min="6" max="6" width="9.7109375" bestFit="1" customWidth="1"/>
    <col min="7" max="7" width="11.285156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9" x14ac:dyDescent="0.2">
      <c r="A1" s="209" t="s">
        <v>450</v>
      </c>
      <c r="E1" s="51" t="str">
        <f>Assumptions!$B$12</f>
        <v>Internal</v>
      </c>
    </row>
    <row r="2" spans="1:9" x14ac:dyDescent="0.2">
      <c r="A2" s="50" t="str">
        <f>Assumptions!B10</f>
        <v>City of Manteca</v>
      </c>
      <c r="E2" s="52" t="str">
        <f>Assumptions!$B$13</f>
        <v>Working Draft - v4</v>
      </c>
    </row>
    <row r="3" spans="1:9" x14ac:dyDescent="0.2">
      <c r="A3" s="209" t="s">
        <v>451</v>
      </c>
      <c r="E3" s="53">
        <f>Assumptions!$B$14</f>
        <v>41113</v>
      </c>
    </row>
    <row r="4" spans="1:9" x14ac:dyDescent="0.2">
      <c r="A4" s="50" t="s">
        <v>287</v>
      </c>
    </row>
    <row r="6" spans="1:9" x14ac:dyDescent="0.2">
      <c r="C6" s="4"/>
      <c r="D6" s="4"/>
      <c r="E6" s="4" t="s">
        <v>47</v>
      </c>
    </row>
    <row r="7" spans="1:9" x14ac:dyDescent="0.2">
      <c r="B7" s="249" t="s">
        <v>260</v>
      </c>
      <c r="C7" s="4" t="s">
        <v>260</v>
      </c>
      <c r="D7" s="185" t="s">
        <v>261</v>
      </c>
      <c r="E7" s="4" t="s">
        <v>262</v>
      </c>
      <c r="F7" s="186"/>
      <c r="G7" s="186"/>
      <c r="H7" s="186"/>
    </row>
    <row r="8" spans="1:9" x14ac:dyDescent="0.2">
      <c r="A8" s="5" t="s">
        <v>7</v>
      </c>
      <c r="B8" s="6" t="s">
        <v>404</v>
      </c>
      <c r="C8" s="6" t="s">
        <v>5</v>
      </c>
      <c r="D8" s="255" t="s">
        <v>388</v>
      </c>
      <c r="E8" s="6" t="s">
        <v>5</v>
      </c>
      <c r="F8" s="185"/>
      <c r="G8" s="185"/>
      <c r="H8" s="186"/>
    </row>
    <row r="9" spans="1:9" x14ac:dyDescent="0.2">
      <c r="D9" s="186"/>
      <c r="F9" s="186"/>
      <c r="G9" s="186"/>
      <c r="H9" s="186"/>
    </row>
    <row r="10" spans="1:9" x14ac:dyDescent="0.2">
      <c r="A10" t="s">
        <v>263</v>
      </c>
      <c r="B10">
        <v>3</v>
      </c>
      <c r="C10" s="187">
        <v>130000</v>
      </c>
      <c r="D10" s="188">
        <v>50</v>
      </c>
      <c r="E10" s="187">
        <f>D10*C10*B10</f>
        <v>19500000</v>
      </c>
      <c r="F10" s="189"/>
      <c r="G10" s="189"/>
      <c r="H10" s="186"/>
      <c r="I10" s="190"/>
    </row>
    <row r="11" spans="1:9" x14ac:dyDescent="0.2">
      <c r="A11" t="s">
        <v>264</v>
      </c>
      <c r="C11" s="187">
        <v>15000</v>
      </c>
      <c r="D11" s="188">
        <v>50</v>
      </c>
      <c r="E11" s="187">
        <f>D11*C11</f>
        <v>750000</v>
      </c>
      <c r="F11" s="189"/>
      <c r="G11" s="189"/>
      <c r="H11" s="186"/>
      <c r="I11" s="190"/>
    </row>
    <row r="12" spans="1:9" x14ac:dyDescent="0.2">
      <c r="C12" s="191"/>
      <c r="D12" s="188"/>
      <c r="E12" s="191"/>
      <c r="F12" s="189"/>
      <c r="G12" s="189"/>
      <c r="H12" s="186"/>
      <c r="I12" s="190"/>
    </row>
    <row r="13" spans="1:9" x14ac:dyDescent="0.2">
      <c r="A13" t="s">
        <v>265</v>
      </c>
      <c r="C13" s="192">
        <f>SUM(C9:C12)</f>
        <v>145000</v>
      </c>
      <c r="D13" s="193"/>
      <c r="E13" s="192">
        <f>SUM(E9:E12)</f>
        <v>20250000</v>
      </c>
      <c r="F13" s="194"/>
      <c r="G13" s="194"/>
      <c r="H13" s="186"/>
      <c r="I13" s="190"/>
    </row>
    <row r="14" spans="1:9" x14ac:dyDescent="0.2">
      <c r="C14" s="195"/>
      <c r="D14" s="193"/>
      <c r="E14" s="192"/>
      <c r="F14" s="194"/>
      <c r="G14" s="186"/>
      <c r="H14" s="186"/>
      <c r="I14" s="190"/>
    </row>
    <row r="15" spans="1:9" x14ac:dyDescent="0.2">
      <c r="A15" t="s">
        <v>266</v>
      </c>
      <c r="B15" s="196">
        <v>0.25</v>
      </c>
      <c r="C15" s="195"/>
      <c r="D15" s="194"/>
      <c r="E15" s="192">
        <f>B15*$E$13</f>
        <v>5062500</v>
      </c>
      <c r="F15" s="194"/>
      <c r="G15" s="189"/>
      <c r="H15" s="186"/>
      <c r="I15" s="190"/>
    </row>
    <row r="16" spans="1:9" x14ac:dyDescent="0.2">
      <c r="A16" t="s">
        <v>267</v>
      </c>
      <c r="B16" s="196">
        <v>0.25</v>
      </c>
      <c r="C16" s="195"/>
      <c r="D16" s="194"/>
      <c r="E16" s="192">
        <f>B16*$E$13</f>
        <v>5062500</v>
      </c>
      <c r="F16" s="194"/>
      <c r="G16" s="189"/>
      <c r="H16" s="186"/>
      <c r="I16" s="190"/>
    </row>
    <row r="17" spans="1:9" x14ac:dyDescent="0.2">
      <c r="A17" t="s">
        <v>268</v>
      </c>
      <c r="B17" s="196">
        <v>0.25</v>
      </c>
      <c r="C17" s="195"/>
      <c r="D17" s="194"/>
      <c r="E17" s="192">
        <f>B17*$E$13</f>
        <v>5062500</v>
      </c>
      <c r="F17" s="194"/>
      <c r="G17" s="189"/>
      <c r="H17" s="186"/>
      <c r="I17" s="190"/>
    </row>
    <row r="18" spans="1:9" x14ac:dyDescent="0.2">
      <c r="A18" t="s">
        <v>269</v>
      </c>
      <c r="B18" s="196">
        <v>0.25</v>
      </c>
      <c r="C18" s="195"/>
      <c r="D18" s="194"/>
      <c r="E18" s="192">
        <f>B18*$E$13</f>
        <v>5062500</v>
      </c>
      <c r="F18" s="194"/>
      <c r="G18" s="189"/>
      <c r="H18" s="186"/>
      <c r="I18" s="190"/>
    </row>
    <row r="19" spans="1:9" x14ac:dyDescent="0.2">
      <c r="C19" s="195"/>
      <c r="D19" s="186"/>
      <c r="E19" s="197"/>
      <c r="F19" s="186"/>
      <c r="G19" s="186"/>
      <c r="H19" s="186"/>
      <c r="I19" s="190"/>
    </row>
    <row r="20" spans="1:9" x14ac:dyDescent="0.2">
      <c r="C20" s="195"/>
      <c r="D20" s="186"/>
      <c r="E20" s="192"/>
      <c r="F20" s="186"/>
      <c r="G20" s="186"/>
      <c r="H20" s="186"/>
      <c r="I20" s="190"/>
    </row>
    <row r="21" spans="1:9" x14ac:dyDescent="0.2">
      <c r="A21" t="s">
        <v>270</v>
      </c>
      <c r="C21" s="195"/>
      <c r="D21" s="194"/>
      <c r="E21" s="192">
        <f>SUM(E15:E19)</f>
        <v>20250000</v>
      </c>
      <c r="F21" s="194"/>
      <c r="G21" s="194"/>
      <c r="H21" s="186"/>
      <c r="I21" s="190"/>
    </row>
    <row r="22" spans="1:9" x14ac:dyDescent="0.2">
      <c r="C22" s="195"/>
      <c r="D22" s="186"/>
      <c r="E22" s="192"/>
      <c r="F22" s="186"/>
      <c r="G22" s="186"/>
      <c r="H22" s="186"/>
      <c r="I22" s="190"/>
    </row>
    <row r="23" spans="1:9" x14ac:dyDescent="0.2">
      <c r="C23" s="187"/>
      <c r="D23" s="189"/>
      <c r="E23" s="189"/>
      <c r="F23" s="189"/>
      <c r="G23" s="189"/>
      <c r="H23" s="186"/>
      <c r="I23" s="190"/>
    </row>
    <row r="24" spans="1:9" x14ac:dyDescent="0.2">
      <c r="A24" t="s">
        <v>11</v>
      </c>
      <c r="C24" s="187"/>
      <c r="D24" s="198"/>
      <c r="E24" s="198"/>
      <c r="F24" s="198"/>
      <c r="G24" s="198"/>
      <c r="H24" s="199"/>
      <c r="I24" s="190"/>
    </row>
    <row r="25" spans="1:9" x14ac:dyDescent="0.2">
      <c r="A25" t="s">
        <v>285</v>
      </c>
      <c r="C25" s="192"/>
    </row>
    <row r="26" spans="1:9" x14ac:dyDescent="0.2">
      <c r="A26" t="s">
        <v>403</v>
      </c>
      <c r="C26" s="192"/>
    </row>
    <row r="27" spans="1:9" x14ac:dyDescent="0.2">
      <c r="C27" s="200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(&amp;A)&amp;R&amp;T&amp;D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5546875" defaultRowHeight="15.75" x14ac:dyDescent="0.25"/>
  <cols>
    <col min="1" max="1" width="11.85546875" style="98" customWidth="1"/>
    <col min="2" max="2" width="9.7109375" style="98" customWidth="1"/>
    <col min="3" max="3" width="15.42578125" style="98" customWidth="1"/>
    <col min="4" max="4" width="17" style="98" customWidth="1"/>
    <col min="5" max="5" width="13.7109375" style="98" bestFit="1" customWidth="1"/>
    <col min="6" max="7" width="14" style="98" bestFit="1" customWidth="1"/>
    <col min="8" max="8" width="19.28515625" style="98" customWidth="1"/>
    <col min="9" max="16384" width="13.85546875" style="98"/>
  </cols>
  <sheetData>
    <row r="1" spans="1:11" x14ac:dyDescent="0.25">
      <c r="A1" s="98" t="s">
        <v>143</v>
      </c>
      <c r="H1" s="99"/>
      <c r="I1" s="99"/>
      <c r="J1" s="99"/>
      <c r="K1" s="99"/>
    </row>
    <row r="2" spans="1:11" x14ac:dyDescent="0.25">
      <c r="H2" s="99"/>
      <c r="I2" s="100"/>
      <c r="J2" s="99"/>
      <c r="K2" s="99"/>
    </row>
    <row r="3" spans="1:11" x14ac:dyDescent="0.25">
      <c r="A3" s="98" t="s">
        <v>144</v>
      </c>
      <c r="H3" s="99"/>
      <c r="I3" s="101"/>
      <c r="J3" s="99"/>
      <c r="K3" s="99"/>
    </row>
    <row r="4" spans="1:11" x14ac:dyDescent="0.25">
      <c r="A4" s="98" t="s">
        <v>145</v>
      </c>
      <c r="H4" s="99"/>
      <c r="I4" s="100"/>
      <c r="J4" s="102"/>
      <c r="K4" s="99"/>
    </row>
    <row r="5" spans="1:11" ht="16.5" thickBot="1" x14ac:dyDescent="0.3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5" thickTop="1" x14ac:dyDescent="0.25">
      <c r="H6" s="99"/>
      <c r="I6" s="99"/>
      <c r="J6" s="99"/>
      <c r="K6" s="99"/>
    </row>
    <row r="7" spans="1:11" x14ac:dyDescent="0.25">
      <c r="A7" s="98" t="s">
        <v>146</v>
      </c>
      <c r="D7" s="98">
        <f>'5. Financing Assumptions'!B15</f>
        <v>30</v>
      </c>
      <c r="H7" s="99"/>
      <c r="I7" s="99"/>
      <c r="J7" s="99"/>
      <c r="K7" s="99"/>
    </row>
    <row r="8" spans="1:11" x14ac:dyDescent="0.25">
      <c r="A8" s="98" t="s">
        <v>147</v>
      </c>
      <c r="D8" s="98">
        <v>1</v>
      </c>
      <c r="H8" s="99"/>
      <c r="I8" s="104"/>
      <c r="J8" s="99"/>
      <c r="K8" s="99"/>
    </row>
    <row r="9" spans="1:11" x14ac:dyDescent="0.25">
      <c r="A9" s="98" t="s">
        <v>148</v>
      </c>
      <c r="D9" s="105">
        <f>BOND_AMOUNT</f>
        <v>4766282.7501152651</v>
      </c>
      <c r="E9" s="98" t="s">
        <v>222</v>
      </c>
      <c r="G9" s="105">
        <f>E53</f>
        <v>1618141.8825157406</v>
      </c>
      <c r="H9" s="99"/>
      <c r="I9" s="106"/>
      <c r="J9" s="99"/>
      <c r="K9" s="99"/>
    </row>
    <row r="10" spans="1:11" x14ac:dyDescent="0.25">
      <c r="A10" s="98" t="s">
        <v>149</v>
      </c>
      <c r="D10" s="107">
        <f>'5. Financing Assumptions'!B14</f>
        <v>0.02</v>
      </c>
      <c r="H10" s="99"/>
      <c r="I10" s="108"/>
      <c r="J10" s="99"/>
      <c r="K10" s="99"/>
    </row>
    <row r="11" spans="1:11" x14ac:dyDescent="0.25">
      <c r="A11" s="98" t="s">
        <v>150</v>
      </c>
      <c r="D11" s="109">
        <v>0</v>
      </c>
      <c r="H11" s="99"/>
      <c r="I11" s="108"/>
      <c r="J11" s="99"/>
      <c r="K11" s="99"/>
    </row>
    <row r="12" spans="1:11" x14ac:dyDescent="0.25">
      <c r="A12" s="98" t="s">
        <v>151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 x14ac:dyDescent="0.25">
      <c r="A13" s="98" t="s">
        <v>152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 x14ac:dyDescent="0.25">
      <c r="A14" s="98" t="s">
        <v>153</v>
      </c>
      <c r="D14" s="112">
        <f>D10/D8</f>
        <v>0.02</v>
      </c>
      <c r="G14" s="111"/>
      <c r="H14" s="99"/>
      <c r="I14" s="108"/>
      <c r="J14" s="99"/>
      <c r="K14" s="99"/>
    </row>
    <row r="15" spans="1:11" x14ac:dyDescent="0.25">
      <c r="A15" s="98" t="s">
        <v>154</v>
      </c>
      <c r="D15" s="98">
        <f>D7*D8</f>
        <v>30</v>
      </c>
      <c r="G15" s="111"/>
      <c r="H15" s="99"/>
      <c r="I15" s="108"/>
      <c r="J15" s="102"/>
      <c r="K15" s="99"/>
    </row>
    <row r="16" spans="1:11" x14ac:dyDescent="0.25">
      <c r="H16" s="99"/>
      <c r="I16" s="108"/>
      <c r="J16" s="99"/>
      <c r="K16" s="99"/>
    </row>
    <row r="17" spans="1:34" x14ac:dyDescent="0.25">
      <c r="A17" s="113" t="s">
        <v>155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 x14ac:dyDescent="0.25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 x14ac:dyDescent="0.25">
      <c r="A19" s="98" t="s">
        <v>156</v>
      </c>
      <c r="B19" s="114"/>
      <c r="C19" s="114" t="s">
        <v>157</v>
      </c>
      <c r="D19" s="114" t="s">
        <v>158</v>
      </c>
      <c r="E19" s="114"/>
      <c r="F19" s="114" t="s">
        <v>159</v>
      </c>
      <c r="G19" s="114" t="s">
        <v>160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 x14ac:dyDescent="0.25">
      <c r="A20" s="119" t="s">
        <v>161</v>
      </c>
      <c r="B20" s="120" t="s">
        <v>162</v>
      </c>
      <c r="C20" s="120" t="s">
        <v>163</v>
      </c>
      <c r="D20" s="120" t="s">
        <v>164</v>
      </c>
      <c r="E20" s="120" t="s">
        <v>165</v>
      </c>
      <c r="F20" s="120" t="s">
        <v>166</v>
      </c>
      <c r="G20" s="120" t="s">
        <v>159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x14ac:dyDescent="0.25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 x14ac:dyDescent="0.25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 x14ac:dyDescent="0.25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x14ac:dyDescent="0.25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x14ac:dyDescent="0.25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x14ac:dyDescent="0.25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x14ac:dyDescent="0.25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x14ac:dyDescent="0.25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x14ac:dyDescent="0.25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 x14ac:dyDescent="0.25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 x14ac:dyDescent="0.25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 x14ac:dyDescent="0.25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 x14ac:dyDescent="0.25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 x14ac:dyDescent="0.25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 x14ac:dyDescent="0.25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 x14ac:dyDescent="0.25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 x14ac:dyDescent="0.25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 x14ac:dyDescent="0.25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 x14ac:dyDescent="0.25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 x14ac:dyDescent="0.25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 x14ac:dyDescent="0.25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 x14ac:dyDescent="0.25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 x14ac:dyDescent="0.25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 x14ac:dyDescent="0.25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 x14ac:dyDescent="0.25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 x14ac:dyDescent="0.25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 x14ac:dyDescent="0.25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 x14ac:dyDescent="0.25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 x14ac:dyDescent="0.25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 x14ac:dyDescent="0.25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 x14ac:dyDescent="0.25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 x14ac:dyDescent="0.25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 x14ac:dyDescent="0.25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 x14ac:dyDescent="0.25">
      <c r="A54" s="125"/>
      <c r="C54" s="127"/>
      <c r="D54" s="127"/>
      <c r="E54" s="127"/>
      <c r="F54" s="127"/>
      <c r="G54" s="127"/>
    </row>
    <row r="55" spans="1:11" x14ac:dyDescent="0.25">
      <c r="A55" s="125"/>
      <c r="C55" s="127" t="s">
        <v>298</v>
      </c>
      <c r="D55" s="127"/>
      <c r="E55" s="248">
        <f>'5. Financing Assumptions'!B19</f>
        <v>11.316588960069623</v>
      </c>
      <c r="F55" s="127"/>
      <c r="G55" s="127"/>
    </row>
    <row r="56" spans="1:11" x14ac:dyDescent="0.25">
      <c r="A56" s="125"/>
      <c r="C56" s="127" t="s">
        <v>401</v>
      </c>
      <c r="D56" s="127"/>
      <c r="E56" s="127">
        <f>D9/1000</f>
        <v>4766.2827501152651</v>
      </c>
      <c r="F56" s="127"/>
      <c r="G56" s="127"/>
    </row>
    <row r="57" spans="1:11" x14ac:dyDescent="0.25">
      <c r="A57" s="125"/>
      <c r="C57" s="127" t="s">
        <v>402</v>
      </c>
      <c r="D57" s="127"/>
      <c r="E57" s="127">
        <f>E56*'5. Financing Assumptions'!B19*DEBT_SERVICE_V!D7</f>
        <v>1618141.8825157406</v>
      </c>
      <c r="F57" s="127"/>
      <c r="G57" s="127"/>
    </row>
    <row r="58" spans="1:11" x14ac:dyDescent="0.25">
      <c r="A58" s="125"/>
      <c r="C58" s="127"/>
      <c r="D58" s="127"/>
      <c r="E58" s="127"/>
      <c r="F58" s="127"/>
      <c r="G58" s="127"/>
    </row>
    <row r="59" spans="1:11" x14ac:dyDescent="0.25">
      <c r="A59" s="125"/>
      <c r="C59" s="127"/>
      <c r="D59" s="127"/>
      <c r="E59" s="127"/>
      <c r="F59" s="127"/>
      <c r="G59" s="127"/>
    </row>
    <row r="60" spans="1:11" x14ac:dyDescent="0.25">
      <c r="A60" s="125"/>
      <c r="C60" s="127"/>
      <c r="D60" s="127"/>
      <c r="E60" s="127"/>
      <c r="F60" s="127"/>
      <c r="G60" s="127"/>
    </row>
    <row r="61" spans="1:11" x14ac:dyDescent="0.25">
      <c r="A61" s="125"/>
      <c r="C61" s="127"/>
      <c r="D61" s="127"/>
      <c r="E61" s="127"/>
      <c r="F61" s="127"/>
      <c r="G61" s="127"/>
    </row>
    <row r="62" spans="1:11" x14ac:dyDescent="0.25">
      <c r="A62" s="125"/>
      <c r="C62" s="127"/>
      <c r="D62" s="127"/>
      <c r="E62" s="127"/>
      <c r="F62" s="127"/>
      <c r="G62" s="127"/>
    </row>
    <row r="63" spans="1:11" x14ac:dyDescent="0.25">
      <c r="A63" s="125"/>
      <c r="C63" s="127"/>
      <c r="D63" s="127"/>
      <c r="E63" s="127"/>
      <c r="F63" s="127"/>
      <c r="G63" s="127"/>
    </row>
    <row r="64" spans="1:11" x14ac:dyDescent="0.25">
      <c r="A64" s="125"/>
      <c r="C64" s="127"/>
      <c r="D64" s="127"/>
      <c r="E64" s="127"/>
      <c r="F64" s="127"/>
      <c r="G64" s="127"/>
    </row>
    <row r="65" spans="1:7" x14ac:dyDescent="0.25">
      <c r="A65" s="125"/>
      <c r="C65" s="127"/>
      <c r="D65" s="127"/>
      <c r="E65" s="127"/>
      <c r="F65" s="127"/>
      <c r="G65" s="127"/>
    </row>
    <row r="66" spans="1:7" x14ac:dyDescent="0.25">
      <c r="A66" s="125"/>
      <c r="C66" s="127"/>
      <c r="D66" s="127"/>
      <c r="E66" s="127"/>
      <c r="F66" s="127"/>
      <c r="G66" s="127"/>
    </row>
    <row r="67" spans="1:7" x14ac:dyDescent="0.25">
      <c r="A67" s="125"/>
      <c r="C67" s="127"/>
      <c r="D67" s="127"/>
      <c r="E67" s="127"/>
      <c r="F67" s="127"/>
      <c r="G67" s="127"/>
    </row>
    <row r="68" spans="1:7" x14ac:dyDescent="0.25">
      <c r="A68" s="125"/>
      <c r="C68" s="127"/>
      <c r="D68" s="127"/>
      <c r="E68" s="127"/>
      <c r="F68" s="127"/>
      <c r="G68" s="127"/>
    </row>
    <row r="69" spans="1:7" x14ac:dyDescent="0.25">
      <c r="A69" s="125"/>
      <c r="C69" s="127"/>
      <c r="D69" s="127"/>
      <c r="E69" s="127"/>
      <c r="F69" s="127"/>
      <c r="G69" s="127"/>
    </row>
    <row r="70" spans="1:7" x14ac:dyDescent="0.25">
      <c r="A70" s="125"/>
      <c r="C70" s="127"/>
      <c r="D70" s="127"/>
      <c r="E70" s="127"/>
      <c r="F70" s="127"/>
      <c r="G70" s="127"/>
    </row>
    <row r="71" spans="1:7" x14ac:dyDescent="0.25">
      <c r="A71" s="125"/>
      <c r="C71" s="127"/>
      <c r="D71" s="127"/>
      <c r="E71" s="127"/>
      <c r="F71" s="127"/>
      <c r="G71" s="127"/>
    </row>
    <row r="72" spans="1:7" x14ac:dyDescent="0.25">
      <c r="A72" s="125"/>
      <c r="C72" s="127"/>
      <c r="D72" s="127"/>
      <c r="E72" s="127"/>
      <c r="F72" s="127"/>
      <c r="G72" s="127"/>
    </row>
    <row r="73" spans="1:7" x14ac:dyDescent="0.25">
      <c r="A73" s="125"/>
      <c r="C73" s="127"/>
      <c r="D73" s="127"/>
      <c r="E73" s="127"/>
      <c r="F73" s="127"/>
      <c r="G73" s="127"/>
    </row>
    <row r="74" spans="1:7" x14ac:dyDescent="0.25">
      <c r="A74" s="125"/>
      <c r="C74" s="127"/>
      <c r="D74" s="127"/>
      <c r="E74" s="127"/>
      <c r="F74" s="127"/>
      <c r="G74" s="127"/>
    </row>
    <row r="75" spans="1:7" x14ac:dyDescent="0.25">
      <c r="A75" s="125"/>
      <c r="C75" s="127"/>
      <c r="D75" s="127"/>
      <c r="E75" s="127"/>
      <c r="F75" s="127"/>
      <c r="G75" s="127"/>
    </row>
    <row r="76" spans="1:7" x14ac:dyDescent="0.25">
      <c r="A76" s="125"/>
      <c r="C76" s="127"/>
      <c r="D76" s="127"/>
      <c r="E76" s="127"/>
      <c r="F76" s="127"/>
      <c r="G76" s="127"/>
    </row>
    <row r="77" spans="1:7" x14ac:dyDescent="0.25">
      <c r="A77" s="125"/>
      <c r="C77" s="127"/>
      <c r="D77" s="127"/>
      <c r="E77" s="127"/>
      <c r="F77" s="127"/>
      <c r="G77" s="127"/>
    </row>
    <row r="78" spans="1:7" x14ac:dyDescent="0.25">
      <c r="A78" s="125"/>
      <c r="C78" s="127"/>
      <c r="D78" s="127"/>
      <c r="E78" s="127"/>
      <c r="F78" s="127"/>
      <c r="G78" s="127"/>
    </row>
    <row r="79" spans="1:7" x14ac:dyDescent="0.25">
      <c r="A79" s="125"/>
      <c r="C79" s="127"/>
      <c r="D79" s="127"/>
      <c r="E79" s="127"/>
      <c r="F79" s="127"/>
      <c r="G79" s="127"/>
    </row>
    <row r="80" spans="1:7" x14ac:dyDescent="0.25">
      <c r="A80" s="125"/>
      <c r="C80" s="127"/>
      <c r="D80" s="127"/>
      <c r="E80" s="127"/>
      <c r="F80" s="127"/>
      <c r="G80" s="127"/>
    </row>
    <row r="81" spans="1:7" x14ac:dyDescent="0.25">
      <c r="A81" s="125"/>
      <c r="C81" s="127"/>
      <c r="D81" s="127"/>
      <c r="E81" s="127"/>
      <c r="F81" s="127"/>
      <c r="G81" s="127"/>
    </row>
    <row r="82" spans="1:7" x14ac:dyDescent="0.25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2"/>
  <sheetViews>
    <sheetView tabSelected="1" topLeftCell="A31" zoomScale="75" workbookViewId="0">
      <selection activeCell="B35" sqref="B35"/>
    </sheetView>
  </sheetViews>
  <sheetFormatPr defaultRowHeight="12.75" x14ac:dyDescent="0.2"/>
  <cols>
    <col min="1" max="1" width="41.28515625" customWidth="1"/>
    <col min="2" max="2" width="12.5703125" bestFit="1" customWidth="1"/>
    <col min="3" max="3" width="10.42578125" customWidth="1"/>
    <col min="4" max="4" width="8.7109375" customWidth="1"/>
    <col min="5" max="5" width="11.42578125" bestFit="1" customWidth="1"/>
    <col min="6" max="6" width="16.140625" bestFit="1" customWidth="1"/>
    <col min="7" max="7" width="11.42578125" bestFit="1" customWidth="1"/>
    <col min="8" max="8" width="11.28515625" bestFit="1" customWidth="1"/>
    <col min="256" max="256" width="41.28515625" customWidth="1"/>
    <col min="258" max="258" width="12.28515625" bestFit="1" customWidth="1"/>
    <col min="259" max="259" width="9.7109375" bestFit="1" customWidth="1"/>
    <col min="260" max="260" width="11.42578125" bestFit="1" customWidth="1"/>
    <col min="261" max="261" width="9.7109375" bestFit="1" customWidth="1"/>
    <col min="262" max="262" width="11.28515625" bestFit="1" customWidth="1"/>
    <col min="264" max="264" width="11.28515625" bestFit="1" customWidth="1"/>
    <col min="512" max="512" width="41.28515625" customWidth="1"/>
    <col min="514" max="514" width="12.28515625" bestFit="1" customWidth="1"/>
    <col min="515" max="515" width="9.7109375" bestFit="1" customWidth="1"/>
    <col min="516" max="516" width="11.42578125" bestFit="1" customWidth="1"/>
    <col min="517" max="517" width="9.7109375" bestFit="1" customWidth="1"/>
    <col min="518" max="518" width="11.28515625" bestFit="1" customWidth="1"/>
    <col min="520" max="520" width="11.28515625" bestFit="1" customWidth="1"/>
    <col min="768" max="768" width="41.28515625" customWidth="1"/>
    <col min="770" max="770" width="12.28515625" bestFit="1" customWidth="1"/>
    <col min="771" max="771" width="9.7109375" bestFit="1" customWidth="1"/>
    <col min="772" max="772" width="11.42578125" bestFit="1" customWidth="1"/>
    <col min="773" max="773" width="9.7109375" bestFit="1" customWidth="1"/>
    <col min="774" max="774" width="11.28515625" bestFit="1" customWidth="1"/>
    <col min="776" max="776" width="11.28515625" bestFit="1" customWidth="1"/>
    <col min="1024" max="1024" width="41.28515625" customWidth="1"/>
    <col min="1026" max="1026" width="12.28515625" bestFit="1" customWidth="1"/>
    <col min="1027" max="1027" width="9.7109375" bestFit="1" customWidth="1"/>
    <col min="1028" max="1028" width="11.42578125" bestFit="1" customWidth="1"/>
    <col min="1029" max="1029" width="9.7109375" bestFit="1" customWidth="1"/>
    <col min="1030" max="1030" width="11.28515625" bestFit="1" customWidth="1"/>
    <col min="1032" max="1032" width="11.28515625" bestFit="1" customWidth="1"/>
    <col min="1280" max="1280" width="41.28515625" customWidth="1"/>
    <col min="1282" max="1282" width="12.28515625" bestFit="1" customWidth="1"/>
    <col min="1283" max="1283" width="9.7109375" bestFit="1" customWidth="1"/>
    <col min="1284" max="1284" width="11.42578125" bestFit="1" customWidth="1"/>
    <col min="1285" max="1285" width="9.7109375" bestFit="1" customWidth="1"/>
    <col min="1286" max="1286" width="11.28515625" bestFit="1" customWidth="1"/>
    <col min="1288" max="1288" width="11.28515625" bestFit="1" customWidth="1"/>
    <col min="1536" max="1536" width="41.28515625" customWidth="1"/>
    <col min="1538" max="1538" width="12.28515625" bestFit="1" customWidth="1"/>
    <col min="1539" max="1539" width="9.7109375" bestFit="1" customWidth="1"/>
    <col min="1540" max="1540" width="11.42578125" bestFit="1" customWidth="1"/>
    <col min="1541" max="1541" width="9.7109375" bestFit="1" customWidth="1"/>
    <col min="1542" max="1542" width="11.28515625" bestFit="1" customWidth="1"/>
    <col min="1544" max="1544" width="11.28515625" bestFit="1" customWidth="1"/>
    <col min="1792" max="1792" width="41.28515625" customWidth="1"/>
    <col min="1794" max="1794" width="12.28515625" bestFit="1" customWidth="1"/>
    <col min="1795" max="1795" width="9.7109375" bestFit="1" customWidth="1"/>
    <col min="1796" max="1796" width="11.42578125" bestFit="1" customWidth="1"/>
    <col min="1797" max="1797" width="9.7109375" bestFit="1" customWidth="1"/>
    <col min="1798" max="1798" width="11.28515625" bestFit="1" customWidth="1"/>
    <col min="1800" max="1800" width="11.28515625" bestFit="1" customWidth="1"/>
    <col min="2048" max="2048" width="41.28515625" customWidth="1"/>
    <col min="2050" max="2050" width="12.28515625" bestFit="1" customWidth="1"/>
    <col min="2051" max="2051" width="9.7109375" bestFit="1" customWidth="1"/>
    <col min="2052" max="2052" width="11.42578125" bestFit="1" customWidth="1"/>
    <col min="2053" max="2053" width="9.7109375" bestFit="1" customWidth="1"/>
    <col min="2054" max="2054" width="11.28515625" bestFit="1" customWidth="1"/>
    <col min="2056" max="2056" width="11.28515625" bestFit="1" customWidth="1"/>
    <col min="2304" max="2304" width="41.28515625" customWidth="1"/>
    <col min="2306" max="2306" width="12.28515625" bestFit="1" customWidth="1"/>
    <col min="2307" max="2307" width="9.7109375" bestFit="1" customWidth="1"/>
    <col min="2308" max="2308" width="11.42578125" bestFit="1" customWidth="1"/>
    <col min="2309" max="2309" width="9.7109375" bestFit="1" customWidth="1"/>
    <col min="2310" max="2310" width="11.28515625" bestFit="1" customWidth="1"/>
    <col min="2312" max="2312" width="11.28515625" bestFit="1" customWidth="1"/>
    <col min="2560" max="2560" width="41.28515625" customWidth="1"/>
    <col min="2562" max="2562" width="12.28515625" bestFit="1" customWidth="1"/>
    <col min="2563" max="2563" width="9.7109375" bestFit="1" customWidth="1"/>
    <col min="2564" max="2564" width="11.42578125" bestFit="1" customWidth="1"/>
    <col min="2565" max="2565" width="9.7109375" bestFit="1" customWidth="1"/>
    <col min="2566" max="2566" width="11.28515625" bestFit="1" customWidth="1"/>
    <col min="2568" max="2568" width="11.28515625" bestFit="1" customWidth="1"/>
    <col min="2816" max="2816" width="41.28515625" customWidth="1"/>
    <col min="2818" max="2818" width="12.28515625" bestFit="1" customWidth="1"/>
    <col min="2819" max="2819" width="9.7109375" bestFit="1" customWidth="1"/>
    <col min="2820" max="2820" width="11.42578125" bestFit="1" customWidth="1"/>
    <col min="2821" max="2821" width="9.7109375" bestFit="1" customWidth="1"/>
    <col min="2822" max="2822" width="11.28515625" bestFit="1" customWidth="1"/>
    <col min="2824" max="2824" width="11.28515625" bestFit="1" customWidth="1"/>
    <col min="3072" max="3072" width="41.28515625" customWidth="1"/>
    <col min="3074" max="3074" width="12.28515625" bestFit="1" customWidth="1"/>
    <col min="3075" max="3075" width="9.7109375" bestFit="1" customWidth="1"/>
    <col min="3076" max="3076" width="11.42578125" bestFit="1" customWidth="1"/>
    <col min="3077" max="3077" width="9.7109375" bestFit="1" customWidth="1"/>
    <col min="3078" max="3078" width="11.28515625" bestFit="1" customWidth="1"/>
    <col min="3080" max="3080" width="11.28515625" bestFit="1" customWidth="1"/>
    <col min="3328" max="3328" width="41.28515625" customWidth="1"/>
    <col min="3330" max="3330" width="12.28515625" bestFit="1" customWidth="1"/>
    <col min="3331" max="3331" width="9.7109375" bestFit="1" customWidth="1"/>
    <col min="3332" max="3332" width="11.42578125" bestFit="1" customWidth="1"/>
    <col min="3333" max="3333" width="9.7109375" bestFit="1" customWidth="1"/>
    <col min="3334" max="3334" width="11.28515625" bestFit="1" customWidth="1"/>
    <col min="3336" max="3336" width="11.28515625" bestFit="1" customWidth="1"/>
    <col min="3584" max="3584" width="41.28515625" customWidth="1"/>
    <col min="3586" max="3586" width="12.28515625" bestFit="1" customWidth="1"/>
    <col min="3587" max="3587" width="9.7109375" bestFit="1" customWidth="1"/>
    <col min="3588" max="3588" width="11.42578125" bestFit="1" customWidth="1"/>
    <col min="3589" max="3589" width="9.7109375" bestFit="1" customWidth="1"/>
    <col min="3590" max="3590" width="11.28515625" bestFit="1" customWidth="1"/>
    <col min="3592" max="3592" width="11.28515625" bestFit="1" customWidth="1"/>
    <col min="3840" max="3840" width="41.28515625" customWidth="1"/>
    <col min="3842" max="3842" width="12.28515625" bestFit="1" customWidth="1"/>
    <col min="3843" max="3843" width="9.7109375" bestFit="1" customWidth="1"/>
    <col min="3844" max="3844" width="11.42578125" bestFit="1" customWidth="1"/>
    <col min="3845" max="3845" width="9.7109375" bestFit="1" customWidth="1"/>
    <col min="3846" max="3846" width="11.28515625" bestFit="1" customWidth="1"/>
    <col min="3848" max="3848" width="11.28515625" bestFit="1" customWidth="1"/>
    <col min="4096" max="4096" width="41.28515625" customWidth="1"/>
    <col min="4098" max="4098" width="12.28515625" bestFit="1" customWidth="1"/>
    <col min="4099" max="4099" width="9.7109375" bestFit="1" customWidth="1"/>
    <col min="4100" max="4100" width="11.42578125" bestFit="1" customWidth="1"/>
    <col min="4101" max="4101" width="9.7109375" bestFit="1" customWidth="1"/>
    <col min="4102" max="4102" width="11.28515625" bestFit="1" customWidth="1"/>
    <col min="4104" max="4104" width="11.28515625" bestFit="1" customWidth="1"/>
    <col min="4352" max="4352" width="41.28515625" customWidth="1"/>
    <col min="4354" max="4354" width="12.28515625" bestFit="1" customWidth="1"/>
    <col min="4355" max="4355" width="9.7109375" bestFit="1" customWidth="1"/>
    <col min="4356" max="4356" width="11.42578125" bestFit="1" customWidth="1"/>
    <col min="4357" max="4357" width="9.7109375" bestFit="1" customWidth="1"/>
    <col min="4358" max="4358" width="11.28515625" bestFit="1" customWidth="1"/>
    <col min="4360" max="4360" width="11.28515625" bestFit="1" customWidth="1"/>
    <col min="4608" max="4608" width="41.28515625" customWidth="1"/>
    <col min="4610" max="4610" width="12.28515625" bestFit="1" customWidth="1"/>
    <col min="4611" max="4611" width="9.7109375" bestFit="1" customWidth="1"/>
    <col min="4612" max="4612" width="11.42578125" bestFit="1" customWidth="1"/>
    <col min="4613" max="4613" width="9.7109375" bestFit="1" customWidth="1"/>
    <col min="4614" max="4614" width="11.28515625" bestFit="1" customWidth="1"/>
    <col min="4616" max="4616" width="11.28515625" bestFit="1" customWidth="1"/>
    <col min="4864" max="4864" width="41.28515625" customWidth="1"/>
    <col min="4866" max="4866" width="12.28515625" bestFit="1" customWidth="1"/>
    <col min="4867" max="4867" width="9.7109375" bestFit="1" customWidth="1"/>
    <col min="4868" max="4868" width="11.42578125" bestFit="1" customWidth="1"/>
    <col min="4869" max="4869" width="9.7109375" bestFit="1" customWidth="1"/>
    <col min="4870" max="4870" width="11.28515625" bestFit="1" customWidth="1"/>
    <col min="4872" max="4872" width="11.28515625" bestFit="1" customWidth="1"/>
    <col min="5120" max="5120" width="41.28515625" customWidth="1"/>
    <col min="5122" max="5122" width="12.28515625" bestFit="1" customWidth="1"/>
    <col min="5123" max="5123" width="9.7109375" bestFit="1" customWidth="1"/>
    <col min="5124" max="5124" width="11.42578125" bestFit="1" customWidth="1"/>
    <col min="5125" max="5125" width="9.7109375" bestFit="1" customWidth="1"/>
    <col min="5126" max="5126" width="11.28515625" bestFit="1" customWidth="1"/>
    <col min="5128" max="5128" width="11.28515625" bestFit="1" customWidth="1"/>
    <col min="5376" max="5376" width="41.28515625" customWidth="1"/>
    <col min="5378" max="5378" width="12.28515625" bestFit="1" customWidth="1"/>
    <col min="5379" max="5379" width="9.7109375" bestFit="1" customWidth="1"/>
    <col min="5380" max="5380" width="11.42578125" bestFit="1" customWidth="1"/>
    <col min="5381" max="5381" width="9.7109375" bestFit="1" customWidth="1"/>
    <col min="5382" max="5382" width="11.28515625" bestFit="1" customWidth="1"/>
    <col min="5384" max="5384" width="11.28515625" bestFit="1" customWidth="1"/>
    <col min="5632" max="5632" width="41.28515625" customWidth="1"/>
    <col min="5634" max="5634" width="12.28515625" bestFit="1" customWidth="1"/>
    <col min="5635" max="5635" width="9.7109375" bestFit="1" customWidth="1"/>
    <col min="5636" max="5636" width="11.42578125" bestFit="1" customWidth="1"/>
    <col min="5637" max="5637" width="9.7109375" bestFit="1" customWidth="1"/>
    <col min="5638" max="5638" width="11.28515625" bestFit="1" customWidth="1"/>
    <col min="5640" max="5640" width="11.28515625" bestFit="1" customWidth="1"/>
    <col min="5888" max="5888" width="41.28515625" customWidth="1"/>
    <col min="5890" max="5890" width="12.28515625" bestFit="1" customWidth="1"/>
    <col min="5891" max="5891" width="9.7109375" bestFit="1" customWidth="1"/>
    <col min="5892" max="5892" width="11.42578125" bestFit="1" customWidth="1"/>
    <col min="5893" max="5893" width="9.7109375" bestFit="1" customWidth="1"/>
    <col min="5894" max="5894" width="11.28515625" bestFit="1" customWidth="1"/>
    <col min="5896" max="5896" width="11.28515625" bestFit="1" customWidth="1"/>
    <col min="6144" max="6144" width="41.28515625" customWidth="1"/>
    <col min="6146" max="6146" width="12.28515625" bestFit="1" customWidth="1"/>
    <col min="6147" max="6147" width="9.7109375" bestFit="1" customWidth="1"/>
    <col min="6148" max="6148" width="11.42578125" bestFit="1" customWidth="1"/>
    <col min="6149" max="6149" width="9.7109375" bestFit="1" customWidth="1"/>
    <col min="6150" max="6150" width="11.28515625" bestFit="1" customWidth="1"/>
    <col min="6152" max="6152" width="11.28515625" bestFit="1" customWidth="1"/>
    <col min="6400" max="6400" width="41.28515625" customWidth="1"/>
    <col min="6402" max="6402" width="12.28515625" bestFit="1" customWidth="1"/>
    <col min="6403" max="6403" width="9.7109375" bestFit="1" customWidth="1"/>
    <col min="6404" max="6404" width="11.42578125" bestFit="1" customWidth="1"/>
    <col min="6405" max="6405" width="9.7109375" bestFit="1" customWidth="1"/>
    <col min="6406" max="6406" width="11.28515625" bestFit="1" customWidth="1"/>
    <col min="6408" max="6408" width="11.28515625" bestFit="1" customWidth="1"/>
    <col min="6656" max="6656" width="41.28515625" customWidth="1"/>
    <col min="6658" max="6658" width="12.28515625" bestFit="1" customWidth="1"/>
    <col min="6659" max="6659" width="9.7109375" bestFit="1" customWidth="1"/>
    <col min="6660" max="6660" width="11.42578125" bestFit="1" customWidth="1"/>
    <col min="6661" max="6661" width="9.7109375" bestFit="1" customWidth="1"/>
    <col min="6662" max="6662" width="11.28515625" bestFit="1" customWidth="1"/>
    <col min="6664" max="6664" width="11.28515625" bestFit="1" customWidth="1"/>
    <col min="6912" max="6912" width="41.28515625" customWidth="1"/>
    <col min="6914" max="6914" width="12.28515625" bestFit="1" customWidth="1"/>
    <col min="6915" max="6915" width="9.7109375" bestFit="1" customWidth="1"/>
    <col min="6916" max="6916" width="11.42578125" bestFit="1" customWidth="1"/>
    <col min="6917" max="6917" width="9.7109375" bestFit="1" customWidth="1"/>
    <col min="6918" max="6918" width="11.28515625" bestFit="1" customWidth="1"/>
    <col min="6920" max="6920" width="11.28515625" bestFit="1" customWidth="1"/>
    <col min="7168" max="7168" width="41.28515625" customWidth="1"/>
    <col min="7170" max="7170" width="12.28515625" bestFit="1" customWidth="1"/>
    <col min="7171" max="7171" width="9.7109375" bestFit="1" customWidth="1"/>
    <col min="7172" max="7172" width="11.42578125" bestFit="1" customWidth="1"/>
    <col min="7173" max="7173" width="9.7109375" bestFit="1" customWidth="1"/>
    <col min="7174" max="7174" width="11.28515625" bestFit="1" customWidth="1"/>
    <col min="7176" max="7176" width="11.28515625" bestFit="1" customWidth="1"/>
    <col min="7424" max="7424" width="41.28515625" customWidth="1"/>
    <col min="7426" max="7426" width="12.28515625" bestFit="1" customWidth="1"/>
    <col min="7427" max="7427" width="9.7109375" bestFit="1" customWidth="1"/>
    <col min="7428" max="7428" width="11.42578125" bestFit="1" customWidth="1"/>
    <col min="7429" max="7429" width="9.7109375" bestFit="1" customWidth="1"/>
    <col min="7430" max="7430" width="11.28515625" bestFit="1" customWidth="1"/>
    <col min="7432" max="7432" width="11.28515625" bestFit="1" customWidth="1"/>
    <col min="7680" max="7680" width="41.28515625" customWidth="1"/>
    <col min="7682" max="7682" width="12.28515625" bestFit="1" customWidth="1"/>
    <col min="7683" max="7683" width="9.7109375" bestFit="1" customWidth="1"/>
    <col min="7684" max="7684" width="11.42578125" bestFit="1" customWidth="1"/>
    <col min="7685" max="7685" width="9.7109375" bestFit="1" customWidth="1"/>
    <col min="7686" max="7686" width="11.28515625" bestFit="1" customWidth="1"/>
    <col min="7688" max="7688" width="11.28515625" bestFit="1" customWidth="1"/>
    <col min="7936" max="7936" width="41.28515625" customWidth="1"/>
    <col min="7938" max="7938" width="12.28515625" bestFit="1" customWidth="1"/>
    <col min="7939" max="7939" width="9.7109375" bestFit="1" customWidth="1"/>
    <col min="7940" max="7940" width="11.42578125" bestFit="1" customWidth="1"/>
    <col min="7941" max="7941" width="9.7109375" bestFit="1" customWidth="1"/>
    <col min="7942" max="7942" width="11.28515625" bestFit="1" customWidth="1"/>
    <col min="7944" max="7944" width="11.28515625" bestFit="1" customWidth="1"/>
    <col min="8192" max="8192" width="41.28515625" customWidth="1"/>
    <col min="8194" max="8194" width="12.28515625" bestFit="1" customWidth="1"/>
    <col min="8195" max="8195" width="9.7109375" bestFit="1" customWidth="1"/>
    <col min="8196" max="8196" width="11.42578125" bestFit="1" customWidth="1"/>
    <col min="8197" max="8197" width="9.7109375" bestFit="1" customWidth="1"/>
    <col min="8198" max="8198" width="11.28515625" bestFit="1" customWidth="1"/>
    <col min="8200" max="8200" width="11.28515625" bestFit="1" customWidth="1"/>
    <col min="8448" max="8448" width="41.28515625" customWidth="1"/>
    <col min="8450" max="8450" width="12.28515625" bestFit="1" customWidth="1"/>
    <col min="8451" max="8451" width="9.7109375" bestFit="1" customWidth="1"/>
    <col min="8452" max="8452" width="11.42578125" bestFit="1" customWidth="1"/>
    <col min="8453" max="8453" width="9.7109375" bestFit="1" customWidth="1"/>
    <col min="8454" max="8454" width="11.28515625" bestFit="1" customWidth="1"/>
    <col min="8456" max="8456" width="11.28515625" bestFit="1" customWidth="1"/>
    <col min="8704" max="8704" width="41.28515625" customWidth="1"/>
    <col min="8706" max="8706" width="12.28515625" bestFit="1" customWidth="1"/>
    <col min="8707" max="8707" width="9.7109375" bestFit="1" customWidth="1"/>
    <col min="8708" max="8708" width="11.42578125" bestFit="1" customWidth="1"/>
    <col min="8709" max="8709" width="9.7109375" bestFit="1" customWidth="1"/>
    <col min="8710" max="8710" width="11.28515625" bestFit="1" customWidth="1"/>
    <col min="8712" max="8712" width="11.28515625" bestFit="1" customWidth="1"/>
    <col min="8960" max="8960" width="41.28515625" customWidth="1"/>
    <col min="8962" max="8962" width="12.28515625" bestFit="1" customWidth="1"/>
    <col min="8963" max="8963" width="9.7109375" bestFit="1" customWidth="1"/>
    <col min="8964" max="8964" width="11.42578125" bestFit="1" customWidth="1"/>
    <col min="8965" max="8965" width="9.7109375" bestFit="1" customWidth="1"/>
    <col min="8966" max="8966" width="11.28515625" bestFit="1" customWidth="1"/>
    <col min="8968" max="8968" width="11.28515625" bestFit="1" customWidth="1"/>
    <col min="9216" max="9216" width="41.28515625" customWidth="1"/>
    <col min="9218" max="9218" width="12.28515625" bestFit="1" customWidth="1"/>
    <col min="9219" max="9219" width="9.7109375" bestFit="1" customWidth="1"/>
    <col min="9220" max="9220" width="11.42578125" bestFit="1" customWidth="1"/>
    <col min="9221" max="9221" width="9.7109375" bestFit="1" customWidth="1"/>
    <col min="9222" max="9222" width="11.28515625" bestFit="1" customWidth="1"/>
    <col min="9224" max="9224" width="11.28515625" bestFit="1" customWidth="1"/>
    <col min="9472" max="9472" width="41.28515625" customWidth="1"/>
    <col min="9474" max="9474" width="12.28515625" bestFit="1" customWidth="1"/>
    <col min="9475" max="9475" width="9.7109375" bestFit="1" customWidth="1"/>
    <col min="9476" max="9476" width="11.42578125" bestFit="1" customWidth="1"/>
    <col min="9477" max="9477" width="9.7109375" bestFit="1" customWidth="1"/>
    <col min="9478" max="9478" width="11.28515625" bestFit="1" customWidth="1"/>
    <col min="9480" max="9480" width="11.28515625" bestFit="1" customWidth="1"/>
    <col min="9728" max="9728" width="41.28515625" customWidth="1"/>
    <col min="9730" max="9730" width="12.28515625" bestFit="1" customWidth="1"/>
    <col min="9731" max="9731" width="9.7109375" bestFit="1" customWidth="1"/>
    <col min="9732" max="9732" width="11.42578125" bestFit="1" customWidth="1"/>
    <col min="9733" max="9733" width="9.7109375" bestFit="1" customWidth="1"/>
    <col min="9734" max="9734" width="11.28515625" bestFit="1" customWidth="1"/>
    <col min="9736" max="9736" width="11.28515625" bestFit="1" customWidth="1"/>
    <col min="9984" max="9984" width="41.28515625" customWidth="1"/>
    <col min="9986" max="9986" width="12.28515625" bestFit="1" customWidth="1"/>
    <col min="9987" max="9987" width="9.7109375" bestFit="1" customWidth="1"/>
    <col min="9988" max="9988" width="11.42578125" bestFit="1" customWidth="1"/>
    <col min="9989" max="9989" width="9.7109375" bestFit="1" customWidth="1"/>
    <col min="9990" max="9990" width="11.28515625" bestFit="1" customWidth="1"/>
    <col min="9992" max="9992" width="11.28515625" bestFit="1" customWidth="1"/>
    <col min="10240" max="10240" width="41.28515625" customWidth="1"/>
    <col min="10242" max="10242" width="12.28515625" bestFit="1" customWidth="1"/>
    <col min="10243" max="10243" width="9.7109375" bestFit="1" customWidth="1"/>
    <col min="10244" max="10244" width="11.42578125" bestFit="1" customWidth="1"/>
    <col min="10245" max="10245" width="9.7109375" bestFit="1" customWidth="1"/>
    <col min="10246" max="10246" width="11.28515625" bestFit="1" customWidth="1"/>
    <col min="10248" max="10248" width="11.28515625" bestFit="1" customWidth="1"/>
    <col min="10496" max="10496" width="41.28515625" customWidth="1"/>
    <col min="10498" max="10498" width="12.28515625" bestFit="1" customWidth="1"/>
    <col min="10499" max="10499" width="9.7109375" bestFit="1" customWidth="1"/>
    <col min="10500" max="10500" width="11.42578125" bestFit="1" customWidth="1"/>
    <col min="10501" max="10501" width="9.7109375" bestFit="1" customWidth="1"/>
    <col min="10502" max="10502" width="11.28515625" bestFit="1" customWidth="1"/>
    <col min="10504" max="10504" width="11.28515625" bestFit="1" customWidth="1"/>
    <col min="10752" max="10752" width="41.28515625" customWidth="1"/>
    <col min="10754" max="10754" width="12.28515625" bestFit="1" customWidth="1"/>
    <col min="10755" max="10755" width="9.7109375" bestFit="1" customWidth="1"/>
    <col min="10756" max="10756" width="11.42578125" bestFit="1" customWidth="1"/>
    <col min="10757" max="10757" width="9.7109375" bestFit="1" customWidth="1"/>
    <col min="10758" max="10758" width="11.28515625" bestFit="1" customWidth="1"/>
    <col min="10760" max="10760" width="11.28515625" bestFit="1" customWidth="1"/>
    <col min="11008" max="11008" width="41.28515625" customWidth="1"/>
    <col min="11010" max="11010" width="12.28515625" bestFit="1" customWidth="1"/>
    <col min="11011" max="11011" width="9.7109375" bestFit="1" customWidth="1"/>
    <col min="11012" max="11012" width="11.42578125" bestFit="1" customWidth="1"/>
    <col min="11013" max="11013" width="9.7109375" bestFit="1" customWidth="1"/>
    <col min="11014" max="11014" width="11.28515625" bestFit="1" customWidth="1"/>
    <col min="11016" max="11016" width="11.28515625" bestFit="1" customWidth="1"/>
    <col min="11264" max="11264" width="41.28515625" customWidth="1"/>
    <col min="11266" max="11266" width="12.28515625" bestFit="1" customWidth="1"/>
    <col min="11267" max="11267" width="9.7109375" bestFit="1" customWidth="1"/>
    <col min="11268" max="11268" width="11.42578125" bestFit="1" customWidth="1"/>
    <col min="11269" max="11269" width="9.7109375" bestFit="1" customWidth="1"/>
    <col min="11270" max="11270" width="11.28515625" bestFit="1" customWidth="1"/>
    <col min="11272" max="11272" width="11.28515625" bestFit="1" customWidth="1"/>
    <col min="11520" max="11520" width="41.28515625" customWidth="1"/>
    <col min="11522" max="11522" width="12.28515625" bestFit="1" customWidth="1"/>
    <col min="11523" max="11523" width="9.7109375" bestFit="1" customWidth="1"/>
    <col min="11524" max="11524" width="11.42578125" bestFit="1" customWidth="1"/>
    <col min="11525" max="11525" width="9.7109375" bestFit="1" customWidth="1"/>
    <col min="11526" max="11526" width="11.28515625" bestFit="1" customWidth="1"/>
    <col min="11528" max="11528" width="11.28515625" bestFit="1" customWidth="1"/>
    <col min="11776" max="11776" width="41.28515625" customWidth="1"/>
    <col min="11778" max="11778" width="12.28515625" bestFit="1" customWidth="1"/>
    <col min="11779" max="11779" width="9.7109375" bestFit="1" customWidth="1"/>
    <col min="11780" max="11780" width="11.42578125" bestFit="1" customWidth="1"/>
    <col min="11781" max="11781" width="9.7109375" bestFit="1" customWidth="1"/>
    <col min="11782" max="11782" width="11.28515625" bestFit="1" customWidth="1"/>
    <col min="11784" max="11784" width="11.28515625" bestFit="1" customWidth="1"/>
    <col min="12032" max="12032" width="41.28515625" customWidth="1"/>
    <col min="12034" max="12034" width="12.28515625" bestFit="1" customWidth="1"/>
    <col min="12035" max="12035" width="9.7109375" bestFit="1" customWidth="1"/>
    <col min="12036" max="12036" width="11.42578125" bestFit="1" customWidth="1"/>
    <col min="12037" max="12037" width="9.7109375" bestFit="1" customWidth="1"/>
    <col min="12038" max="12038" width="11.28515625" bestFit="1" customWidth="1"/>
    <col min="12040" max="12040" width="11.28515625" bestFit="1" customWidth="1"/>
    <col min="12288" max="12288" width="41.28515625" customWidth="1"/>
    <col min="12290" max="12290" width="12.28515625" bestFit="1" customWidth="1"/>
    <col min="12291" max="12291" width="9.7109375" bestFit="1" customWidth="1"/>
    <col min="12292" max="12292" width="11.42578125" bestFit="1" customWidth="1"/>
    <col min="12293" max="12293" width="9.7109375" bestFit="1" customWidth="1"/>
    <col min="12294" max="12294" width="11.28515625" bestFit="1" customWidth="1"/>
    <col min="12296" max="12296" width="11.28515625" bestFit="1" customWidth="1"/>
    <col min="12544" max="12544" width="41.28515625" customWidth="1"/>
    <col min="12546" max="12546" width="12.28515625" bestFit="1" customWidth="1"/>
    <col min="12547" max="12547" width="9.7109375" bestFit="1" customWidth="1"/>
    <col min="12548" max="12548" width="11.42578125" bestFit="1" customWidth="1"/>
    <col min="12549" max="12549" width="9.7109375" bestFit="1" customWidth="1"/>
    <col min="12550" max="12550" width="11.28515625" bestFit="1" customWidth="1"/>
    <col min="12552" max="12552" width="11.28515625" bestFit="1" customWidth="1"/>
    <col min="12800" max="12800" width="41.28515625" customWidth="1"/>
    <col min="12802" max="12802" width="12.28515625" bestFit="1" customWidth="1"/>
    <col min="12803" max="12803" width="9.7109375" bestFit="1" customWidth="1"/>
    <col min="12804" max="12804" width="11.42578125" bestFit="1" customWidth="1"/>
    <col min="12805" max="12805" width="9.7109375" bestFit="1" customWidth="1"/>
    <col min="12806" max="12806" width="11.28515625" bestFit="1" customWidth="1"/>
    <col min="12808" max="12808" width="11.28515625" bestFit="1" customWidth="1"/>
    <col min="13056" max="13056" width="41.28515625" customWidth="1"/>
    <col min="13058" max="13058" width="12.28515625" bestFit="1" customWidth="1"/>
    <col min="13059" max="13059" width="9.7109375" bestFit="1" customWidth="1"/>
    <col min="13060" max="13060" width="11.42578125" bestFit="1" customWidth="1"/>
    <col min="13061" max="13061" width="9.7109375" bestFit="1" customWidth="1"/>
    <col min="13062" max="13062" width="11.28515625" bestFit="1" customWidth="1"/>
    <col min="13064" max="13064" width="11.28515625" bestFit="1" customWidth="1"/>
    <col min="13312" max="13312" width="41.28515625" customWidth="1"/>
    <col min="13314" max="13314" width="12.28515625" bestFit="1" customWidth="1"/>
    <col min="13315" max="13315" width="9.7109375" bestFit="1" customWidth="1"/>
    <col min="13316" max="13316" width="11.42578125" bestFit="1" customWidth="1"/>
    <col min="13317" max="13317" width="9.7109375" bestFit="1" customWidth="1"/>
    <col min="13318" max="13318" width="11.28515625" bestFit="1" customWidth="1"/>
    <col min="13320" max="13320" width="11.28515625" bestFit="1" customWidth="1"/>
    <col min="13568" max="13568" width="41.28515625" customWidth="1"/>
    <col min="13570" max="13570" width="12.28515625" bestFit="1" customWidth="1"/>
    <col min="13571" max="13571" width="9.7109375" bestFit="1" customWidth="1"/>
    <col min="13572" max="13572" width="11.42578125" bestFit="1" customWidth="1"/>
    <col min="13573" max="13573" width="9.7109375" bestFit="1" customWidth="1"/>
    <col min="13574" max="13574" width="11.28515625" bestFit="1" customWidth="1"/>
    <col min="13576" max="13576" width="11.28515625" bestFit="1" customWidth="1"/>
    <col min="13824" max="13824" width="41.28515625" customWidth="1"/>
    <col min="13826" max="13826" width="12.28515625" bestFit="1" customWidth="1"/>
    <col min="13827" max="13827" width="9.7109375" bestFit="1" customWidth="1"/>
    <col min="13828" max="13828" width="11.42578125" bestFit="1" customWidth="1"/>
    <col min="13829" max="13829" width="9.7109375" bestFit="1" customWidth="1"/>
    <col min="13830" max="13830" width="11.28515625" bestFit="1" customWidth="1"/>
    <col min="13832" max="13832" width="11.28515625" bestFit="1" customWidth="1"/>
    <col min="14080" max="14080" width="41.28515625" customWidth="1"/>
    <col min="14082" max="14082" width="12.28515625" bestFit="1" customWidth="1"/>
    <col min="14083" max="14083" width="9.7109375" bestFit="1" customWidth="1"/>
    <col min="14084" max="14084" width="11.42578125" bestFit="1" customWidth="1"/>
    <col min="14085" max="14085" width="9.7109375" bestFit="1" customWidth="1"/>
    <col min="14086" max="14086" width="11.28515625" bestFit="1" customWidth="1"/>
    <col min="14088" max="14088" width="11.28515625" bestFit="1" customWidth="1"/>
    <col min="14336" max="14336" width="41.28515625" customWidth="1"/>
    <col min="14338" max="14338" width="12.28515625" bestFit="1" customWidth="1"/>
    <col min="14339" max="14339" width="9.7109375" bestFit="1" customWidth="1"/>
    <col min="14340" max="14340" width="11.42578125" bestFit="1" customWidth="1"/>
    <col min="14341" max="14341" width="9.7109375" bestFit="1" customWidth="1"/>
    <col min="14342" max="14342" width="11.28515625" bestFit="1" customWidth="1"/>
    <col min="14344" max="14344" width="11.28515625" bestFit="1" customWidth="1"/>
    <col min="14592" max="14592" width="41.28515625" customWidth="1"/>
    <col min="14594" max="14594" width="12.28515625" bestFit="1" customWidth="1"/>
    <col min="14595" max="14595" width="9.7109375" bestFit="1" customWidth="1"/>
    <col min="14596" max="14596" width="11.42578125" bestFit="1" customWidth="1"/>
    <col min="14597" max="14597" width="9.7109375" bestFit="1" customWidth="1"/>
    <col min="14598" max="14598" width="11.28515625" bestFit="1" customWidth="1"/>
    <col min="14600" max="14600" width="11.28515625" bestFit="1" customWidth="1"/>
    <col min="14848" max="14848" width="41.28515625" customWidth="1"/>
    <col min="14850" max="14850" width="12.28515625" bestFit="1" customWidth="1"/>
    <col min="14851" max="14851" width="9.7109375" bestFit="1" customWidth="1"/>
    <col min="14852" max="14852" width="11.42578125" bestFit="1" customWidth="1"/>
    <col min="14853" max="14853" width="9.7109375" bestFit="1" customWidth="1"/>
    <col min="14854" max="14854" width="11.28515625" bestFit="1" customWidth="1"/>
    <col min="14856" max="14856" width="11.28515625" bestFit="1" customWidth="1"/>
    <col min="15104" max="15104" width="41.28515625" customWidth="1"/>
    <col min="15106" max="15106" width="12.28515625" bestFit="1" customWidth="1"/>
    <col min="15107" max="15107" width="9.7109375" bestFit="1" customWidth="1"/>
    <col min="15108" max="15108" width="11.42578125" bestFit="1" customWidth="1"/>
    <col min="15109" max="15109" width="9.7109375" bestFit="1" customWidth="1"/>
    <col min="15110" max="15110" width="11.28515625" bestFit="1" customWidth="1"/>
    <col min="15112" max="15112" width="11.28515625" bestFit="1" customWidth="1"/>
    <col min="15360" max="15360" width="41.28515625" customWidth="1"/>
    <col min="15362" max="15362" width="12.28515625" bestFit="1" customWidth="1"/>
    <col min="15363" max="15363" width="9.7109375" bestFit="1" customWidth="1"/>
    <col min="15364" max="15364" width="11.42578125" bestFit="1" customWidth="1"/>
    <col min="15365" max="15365" width="9.7109375" bestFit="1" customWidth="1"/>
    <col min="15366" max="15366" width="11.28515625" bestFit="1" customWidth="1"/>
    <col min="15368" max="15368" width="11.28515625" bestFit="1" customWidth="1"/>
    <col min="15616" max="15616" width="41.28515625" customWidth="1"/>
    <col min="15618" max="15618" width="12.28515625" bestFit="1" customWidth="1"/>
    <col min="15619" max="15619" width="9.7109375" bestFit="1" customWidth="1"/>
    <col min="15620" max="15620" width="11.42578125" bestFit="1" customWidth="1"/>
    <col min="15621" max="15621" width="9.7109375" bestFit="1" customWidth="1"/>
    <col min="15622" max="15622" width="11.28515625" bestFit="1" customWidth="1"/>
    <col min="15624" max="15624" width="11.28515625" bestFit="1" customWidth="1"/>
    <col min="15872" max="15872" width="41.28515625" customWidth="1"/>
    <col min="15874" max="15874" width="12.28515625" bestFit="1" customWidth="1"/>
    <col min="15875" max="15875" width="9.7109375" bestFit="1" customWidth="1"/>
    <col min="15876" max="15876" width="11.42578125" bestFit="1" customWidth="1"/>
    <col min="15877" max="15877" width="9.7109375" bestFit="1" customWidth="1"/>
    <col min="15878" max="15878" width="11.28515625" bestFit="1" customWidth="1"/>
    <col min="15880" max="15880" width="11.28515625" bestFit="1" customWidth="1"/>
    <col min="16128" max="16128" width="41.28515625" customWidth="1"/>
    <col min="16130" max="16130" width="12.28515625" bestFit="1" customWidth="1"/>
    <col min="16131" max="16131" width="9.7109375" bestFit="1" customWidth="1"/>
    <col min="16132" max="16132" width="11.42578125" bestFit="1" customWidth="1"/>
    <col min="16133" max="16133" width="9.7109375" bestFit="1" customWidth="1"/>
    <col min="16134" max="16134" width="11.28515625" bestFit="1" customWidth="1"/>
    <col min="16136" max="16136" width="11.28515625" bestFit="1" customWidth="1"/>
  </cols>
  <sheetData>
    <row r="1" spans="1:8" x14ac:dyDescent="0.2">
      <c r="A1" s="209" t="s">
        <v>441</v>
      </c>
      <c r="F1" s="51" t="str">
        <f>Assumptions!$B$12</f>
        <v>Internal</v>
      </c>
    </row>
    <row r="2" spans="1:8" x14ac:dyDescent="0.2">
      <c r="A2" s="50" t="str">
        <f>Assumptions!B10</f>
        <v>City of Manteca</v>
      </c>
      <c r="F2" s="52" t="str">
        <f>Assumptions!$B$13</f>
        <v>Working Draft - v4</v>
      </c>
    </row>
    <row r="3" spans="1:8" x14ac:dyDescent="0.2">
      <c r="A3" s="209" t="s">
        <v>442</v>
      </c>
      <c r="F3" s="53">
        <f>Assumptions!$B$14</f>
        <v>41113</v>
      </c>
    </row>
    <row r="4" spans="1:8" x14ac:dyDescent="0.2">
      <c r="A4" s="50" t="s">
        <v>287</v>
      </c>
    </row>
    <row r="5" spans="1:8" x14ac:dyDescent="0.2">
      <c r="E5" s="189"/>
      <c r="F5" s="189"/>
      <c r="G5" s="186"/>
      <c r="H5" s="201"/>
    </row>
    <row r="6" spans="1:8" x14ac:dyDescent="0.2">
      <c r="E6" s="198"/>
      <c r="F6" s="198"/>
      <c r="G6" s="199"/>
      <c r="H6" s="201"/>
    </row>
    <row r="7" spans="1:8" x14ac:dyDescent="0.2">
      <c r="E7" s="198"/>
      <c r="F7" s="198"/>
      <c r="G7" s="199"/>
      <c r="H7" s="201"/>
    </row>
    <row r="8" spans="1:8" x14ac:dyDescent="0.2">
      <c r="E8" s="198"/>
      <c r="F8" s="198"/>
      <c r="G8" s="199"/>
      <c r="H8" s="201"/>
    </row>
    <row r="9" spans="1:8" ht="36.6" customHeight="1" x14ac:dyDescent="0.2">
      <c r="A9" s="5" t="s">
        <v>7</v>
      </c>
      <c r="B9" s="225" t="s">
        <v>416</v>
      </c>
      <c r="C9" s="256" t="s">
        <v>420</v>
      </c>
      <c r="D9" s="256" t="s">
        <v>423</v>
      </c>
      <c r="E9" s="257" t="s">
        <v>421</v>
      </c>
      <c r="F9" s="257" t="s">
        <v>422</v>
      </c>
      <c r="G9" s="199"/>
      <c r="H9" s="201"/>
    </row>
    <row r="10" spans="1:8" x14ac:dyDescent="0.2">
      <c r="G10" s="199"/>
      <c r="H10" s="201"/>
    </row>
    <row r="11" spans="1:8" x14ac:dyDescent="0.2">
      <c r="G11" s="199"/>
      <c r="H11" s="201"/>
    </row>
    <row r="12" spans="1:8" x14ac:dyDescent="0.2">
      <c r="A12" s="258" t="s">
        <v>425</v>
      </c>
      <c r="B12" s="171"/>
      <c r="C12" s="171"/>
      <c r="D12" s="171"/>
      <c r="E12" s="198"/>
      <c r="F12" s="198"/>
      <c r="G12" s="199"/>
      <c r="H12" s="201"/>
    </row>
    <row r="13" spans="1:8" x14ac:dyDescent="0.2">
      <c r="A13" s="171" t="s">
        <v>418</v>
      </c>
      <c r="B13" s="171" t="s">
        <v>417</v>
      </c>
      <c r="C13" s="171">
        <v>50</v>
      </c>
      <c r="D13" s="171">
        <f>C13/5</f>
        <v>10</v>
      </c>
      <c r="E13" s="187">
        <v>75000</v>
      </c>
      <c r="F13" s="198">
        <f>E13*D13</f>
        <v>750000</v>
      </c>
      <c r="G13" s="199"/>
      <c r="H13" s="202"/>
    </row>
    <row r="14" spans="1:8" x14ac:dyDescent="0.2">
      <c r="A14" t="s">
        <v>271</v>
      </c>
      <c r="B14" s="171" t="s">
        <v>417</v>
      </c>
      <c r="C14" s="171">
        <v>50</v>
      </c>
      <c r="D14" s="171">
        <f>C14/5</f>
        <v>10</v>
      </c>
      <c r="E14" s="192">
        <v>15000</v>
      </c>
      <c r="F14" s="198">
        <f>E14*D14</f>
        <v>150000</v>
      </c>
    </row>
    <row r="15" spans="1:8" x14ac:dyDescent="0.2">
      <c r="E15" s="5"/>
      <c r="F15" s="5"/>
    </row>
    <row r="17" spans="1:6" x14ac:dyDescent="0.2">
      <c r="A17" t="s">
        <v>272</v>
      </c>
      <c r="E17" s="192">
        <f>SUM(E12:E16)</f>
        <v>90000</v>
      </c>
      <c r="F17" s="192">
        <f>SUM(F12:F16)</f>
        <v>900000</v>
      </c>
    </row>
    <row r="18" spans="1:6" x14ac:dyDescent="0.2">
      <c r="E18" s="192"/>
    </row>
    <row r="19" spans="1:6" x14ac:dyDescent="0.2">
      <c r="A19" s="171" t="s">
        <v>424</v>
      </c>
      <c r="E19" s="192"/>
    </row>
    <row r="20" spans="1:6" x14ac:dyDescent="0.2">
      <c r="A20" t="s">
        <v>266</v>
      </c>
      <c r="B20" s="203">
        <v>0.25</v>
      </c>
      <c r="C20" s="203"/>
      <c r="D20" s="203"/>
      <c r="E20" s="192">
        <f>$B$20*E17</f>
        <v>22500</v>
      </c>
      <c r="F20" s="202">
        <f>$F$17*$B20</f>
        <v>225000</v>
      </c>
    </row>
    <row r="21" spans="1:6" x14ac:dyDescent="0.2">
      <c r="A21" t="s">
        <v>267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225000</v>
      </c>
    </row>
    <row r="22" spans="1:6" x14ac:dyDescent="0.2">
      <c r="A22" t="s">
        <v>268</v>
      </c>
      <c r="B22" s="203">
        <v>0.25</v>
      </c>
      <c r="C22" s="203"/>
      <c r="D22" s="203"/>
      <c r="E22" s="192">
        <f>$B$22*E17</f>
        <v>22500</v>
      </c>
      <c r="F22" s="202">
        <f t="shared" si="0"/>
        <v>225000</v>
      </c>
    </row>
    <row r="23" spans="1:6" x14ac:dyDescent="0.2">
      <c r="A23" t="s">
        <v>269</v>
      </c>
      <c r="B23" s="203">
        <v>0.25</v>
      </c>
      <c r="C23" s="203"/>
      <c r="D23" s="203"/>
      <c r="E23" s="192">
        <f>$B$23*E17</f>
        <v>22500</v>
      </c>
      <c r="F23" s="202">
        <f t="shared" si="0"/>
        <v>225000</v>
      </c>
    </row>
    <row r="24" spans="1:6" x14ac:dyDescent="0.2">
      <c r="E24" s="5"/>
      <c r="F24" s="5"/>
    </row>
    <row r="26" spans="1:6" x14ac:dyDescent="0.2">
      <c r="A26" s="171" t="s">
        <v>419</v>
      </c>
      <c r="E26" s="259">
        <f>SUM(E20:E24)</f>
        <v>90000</v>
      </c>
      <c r="F26" s="259">
        <f>SUM(F20:F24)</f>
        <v>900000</v>
      </c>
    </row>
    <row r="27" spans="1:6" x14ac:dyDescent="0.2">
      <c r="A27" s="171"/>
      <c r="E27" s="192"/>
      <c r="F27" s="192"/>
    </row>
    <row r="29" spans="1:6" x14ac:dyDescent="0.2">
      <c r="A29" s="258" t="s">
        <v>426</v>
      </c>
    </row>
    <row r="30" spans="1:6" x14ac:dyDescent="0.2">
      <c r="A30" s="171" t="s">
        <v>418</v>
      </c>
      <c r="B30" s="171" t="s">
        <v>427</v>
      </c>
      <c r="C30" s="171">
        <v>50</v>
      </c>
      <c r="D30" s="171">
        <v>50</v>
      </c>
      <c r="E30" s="187">
        <v>20000</v>
      </c>
      <c r="F30" s="198">
        <f>E30*D30</f>
        <v>1000000</v>
      </c>
    </row>
    <row r="31" spans="1:6" x14ac:dyDescent="0.2">
      <c r="A31" t="s">
        <v>271</v>
      </c>
      <c r="B31" s="171" t="s">
        <v>427</v>
      </c>
      <c r="C31" s="171">
        <v>50</v>
      </c>
      <c r="D31" s="171">
        <v>50</v>
      </c>
      <c r="E31" s="192">
        <v>3000</v>
      </c>
      <c r="F31" s="198">
        <f>E31*D31</f>
        <v>150000</v>
      </c>
    </row>
    <row r="32" spans="1:6" x14ac:dyDescent="0.2">
      <c r="E32" s="5"/>
      <c r="F32" s="5"/>
    </row>
    <row r="34" spans="1:6" x14ac:dyDescent="0.2">
      <c r="A34" t="s">
        <v>272</v>
      </c>
      <c r="E34" s="192">
        <f>SUM(E29:E33)</f>
        <v>23000</v>
      </c>
      <c r="F34" s="192">
        <f>SUM(F29:F33)</f>
        <v>1150000</v>
      </c>
    </row>
    <row r="35" spans="1:6" x14ac:dyDescent="0.2">
      <c r="E35" s="192"/>
    </row>
    <row r="36" spans="1:6" x14ac:dyDescent="0.2">
      <c r="A36" s="171" t="s">
        <v>424</v>
      </c>
      <c r="E36" s="192"/>
    </row>
    <row r="37" spans="1:6" x14ac:dyDescent="0.2">
      <c r="A37" t="s">
        <v>266</v>
      </c>
      <c r="B37" s="203">
        <v>0.25</v>
      </c>
      <c r="C37" s="203"/>
      <c r="D37" s="203"/>
      <c r="E37" s="192">
        <f>$B$20*E34</f>
        <v>5750</v>
      </c>
      <c r="F37" s="202">
        <f>$F$34*$B37</f>
        <v>287500</v>
      </c>
    </row>
    <row r="38" spans="1:6" x14ac:dyDescent="0.2">
      <c r="A38" t="s">
        <v>267</v>
      </c>
      <c r="B38" s="203">
        <v>0.25</v>
      </c>
      <c r="C38" s="203"/>
      <c r="D38" s="203"/>
      <c r="E38" s="192">
        <f>$B$21*E34</f>
        <v>5750</v>
      </c>
      <c r="F38" s="202">
        <f t="shared" ref="F38:F40" si="1">$F$34*$B38</f>
        <v>287500</v>
      </c>
    </row>
    <row r="39" spans="1:6" x14ac:dyDescent="0.2">
      <c r="A39" t="s">
        <v>268</v>
      </c>
      <c r="B39" s="203">
        <v>0.25</v>
      </c>
      <c r="C39" s="203"/>
      <c r="D39" s="203"/>
      <c r="E39" s="192">
        <f>$B$22*E34</f>
        <v>5750</v>
      </c>
      <c r="F39" s="202">
        <f t="shared" si="1"/>
        <v>287500</v>
      </c>
    </row>
    <row r="40" spans="1:6" x14ac:dyDescent="0.2">
      <c r="A40" t="s">
        <v>269</v>
      </c>
      <c r="B40" s="203">
        <v>0.25</v>
      </c>
      <c r="C40" s="203"/>
      <c r="D40" s="203"/>
      <c r="E40" s="192">
        <f>$B$23*E34</f>
        <v>5750</v>
      </c>
      <c r="F40" s="202">
        <f t="shared" si="1"/>
        <v>287500</v>
      </c>
    </row>
    <row r="41" spans="1:6" x14ac:dyDescent="0.2">
      <c r="E41" s="5"/>
      <c r="F41" s="5"/>
    </row>
    <row r="43" spans="1:6" x14ac:dyDescent="0.2">
      <c r="A43" s="171" t="s">
        <v>428</v>
      </c>
      <c r="E43" s="259">
        <f>SUM(E37:E41)</f>
        <v>23000</v>
      </c>
      <c r="F43" s="259">
        <f>SUM(F37:F41)</f>
        <v>1150000</v>
      </c>
    </row>
    <row r="44" spans="1:6" x14ac:dyDescent="0.2">
      <c r="A44" s="171"/>
      <c r="E44" s="192"/>
      <c r="F44" s="192"/>
    </row>
    <row r="46" spans="1:6" x14ac:dyDescent="0.2">
      <c r="A46" s="204" t="s">
        <v>273</v>
      </c>
    </row>
    <row r="47" spans="1:6" x14ac:dyDescent="0.2">
      <c r="A47" t="s">
        <v>274</v>
      </c>
      <c r="B47" s="171" t="s">
        <v>446</v>
      </c>
      <c r="C47" s="171">
        <v>50</v>
      </c>
      <c r="D47" s="171">
        <f>C47/10</f>
        <v>5</v>
      </c>
      <c r="E47" s="192">
        <v>225000</v>
      </c>
      <c r="F47" s="202">
        <f>E47*D47</f>
        <v>1125000</v>
      </c>
    </row>
    <row r="48" spans="1:6" x14ac:dyDescent="0.2">
      <c r="A48" t="s">
        <v>275</v>
      </c>
      <c r="B48" s="171" t="s">
        <v>446</v>
      </c>
      <c r="C48" s="171">
        <v>50</v>
      </c>
      <c r="D48" s="171">
        <f>C48/10</f>
        <v>5</v>
      </c>
      <c r="E48" s="205">
        <v>200000</v>
      </c>
      <c r="F48" s="205">
        <f>E48*D48</f>
        <v>1000000</v>
      </c>
    </row>
    <row r="49" spans="1:7" x14ac:dyDescent="0.2">
      <c r="A49" s="171" t="s">
        <v>439</v>
      </c>
      <c r="E49" s="202">
        <f>SUM(E47:E48)</f>
        <v>425000</v>
      </c>
      <c r="F49" s="202">
        <f>SUM(F47:F48)</f>
        <v>2125000</v>
      </c>
      <c r="G49" s="202"/>
    </row>
    <row r="50" spans="1:7" x14ac:dyDescent="0.2">
      <c r="A50" s="261" t="s">
        <v>436</v>
      </c>
      <c r="B50" s="25">
        <v>0.75</v>
      </c>
      <c r="E50" s="202"/>
      <c r="F50" s="202">
        <f>B50*F49</f>
        <v>1593750</v>
      </c>
      <c r="G50" s="202"/>
    </row>
    <row r="51" spans="1:7" x14ac:dyDescent="0.2">
      <c r="A51" s="261" t="s">
        <v>437</v>
      </c>
      <c r="B51" s="25">
        <v>0.25</v>
      </c>
      <c r="E51" s="202"/>
      <c r="F51" s="202">
        <f>B51*F49</f>
        <v>531250</v>
      </c>
      <c r="G51" s="202"/>
    </row>
    <row r="52" spans="1:7" x14ac:dyDescent="0.2">
      <c r="E52" s="202"/>
    </row>
    <row r="53" spans="1:7" x14ac:dyDescent="0.2">
      <c r="E53" s="202"/>
    </row>
    <row r="54" spans="1:7" x14ac:dyDescent="0.2">
      <c r="A54" s="260" t="s">
        <v>429</v>
      </c>
      <c r="E54" s="202"/>
    </row>
    <row r="55" spans="1:7" x14ac:dyDescent="0.2">
      <c r="A55" t="s">
        <v>276</v>
      </c>
      <c r="B55" s="171" t="s">
        <v>446</v>
      </c>
      <c r="C55" s="171">
        <v>50</v>
      </c>
      <c r="D55" s="171">
        <f>C55/10</f>
        <v>5</v>
      </c>
      <c r="E55" s="192">
        <v>100000</v>
      </c>
      <c r="F55" s="202">
        <f>E55*D55</f>
        <v>500000</v>
      </c>
    </row>
    <row r="56" spans="1:7" x14ac:dyDescent="0.2">
      <c r="A56" t="s">
        <v>277</v>
      </c>
      <c r="B56" s="171" t="s">
        <v>446</v>
      </c>
      <c r="C56" s="171">
        <v>50</v>
      </c>
      <c r="D56" s="171">
        <f>C56/10</f>
        <v>5</v>
      </c>
      <c r="E56" s="205">
        <v>75000</v>
      </c>
      <c r="F56" s="205">
        <f>E56*D56</f>
        <v>375000</v>
      </c>
    </row>
    <row r="57" spans="1:7" x14ac:dyDescent="0.2">
      <c r="A57" s="171" t="s">
        <v>439</v>
      </c>
      <c r="E57" s="202">
        <f>SUM(E55:E56)</f>
        <v>175000</v>
      </c>
      <c r="F57" s="202">
        <f>SUM(F55:F56)</f>
        <v>875000</v>
      </c>
    </row>
    <row r="58" spans="1:7" x14ac:dyDescent="0.2">
      <c r="A58" s="261" t="s">
        <v>436</v>
      </c>
      <c r="B58" s="25">
        <v>0.75</v>
      </c>
      <c r="E58" s="202"/>
      <c r="F58" s="202">
        <f>B58*F57</f>
        <v>656250</v>
      </c>
      <c r="G58" s="202"/>
    </row>
    <row r="59" spans="1:7" x14ac:dyDescent="0.2">
      <c r="A59" s="261" t="s">
        <v>437</v>
      </c>
      <c r="B59" s="25">
        <v>0.25</v>
      </c>
      <c r="E59" s="202"/>
      <c r="F59" s="202">
        <f>B59*F57</f>
        <v>218750</v>
      </c>
      <c r="G59" s="202"/>
    </row>
    <row r="60" spans="1:7" x14ac:dyDescent="0.2">
      <c r="E60" s="202"/>
    </row>
    <row r="61" spans="1:7" x14ac:dyDescent="0.2">
      <c r="E61" s="202"/>
    </row>
    <row r="62" spans="1:7" x14ac:dyDescent="0.2">
      <c r="A62" s="204" t="s">
        <v>278</v>
      </c>
      <c r="E62" s="202"/>
    </row>
    <row r="63" spans="1:7" x14ac:dyDescent="0.2">
      <c r="A63" t="s">
        <v>279</v>
      </c>
      <c r="B63" s="171" t="s">
        <v>446</v>
      </c>
      <c r="C63" s="171">
        <v>50</v>
      </c>
      <c r="D63" s="171">
        <f>C63/10</f>
        <v>5</v>
      </c>
      <c r="E63" s="192">
        <v>225000</v>
      </c>
      <c r="F63" s="202">
        <f>E63*D63</f>
        <v>1125000</v>
      </c>
    </row>
    <row r="64" spans="1:7" x14ac:dyDescent="0.2">
      <c r="A64" t="s">
        <v>280</v>
      </c>
      <c r="B64" s="171" t="s">
        <v>446</v>
      </c>
      <c r="C64" s="171">
        <v>50</v>
      </c>
      <c r="D64" s="171">
        <f>C64/10</f>
        <v>5</v>
      </c>
      <c r="E64" s="205">
        <v>150000</v>
      </c>
      <c r="F64" s="205">
        <f>E64*D64</f>
        <v>750000</v>
      </c>
    </row>
    <row r="65" spans="1:7" x14ac:dyDescent="0.2">
      <c r="A65" s="171" t="s">
        <v>439</v>
      </c>
      <c r="E65" s="202">
        <f>SUM(E63:E64)</f>
        <v>375000</v>
      </c>
      <c r="F65" s="202">
        <f>SUM(F63:F64)</f>
        <v>1875000</v>
      </c>
    </row>
    <row r="66" spans="1:7" x14ac:dyDescent="0.2">
      <c r="A66" s="261" t="s">
        <v>436</v>
      </c>
      <c r="B66" s="25">
        <v>0.75</v>
      </c>
      <c r="E66" s="202"/>
      <c r="F66" s="202">
        <f>B66*F65</f>
        <v>1406250</v>
      </c>
      <c r="G66" s="202"/>
    </row>
    <row r="67" spans="1:7" x14ac:dyDescent="0.2">
      <c r="A67" s="261" t="s">
        <v>437</v>
      </c>
      <c r="B67" s="25">
        <v>0.25</v>
      </c>
      <c r="E67" s="202"/>
      <c r="F67" s="202">
        <f>B67*F65</f>
        <v>468750</v>
      </c>
      <c r="G67" s="202"/>
    </row>
    <row r="68" spans="1:7" x14ac:dyDescent="0.2">
      <c r="E68" s="202"/>
    </row>
    <row r="69" spans="1:7" x14ac:dyDescent="0.2">
      <c r="E69" s="202"/>
    </row>
    <row r="70" spans="1:7" x14ac:dyDescent="0.2">
      <c r="A70" s="204" t="s">
        <v>281</v>
      </c>
    </row>
    <row r="71" spans="1:7" x14ac:dyDescent="0.2">
      <c r="A71" t="s">
        <v>282</v>
      </c>
      <c r="B71" s="171" t="s">
        <v>446</v>
      </c>
      <c r="C71" s="171">
        <v>50</v>
      </c>
      <c r="D71" s="171">
        <f>C71/10</f>
        <v>5</v>
      </c>
      <c r="E71" s="192">
        <v>275000</v>
      </c>
      <c r="F71" s="202">
        <f>E71*D71</f>
        <v>1375000</v>
      </c>
    </row>
    <row r="72" spans="1:7" x14ac:dyDescent="0.2">
      <c r="A72" t="s">
        <v>283</v>
      </c>
      <c r="B72" s="171" t="s">
        <v>446</v>
      </c>
      <c r="C72" s="171">
        <v>50</v>
      </c>
      <c r="D72" s="171">
        <f>C72/10</f>
        <v>5</v>
      </c>
      <c r="E72" s="205">
        <v>175000</v>
      </c>
      <c r="F72" s="205">
        <f>E72*D72</f>
        <v>875000</v>
      </c>
    </row>
    <row r="73" spans="1:7" x14ac:dyDescent="0.2">
      <c r="A73" s="171" t="s">
        <v>438</v>
      </c>
      <c r="E73" s="202">
        <f>SUM(E71:E72)</f>
        <v>450000</v>
      </c>
      <c r="F73" s="202">
        <f>SUM(F71:F72)</f>
        <v>2250000</v>
      </c>
    </row>
    <row r="74" spans="1:7" x14ac:dyDescent="0.2">
      <c r="A74" s="261" t="s">
        <v>436</v>
      </c>
      <c r="B74" s="25">
        <v>0.75</v>
      </c>
      <c r="E74" s="202"/>
      <c r="F74" s="202">
        <f>B74*F73</f>
        <v>1687500</v>
      </c>
      <c r="G74" s="202"/>
    </row>
    <row r="75" spans="1:7" x14ac:dyDescent="0.2">
      <c r="A75" s="261" t="s">
        <v>437</v>
      </c>
      <c r="B75" s="25">
        <v>0.25</v>
      </c>
      <c r="E75" s="202"/>
      <c r="F75" s="202">
        <f>B75*F73</f>
        <v>562500</v>
      </c>
      <c r="G75" s="202"/>
    </row>
    <row r="76" spans="1:7" ht="13.5" thickBot="1" x14ac:dyDescent="0.25">
      <c r="E76" s="206"/>
      <c r="F76" s="207"/>
    </row>
    <row r="77" spans="1:7" x14ac:dyDescent="0.2">
      <c r="E77" s="202"/>
    </row>
    <row r="78" spans="1:7" x14ac:dyDescent="0.2">
      <c r="A78" s="171" t="s">
        <v>430</v>
      </c>
      <c r="E78" s="192">
        <f>E73+E65+E57+E49</f>
        <v>1425000</v>
      </c>
      <c r="F78" s="192">
        <f>F73+F65+F57+F49</f>
        <v>7125000</v>
      </c>
    </row>
    <row r="79" spans="1:7" x14ac:dyDescent="0.2">
      <c r="A79" s="261" t="s">
        <v>436</v>
      </c>
      <c r="E79" s="192"/>
      <c r="F79" s="192">
        <f t="shared" ref="F79:F80" si="2">F74+F66+F58+F50</f>
        <v>5343750</v>
      </c>
    </row>
    <row r="80" spans="1:7" x14ac:dyDescent="0.2">
      <c r="A80" s="261" t="s">
        <v>437</v>
      </c>
      <c r="E80" s="192"/>
      <c r="F80" s="192">
        <f t="shared" si="2"/>
        <v>1781250</v>
      </c>
    </row>
    <row r="81" spans="1:6" x14ac:dyDescent="0.2">
      <c r="A81" s="261"/>
      <c r="E81" s="192"/>
      <c r="F81" s="192"/>
    </row>
    <row r="82" spans="1:6" x14ac:dyDescent="0.2">
      <c r="E82" s="202"/>
    </row>
    <row r="83" spans="1:6" x14ac:dyDescent="0.2">
      <c r="A83" s="262"/>
      <c r="B83" s="263"/>
      <c r="C83" s="263"/>
      <c r="D83" s="263"/>
      <c r="E83" s="264"/>
      <c r="F83" s="265"/>
    </row>
    <row r="84" spans="1:6" x14ac:dyDescent="0.2">
      <c r="A84" s="266" t="s">
        <v>284</v>
      </c>
      <c r="B84" s="267"/>
      <c r="C84" s="267"/>
      <c r="D84" s="267"/>
      <c r="E84" s="268">
        <f>E78+E43+E26</f>
        <v>1538000</v>
      </c>
      <c r="F84" s="269">
        <f>F78+F43+F26</f>
        <v>9175000</v>
      </c>
    </row>
    <row r="85" spans="1:6" x14ac:dyDescent="0.2">
      <c r="A85" s="270" t="s">
        <v>436</v>
      </c>
      <c r="B85" s="267"/>
      <c r="C85" s="267"/>
      <c r="D85" s="267"/>
      <c r="E85" s="195"/>
      <c r="F85" s="271">
        <f>F79+F26+F43</f>
        <v>7393750</v>
      </c>
    </row>
    <row r="86" spans="1:6" x14ac:dyDescent="0.2">
      <c r="A86" s="270" t="s">
        <v>437</v>
      </c>
      <c r="B86" s="267"/>
      <c r="C86" s="267"/>
      <c r="D86" s="267"/>
      <c r="E86" s="195"/>
      <c r="F86" s="271">
        <f>F80</f>
        <v>1781250</v>
      </c>
    </row>
    <row r="87" spans="1:6" x14ac:dyDescent="0.2">
      <c r="A87" s="272"/>
      <c r="B87" s="5"/>
      <c r="C87" s="5"/>
      <c r="D87" s="5"/>
      <c r="E87" s="197"/>
      <c r="F87" s="273"/>
    </row>
    <row r="88" spans="1:6" x14ac:dyDescent="0.2">
      <c r="A88" s="261"/>
      <c r="E88" s="192"/>
      <c r="F88" s="192"/>
    </row>
    <row r="89" spans="1:6" x14ac:dyDescent="0.2">
      <c r="A89" s="208" t="s">
        <v>11</v>
      </c>
    </row>
    <row r="90" spans="1:6" x14ac:dyDescent="0.2">
      <c r="A90" t="s">
        <v>285</v>
      </c>
    </row>
    <row r="91" spans="1:6" x14ac:dyDescent="0.2">
      <c r="A91" s="171" t="s">
        <v>431</v>
      </c>
    </row>
    <row r="92" spans="1:6" x14ac:dyDescent="0.2">
      <c r="A92" t="s">
        <v>286</v>
      </c>
    </row>
  </sheetData>
  <printOptions horizontalCentered="1" verticalCentered="1"/>
  <pageMargins left="0.5" right="0.5" top="1" bottom="1" header="0.5" footer="0.5"/>
  <pageSetup paperSize="3" scale="92" orientation="portrait" r:id="rId1"/>
  <headerFooter alignWithMargins="0">
    <oddFooter>&amp;L&amp;8&amp;Z&amp;F&amp;R&amp;T&amp;D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2.75" x14ac:dyDescent="0.2"/>
  <cols>
    <col min="1" max="1" width="23.28515625" customWidth="1"/>
    <col min="2" max="2" width="8.28515625" customWidth="1"/>
    <col min="3" max="3" width="15" bestFit="1" customWidth="1"/>
    <col min="4" max="4" width="19.42578125" customWidth="1"/>
    <col min="5" max="5" width="14" bestFit="1" customWidth="1"/>
    <col min="6" max="6" width="14.7109375" customWidth="1"/>
    <col min="7" max="7" width="14.140625" bestFit="1" customWidth="1"/>
  </cols>
  <sheetData>
    <row r="1" spans="1:8" x14ac:dyDescent="0.2">
      <c r="A1" t="s">
        <v>57</v>
      </c>
    </row>
    <row r="2" spans="1:8" x14ac:dyDescent="0.2">
      <c r="A2" t="s">
        <v>58</v>
      </c>
    </row>
    <row r="3" spans="1:8" x14ac:dyDescent="0.2">
      <c r="A3" t="s">
        <v>59</v>
      </c>
    </row>
    <row r="7" spans="1:8" x14ac:dyDescent="0.2">
      <c r="G7" s="42" t="s">
        <v>61</v>
      </c>
    </row>
    <row r="8" spans="1:8" x14ac:dyDescent="0.2">
      <c r="B8" s="6" t="s">
        <v>46</v>
      </c>
      <c r="C8" s="6" t="s">
        <v>47</v>
      </c>
      <c r="D8" s="6" t="s">
        <v>48</v>
      </c>
      <c r="E8" s="6" t="s">
        <v>49</v>
      </c>
      <c r="F8" s="6" t="s">
        <v>50</v>
      </c>
      <c r="G8" s="47" t="s">
        <v>9</v>
      </c>
    </row>
    <row r="9" spans="1:8" x14ac:dyDescent="0.2">
      <c r="B9" s="4"/>
      <c r="G9" s="43"/>
    </row>
    <row r="10" spans="1:8" x14ac:dyDescent="0.2">
      <c r="B10" s="4"/>
      <c r="G10" s="43"/>
    </row>
    <row r="11" spans="1:8" x14ac:dyDescent="0.2">
      <c r="A11" t="s">
        <v>60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 x14ac:dyDescent="0.2">
      <c r="B12" s="4"/>
      <c r="D12" s="21"/>
      <c r="E12" s="21"/>
      <c r="F12" s="21"/>
      <c r="G12" s="43"/>
    </row>
    <row r="13" spans="1:8" x14ac:dyDescent="0.2">
      <c r="A13" t="s">
        <v>51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 x14ac:dyDescent="0.2">
      <c r="A14" t="s">
        <v>52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292</v>
      </c>
    </row>
    <row r="15" spans="1:8" x14ac:dyDescent="0.2">
      <c r="A15" t="s">
        <v>53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 x14ac:dyDescent="0.2">
      <c r="A16" t="s">
        <v>54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291</v>
      </c>
    </row>
    <row r="17" spans="1:7" x14ac:dyDescent="0.2">
      <c r="A17" t="s">
        <v>55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 x14ac:dyDescent="0.2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 x14ac:dyDescent="0.2">
      <c r="A22" t="s">
        <v>56</v>
      </c>
    </row>
    <row r="25" spans="1:7" x14ac:dyDescent="0.2">
      <c r="A25" t="s">
        <v>11</v>
      </c>
    </row>
    <row r="27" spans="1:7" x14ac:dyDescent="0.2">
      <c r="A27" t="s">
        <v>79</v>
      </c>
    </row>
    <row r="28" spans="1:7" x14ac:dyDescent="0.2">
      <c r="A28" t="s">
        <v>80</v>
      </c>
    </row>
    <row r="41" ht="12" customHeight="1" x14ac:dyDescent="0.2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defaultRowHeight="12.75" x14ac:dyDescent="0.2"/>
  <cols>
    <col min="1" max="1" width="34.7109375" customWidth="1"/>
    <col min="2" max="2" width="11.5703125" bestFit="1" customWidth="1"/>
    <col min="3" max="3" width="13.28515625" bestFit="1" customWidth="1"/>
    <col min="4" max="4" width="11.5703125" bestFit="1" customWidth="1"/>
    <col min="5" max="5" width="13.140625" bestFit="1" customWidth="1"/>
    <col min="6" max="7" width="11.42578125" customWidth="1"/>
    <col min="8" max="8" width="10.42578125" bestFit="1" customWidth="1"/>
    <col min="9" max="9" width="13.140625" bestFit="1" customWidth="1"/>
    <col min="10" max="10" width="22.5703125" bestFit="1" customWidth="1"/>
  </cols>
  <sheetData>
    <row r="1" spans="1:11" x14ac:dyDescent="0.2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v4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41113</v>
      </c>
      <c r="K3" s="171"/>
    </row>
    <row r="4" spans="1:11" x14ac:dyDescent="0.2">
      <c r="A4" s="171" t="s">
        <v>76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x14ac:dyDescent="0.2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x14ac:dyDescent="0.2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2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 x14ac:dyDescent="0.2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303</v>
      </c>
      <c r="H10" s="223" t="s">
        <v>339</v>
      </c>
      <c r="I10" s="223"/>
      <c r="J10" s="171"/>
      <c r="K10" s="171"/>
    </row>
    <row r="11" spans="1:11" x14ac:dyDescent="0.2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 x14ac:dyDescent="0.2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 x14ac:dyDescent="0.2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 x14ac:dyDescent="0.2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 x14ac:dyDescent="0.2">
      <c r="A15" s="96" t="s">
        <v>134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x14ac:dyDescent="0.2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x14ac:dyDescent="0.2">
      <c r="A17" s="229" t="s">
        <v>62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 x14ac:dyDescent="0.2">
      <c r="A18" s="229" t="s">
        <v>387</v>
      </c>
      <c r="B18" s="231">
        <f>'2. CIP From Master Plan'!E124</f>
        <v>1740484</v>
      </c>
      <c r="C18" s="231">
        <f>'2. CIP From Master Plan'!F124</f>
        <v>14279496</v>
      </c>
      <c r="D18" s="231">
        <f>'2. CIP From Master Plan'!G124</f>
        <v>260610</v>
      </c>
      <c r="E18" s="231">
        <f>'2. CIP From Master Plan'!H124</f>
        <v>33293459</v>
      </c>
      <c r="F18" s="231">
        <f>'2. CIP From Master Plan'!I124</f>
        <v>1964264</v>
      </c>
      <c r="G18" s="231">
        <f>'2. CIP From Master Plan'!J124</f>
        <v>438307</v>
      </c>
      <c r="H18" s="231">
        <f>'2. CIP From Master Plan'!K124</f>
        <v>1202380</v>
      </c>
      <c r="I18" s="231">
        <f>SUM(B18:H18)</f>
        <v>53179000</v>
      </c>
      <c r="J18" s="171" t="s">
        <v>77</v>
      </c>
      <c r="K18" s="171"/>
    </row>
    <row r="19" spans="1:11" x14ac:dyDescent="0.2">
      <c r="A19" s="229" t="s">
        <v>13</v>
      </c>
      <c r="B19" s="232">
        <f t="shared" ref="B19:H19" si="0">SUM(B17:B18)</f>
        <v>1740484</v>
      </c>
      <c r="C19" s="232">
        <f t="shared" si="0"/>
        <v>14279496</v>
      </c>
      <c r="D19" s="232">
        <f t="shared" si="0"/>
        <v>260610</v>
      </c>
      <c r="E19" s="232">
        <f t="shared" si="0"/>
        <v>33293459</v>
      </c>
      <c r="F19" s="232">
        <f t="shared" si="0"/>
        <v>1964264</v>
      </c>
      <c r="G19" s="232">
        <f t="shared" si="0"/>
        <v>438307</v>
      </c>
      <c r="H19" s="232">
        <f t="shared" si="0"/>
        <v>1202380</v>
      </c>
      <c r="I19" s="230">
        <f>SUM(B19:H19)</f>
        <v>53179000</v>
      </c>
      <c r="J19" s="233"/>
      <c r="K19" s="171"/>
    </row>
    <row r="20" spans="1:11" x14ac:dyDescent="0.2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x14ac:dyDescent="0.2">
      <c r="A21" s="246" t="s">
        <v>392</v>
      </c>
      <c r="B21" s="238">
        <f>B19*0.19</f>
        <v>330691.96000000002</v>
      </c>
      <c r="C21" s="238">
        <f t="shared" ref="C21:H21" si="1">C19*0.19</f>
        <v>2713104.24</v>
      </c>
      <c r="D21" s="238">
        <f t="shared" si="1"/>
        <v>49515.9</v>
      </c>
      <c r="E21" s="238">
        <f t="shared" si="1"/>
        <v>6325757.21</v>
      </c>
      <c r="F21" s="238">
        <f t="shared" si="1"/>
        <v>373210.16000000003</v>
      </c>
      <c r="G21" s="238">
        <f t="shared" si="1"/>
        <v>83278.33</v>
      </c>
      <c r="H21" s="238">
        <f t="shared" si="1"/>
        <v>228452.2</v>
      </c>
      <c r="I21" s="247">
        <f>SUM(B21:H21)</f>
        <v>10104010</v>
      </c>
      <c r="J21" s="171" t="s">
        <v>393</v>
      </c>
      <c r="K21" s="171"/>
    </row>
    <row r="22" spans="1:11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x14ac:dyDescent="0.2">
      <c r="A23" s="171" t="s">
        <v>293</v>
      </c>
      <c r="B23" s="234">
        <v>0</v>
      </c>
      <c r="C23" s="234">
        <v>0</v>
      </c>
      <c r="D23" s="234">
        <v>0</v>
      </c>
      <c r="E23" s="234">
        <v>0</v>
      </c>
      <c r="F23" s="234">
        <v>0</v>
      </c>
      <c r="G23" s="234">
        <v>0</v>
      </c>
      <c r="H23" s="234">
        <v>0</v>
      </c>
      <c r="I23" s="235">
        <f>SUM(B23:H23)</f>
        <v>0</v>
      </c>
      <c r="J23" s="171"/>
      <c r="K23" s="171"/>
    </row>
    <row r="24" spans="1:11" x14ac:dyDescent="0.2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 x14ac:dyDescent="0.2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x14ac:dyDescent="0.2">
      <c r="A26" s="171" t="s">
        <v>299</v>
      </c>
      <c r="B26" s="234">
        <f>B19+B23+B21</f>
        <v>2071175.96</v>
      </c>
      <c r="C26" s="234">
        <f t="shared" ref="C26:I26" si="2">C19+C23+C21</f>
        <v>16992600.240000002</v>
      </c>
      <c r="D26" s="234">
        <f t="shared" si="2"/>
        <v>310125.90000000002</v>
      </c>
      <c r="E26" s="234">
        <f t="shared" si="2"/>
        <v>39619216.210000001</v>
      </c>
      <c r="F26" s="234">
        <f t="shared" si="2"/>
        <v>2337474.16</v>
      </c>
      <c r="G26" s="234">
        <f t="shared" si="2"/>
        <v>521585.33</v>
      </c>
      <c r="H26" s="234">
        <f t="shared" si="2"/>
        <v>1430832.2</v>
      </c>
      <c r="I26" s="234">
        <f t="shared" si="2"/>
        <v>63283010</v>
      </c>
      <c r="J26" s="171"/>
      <c r="K26" s="171"/>
    </row>
    <row r="27" spans="1:11" x14ac:dyDescent="0.2">
      <c r="A27" s="229" t="s">
        <v>300</v>
      </c>
      <c r="B27" s="237">
        <f t="shared" ref="B27:I27" si="3">B26/$I$26</f>
        <v>3.2728783918464052E-2</v>
      </c>
      <c r="C27" s="237">
        <f t="shared" si="3"/>
        <v>0.26851757272607613</v>
      </c>
      <c r="D27" s="237">
        <f t="shared" si="3"/>
        <v>4.9006186652626044E-3</v>
      </c>
      <c r="E27" s="237">
        <f t="shared" si="3"/>
        <v>0.62606402903401726</v>
      </c>
      <c r="F27" s="237">
        <f t="shared" ref="F27:G27" si="4">F26/$I$26</f>
        <v>3.6936835969085542E-2</v>
      </c>
      <c r="G27" s="237">
        <f t="shared" si="4"/>
        <v>8.2421068466876028E-3</v>
      </c>
      <c r="H27" s="237">
        <f t="shared" si="3"/>
        <v>2.2610052840406927E-2</v>
      </c>
      <c r="I27" s="237">
        <f t="shared" si="3"/>
        <v>1</v>
      </c>
      <c r="J27" s="171"/>
      <c r="K27" s="171"/>
    </row>
    <row r="28" spans="1:11" x14ac:dyDescent="0.2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 x14ac:dyDescent="0.2">
      <c r="A29" s="96" t="s">
        <v>136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 x14ac:dyDescent="0.2">
      <c r="A30" s="229" t="s">
        <v>299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 x14ac:dyDescent="0.2">
      <c r="A31" s="229" t="s">
        <v>301</v>
      </c>
      <c r="B31" s="231">
        <f>(B19/1000)*'5. Financing Assumptions'!$B$19*'5. Financing Assumptions'!$B$15</f>
        <v>590890.26058733452</v>
      </c>
      <c r="C31" s="231">
        <f>(C19/1000)*'5. Financing Assumptions'!$B$19*'5. Financing Assumptions'!$B$15</f>
        <v>4847855.6036687493</v>
      </c>
      <c r="D31" s="231">
        <f>(D19/1000)*'5. Financing Assumptions'!$B$19*'5. Financing Assumptions'!$B$15</f>
        <v>88476.48746651235</v>
      </c>
      <c r="E31" s="231">
        <f>(E19/1000)*'5. Financing Assumptions'!$B$19*'5. Financing Assumptions'!$B$15</f>
        <v>11303051.716857919</v>
      </c>
      <c r="F31" s="231">
        <f>(F19/1000)*'5. Financing Assumptions'!$B$19*'5. Financing Assumptions'!$B$15</f>
        <v>666863.04891186592</v>
      </c>
      <c r="G31" s="231">
        <f>(G19/1000)*'5. Financing Assumptions'!$B$19*'5. Financing Assumptions'!$B$15</f>
        <v>148804.20471963711</v>
      </c>
      <c r="H31" s="231">
        <f>(H19/1000)*'5. Financing Assumptions'!$B$19*'5. Financing Assumptions'!$B$15</f>
        <v>408205.20701425546</v>
      </c>
      <c r="I31" s="231">
        <f>SUM(B31:H31)</f>
        <v>18054146.529226273</v>
      </c>
      <c r="J31" s="171" t="s">
        <v>197</v>
      </c>
      <c r="K31" s="171"/>
    </row>
    <row r="32" spans="1:11" x14ac:dyDescent="0.2">
      <c r="A32" s="229" t="s">
        <v>302</v>
      </c>
      <c r="B32" s="232">
        <f t="shared" ref="B32:H32" si="5">SUM(B30:B31)</f>
        <v>590890.26058733452</v>
      </c>
      <c r="C32" s="232">
        <f t="shared" si="5"/>
        <v>4847855.6036687493</v>
      </c>
      <c r="D32" s="232">
        <f t="shared" si="5"/>
        <v>88476.48746651235</v>
      </c>
      <c r="E32" s="232">
        <f t="shared" si="5"/>
        <v>11303051.716857919</v>
      </c>
      <c r="F32" s="232">
        <f t="shared" si="5"/>
        <v>666863.04891186592</v>
      </c>
      <c r="G32" s="232">
        <f t="shared" si="5"/>
        <v>148804.20471963711</v>
      </c>
      <c r="H32" s="232">
        <f t="shared" si="5"/>
        <v>408205.20701425546</v>
      </c>
      <c r="I32" s="230">
        <f>SUM(B32:H32)</f>
        <v>18054146.529226273</v>
      </c>
      <c r="J32" s="233"/>
      <c r="K32" s="171"/>
    </row>
    <row r="33" spans="1:11" x14ac:dyDescent="0.2">
      <c r="A33" s="229"/>
      <c r="B33" s="237">
        <f t="shared" ref="B33:H33" si="6">IF(B19&gt;0,B32/B19,0)</f>
        <v>0.3394976688020887</v>
      </c>
      <c r="C33" s="237">
        <f t="shared" si="6"/>
        <v>0.33949766880208865</v>
      </c>
      <c r="D33" s="237">
        <f t="shared" si="6"/>
        <v>0.33949766880208876</v>
      </c>
      <c r="E33" s="237">
        <f t="shared" si="6"/>
        <v>0.3394976688020887</v>
      </c>
      <c r="F33" s="237">
        <f t="shared" si="6"/>
        <v>0.3394976688020887</v>
      </c>
      <c r="G33" s="237">
        <f t="shared" si="6"/>
        <v>0.33949766880208876</v>
      </c>
      <c r="H33" s="237">
        <f t="shared" si="6"/>
        <v>0.33949766880208876</v>
      </c>
      <c r="I33" s="171"/>
      <c r="J33" s="171"/>
      <c r="K33" s="171"/>
    </row>
    <row r="34" spans="1:11" x14ac:dyDescent="0.2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 x14ac:dyDescent="0.2">
      <c r="A35" s="96" t="s">
        <v>135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 x14ac:dyDescent="0.2">
      <c r="A36" s="171" t="s">
        <v>453</v>
      </c>
      <c r="B36" s="228">
        <f>B$27*I36</f>
        <v>234624.46971548916</v>
      </c>
      <c r="C36" s="228">
        <f>C$27*I36</f>
        <v>1924935.3494800583</v>
      </c>
      <c r="D36" s="228">
        <f>D$27*I36</f>
        <v>35131.310056601294</v>
      </c>
      <c r="E36" s="228">
        <f>E$27*I36</f>
        <v>4488096.5081376107</v>
      </c>
      <c r="F36" s="228">
        <f>F$27*I36</f>
        <v>264790.94285338197</v>
      </c>
      <c r="G36" s="228">
        <f>G$27*I36</f>
        <v>59085.603457191755</v>
      </c>
      <c r="H36" s="228">
        <f>H$27*I36</f>
        <v>162085.81629966715</v>
      </c>
      <c r="I36" s="238">
        <f>'Sum 1. City Admin Costs Summary'!E14</f>
        <v>7168750</v>
      </c>
      <c r="J36" s="239" t="s">
        <v>452</v>
      </c>
      <c r="K36" s="171"/>
    </row>
    <row r="37" spans="1:11" x14ac:dyDescent="0.2">
      <c r="A37" s="229" t="s">
        <v>432</v>
      </c>
      <c r="B37" s="242">
        <f>B26*0.03</f>
        <v>62135.2788</v>
      </c>
      <c r="C37" s="242">
        <f t="shared" ref="C37:H37" si="7">C26*0.03</f>
        <v>509778.00720000005</v>
      </c>
      <c r="D37" s="242">
        <f t="shared" si="7"/>
        <v>9303.777</v>
      </c>
      <c r="E37" s="242">
        <f t="shared" si="7"/>
        <v>1188576.4863</v>
      </c>
      <c r="F37" s="242">
        <f t="shared" si="7"/>
        <v>70124.224799999996</v>
      </c>
      <c r="G37" s="242">
        <f t="shared" si="7"/>
        <v>15647.5599</v>
      </c>
      <c r="H37" s="242">
        <f t="shared" si="7"/>
        <v>42924.966</v>
      </c>
      <c r="I37" s="236">
        <f>SUM(B37:H37)</f>
        <v>1898490.3</v>
      </c>
      <c r="J37" s="239" t="s">
        <v>394</v>
      </c>
      <c r="K37" s="171"/>
    </row>
    <row r="38" spans="1:11" x14ac:dyDescent="0.2">
      <c r="A38" s="171" t="s">
        <v>435</v>
      </c>
      <c r="B38" s="228">
        <f t="shared" ref="B38:I38" si="8">SUM(B35:B37)</f>
        <v>296759.74851548916</v>
      </c>
      <c r="C38" s="228">
        <f t="shared" si="8"/>
        <v>2434713.3566800584</v>
      </c>
      <c r="D38" s="228">
        <f t="shared" si="8"/>
        <v>44435.087056601296</v>
      </c>
      <c r="E38" s="228">
        <f t="shared" si="8"/>
        <v>5676672.9944376107</v>
      </c>
      <c r="F38" s="228">
        <f t="shared" si="8"/>
        <v>334915.16765338194</v>
      </c>
      <c r="G38" s="228">
        <f t="shared" si="8"/>
        <v>74733.163357191748</v>
      </c>
      <c r="H38" s="228">
        <f t="shared" si="8"/>
        <v>205010.78229966713</v>
      </c>
      <c r="I38" s="228">
        <f t="shared" si="8"/>
        <v>9067240.3000000007</v>
      </c>
      <c r="J38" s="171"/>
      <c r="K38" s="171"/>
    </row>
    <row r="39" spans="1:11" x14ac:dyDescent="0.2">
      <c r="A39" s="171"/>
      <c r="B39" s="228"/>
      <c r="C39" s="228"/>
      <c r="D39" s="228"/>
      <c r="E39" s="228"/>
      <c r="F39" s="228"/>
      <c r="G39" s="228"/>
      <c r="H39" s="228"/>
      <c r="I39" s="230"/>
      <c r="J39" s="171"/>
      <c r="K39" s="171"/>
    </row>
    <row r="40" spans="1:11" x14ac:dyDescent="0.2">
      <c r="A40" s="171"/>
      <c r="B40" s="228"/>
      <c r="C40" s="228"/>
      <c r="D40" s="228"/>
      <c r="E40" s="228"/>
      <c r="F40" s="228"/>
      <c r="G40" s="228"/>
      <c r="H40" s="228"/>
      <c r="I40" s="230"/>
      <c r="J40" s="171"/>
      <c r="K40" s="171"/>
    </row>
    <row r="41" spans="1:11" x14ac:dyDescent="0.2">
      <c r="A41" s="96" t="s">
        <v>137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 x14ac:dyDescent="0.2">
      <c r="A42" s="171" t="s">
        <v>138</v>
      </c>
      <c r="B42" s="238">
        <f>'3. Fund Balance Sewer'!D65</f>
        <v>47999</v>
      </c>
      <c r="C42" s="238">
        <f>'3. Fund Balance Sewer'!E65</f>
        <v>-2755991</v>
      </c>
      <c r="D42" s="238">
        <f>'3. Fund Balance Sewer'!F65</f>
        <v>1055339</v>
      </c>
      <c r="E42" s="238">
        <f>'3. Fund Balance Sewer'!G65</f>
        <v>-3224449</v>
      </c>
      <c r="F42" s="238">
        <f>'3. Fund Balance Sewer'!K65</f>
        <v>-8920</v>
      </c>
      <c r="G42" s="238">
        <v>0</v>
      </c>
      <c r="H42" s="238">
        <v>0</v>
      </c>
      <c r="I42" s="230">
        <f>SUM(B42:H42)</f>
        <v>-4886022</v>
      </c>
      <c r="J42" s="171" t="s">
        <v>132</v>
      </c>
      <c r="K42" s="171"/>
    </row>
    <row r="43" spans="1:11" x14ac:dyDescent="0.2">
      <c r="A43" s="171" t="s">
        <v>304</v>
      </c>
      <c r="B43" s="234">
        <v>0</v>
      </c>
      <c r="C43" s="234">
        <v>0</v>
      </c>
      <c r="D43" s="234">
        <v>0</v>
      </c>
      <c r="E43" s="234">
        <v>0</v>
      </c>
      <c r="F43" s="234">
        <v>0</v>
      </c>
      <c r="G43" s="234">
        <v>0</v>
      </c>
      <c r="H43" s="234">
        <v>0</v>
      </c>
      <c r="I43" s="235">
        <f>SUM(B43:H43)</f>
        <v>0</v>
      </c>
      <c r="J43" s="171"/>
      <c r="K43" s="171"/>
    </row>
    <row r="44" spans="1:11" x14ac:dyDescent="0.2">
      <c r="A44" s="171"/>
      <c r="B44" s="224" t="s">
        <v>140</v>
      </c>
      <c r="C44" s="224"/>
      <c r="D44" s="224"/>
      <c r="E44" s="224"/>
      <c r="F44" s="224"/>
      <c r="G44" s="224"/>
      <c r="H44" s="224"/>
      <c r="I44" s="224"/>
      <c r="J44" s="171"/>
      <c r="K44" s="171"/>
    </row>
    <row r="45" spans="1:11" x14ac:dyDescent="0.2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</row>
    <row r="46" spans="1:11" x14ac:dyDescent="0.2">
      <c r="A46" s="171" t="s">
        <v>139</v>
      </c>
      <c r="B46" s="228">
        <f>SUM(B41:B44)</f>
        <v>47999</v>
      </c>
      <c r="C46" s="228">
        <f t="shared" ref="C46:I46" si="9">SUM(C41:C44)</f>
        <v>-2755991</v>
      </c>
      <c r="D46" s="228">
        <f t="shared" si="9"/>
        <v>1055339</v>
      </c>
      <c r="E46" s="228">
        <f t="shared" si="9"/>
        <v>-3224449</v>
      </c>
      <c r="F46" s="228">
        <f t="shared" ref="F46:G46" si="10">SUM(F41:F44)</f>
        <v>-8920</v>
      </c>
      <c r="G46" s="228">
        <f t="shared" si="10"/>
        <v>0</v>
      </c>
      <c r="H46" s="228">
        <f t="shared" si="9"/>
        <v>0</v>
      </c>
      <c r="I46" s="228">
        <f t="shared" si="9"/>
        <v>-4886022</v>
      </c>
      <c r="J46" s="171"/>
      <c r="K46" s="171"/>
    </row>
    <row r="47" spans="1:11" x14ac:dyDescent="0.2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</row>
    <row r="48" spans="1:11" x14ac:dyDescent="0.2">
      <c r="A48" s="171" t="s">
        <v>395</v>
      </c>
      <c r="B48" s="240">
        <f t="shared" ref="B48:I48" si="11">B26+B38+B32-B46</f>
        <v>2910826.9691028236</v>
      </c>
      <c r="C48" s="240">
        <f t="shared" si="11"/>
        <v>27031160.200348809</v>
      </c>
      <c r="D48" s="240">
        <f t="shared" si="11"/>
        <v>-612301.52547688631</v>
      </c>
      <c r="E48" s="240">
        <f t="shared" si="11"/>
        <v>59823389.921295531</v>
      </c>
      <c r="F48" s="240">
        <f t="shared" si="11"/>
        <v>3348172.3765652478</v>
      </c>
      <c r="G48" s="240">
        <f t="shared" si="11"/>
        <v>745122.69807682885</v>
      </c>
      <c r="H48" s="240">
        <f t="shared" si="11"/>
        <v>2044048.1893139225</v>
      </c>
      <c r="I48" s="240">
        <f t="shared" si="11"/>
        <v>95290418.82922627</v>
      </c>
      <c r="J48" s="171"/>
      <c r="K48" s="171"/>
    </row>
    <row r="49" spans="1:11" x14ac:dyDescent="0.2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</row>
    <row r="50" spans="1:11" x14ac:dyDescent="0.2">
      <c r="A50" s="171" t="s">
        <v>141</v>
      </c>
      <c r="B50" s="238">
        <f>'1.3 Total EDUs Developed'!M24</f>
        <v>523218.81617400009</v>
      </c>
      <c r="C50" s="238">
        <f>'1.3 Total EDUs Developed'!M54</f>
        <v>2589235.0067229997</v>
      </c>
      <c r="D50" s="238">
        <f>'1.3 Total EDUs Developed'!M65</f>
        <v>158586.503589</v>
      </c>
      <c r="E50" s="238">
        <f>'1.3 Total EDUs Developed'!M92</f>
        <v>4875454.5523599992</v>
      </c>
      <c r="F50" s="238">
        <f>'1.3 Total EDUs Developed'!M110</f>
        <v>1280635.140478</v>
      </c>
      <c r="G50" s="238">
        <f>'1.3 Total EDUs Developed'!M119</f>
        <v>265666.56</v>
      </c>
      <c r="H50" s="238">
        <v>0</v>
      </c>
      <c r="I50" s="238">
        <f>SUM(B50:H50)</f>
        <v>9692796.5793239996</v>
      </c>
      <c r="J50" s="171"/>
      <c r="K50" s="171"/>
    </row>
    <row r="51" spans="1:11" x14ac:dyDescent="0.2">
      <c r="A51" s="171" t="s">
        <v>142</v>
      </c>
      <c r="B51" s="314">
        <f>IF(B50=0,"n/a",B48/B50)</f>
        <v>5.5633071271940029</v>
      </c>
      <c r="C51" s="314">
        <f t="shared" ref="C51:I51" si="12">IF(C50=0,"n/a",C48/C50)</f>
        <v>10.439824940633766</v>
      </c>
      <c r="D51" s="314">
        <f t="shared" si="12"/>
        <v>-3.8609939157480566</v>
      </c>
      <c r="E51" s="314">
        <f t="shared" si="12"/>
        <v>12.270320496032022</v>
      </c>
      <c r="F51" s="314">
        <f t="shared" si="12"/>
        <v>2.614462363820139</v>
      </c>
      <c r="G51" s="314">
        <f t="shared" si="12"/>
        <v>2.8047289733296838</v>
      </c>
      <c r="H51" s="314" t="str">
        <f t="shared" si="12"/>
        <v>n/a</v>
      </c>
      <c r="I51" s="314">
        <f t="shared" si="12"/>
        <v>9.8310552635029165</v>
      </c>
      <c r="J51" s="171"/>
      <c r="K51" s="171"/>
    </row>
    <row r="52" spans="1:11" x14ac:dyDescent="0.2">
      <c r="A52" s="171"/>
      <c r="B52" s="171"/>
      <c r="C52" s="171"/>
      <c r="D52" s="171"/>
      <c r="E52" s="171"/>
      <c r="F52" s="171"/>
      <c r="G52" s="171"/>
      <c r="H52" s="171"/>
      <c r="I52" s="171"/>
      <c r="J52" s="171"/>
      <c r="K52" s="171"/>
    </row>
    <row r="53" spans="1:11" x14ac:dyDescent="0.2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11" x14ac:dyDescent="0.2">
      <c r="A54" s="171" t="s">
        <v>486</v>
      </c>
      <c r="B54" s="238">
        <f>'1.3 Total EDUs Developed'!M22</f>
        <v>3270.1176010875006</v>
      </c>
      <c r="C54" s="238">
        <f>'1.3 Total EDUs Developed'!M52</f>
        <v>16182.718792018748</v>
      </c>
      <c r="D54" s="238">
        <f>'1.3 Total EDUs Developed'!M63</f>
        <v>991.16564743125002</v>
      </c>
      <c r="E54" s="238">
        <f>'1.3 Total EDUs Developed'!M90</f>
        <v>30471.590952249997</v>
      </c>
      <c r="F54" s="238">
        <f>'1.3 Total EDUs Developed'!M108</f>
        <v>8003.9696279874997</v>
      </c>
      <c r="G54" s="238">
        <f>'1.3 Total EDUs Developed'!M117</f>
        <v>1660.4159999999999</v>
      </c>
      <c r="H54" s="238">
        <v>0</v>
      </c>
      <c r="I54" s="238">
        <f>SUM(B54:H54)</f>
        <v>60579.978620774993</v>
      </c>
      <c r="J54" s="171"/>
      <c r="K54" s="171"/>
    </row>
    <row r="55" spans="1:11" x14ac:dyDescent="0.2">
      <c r="A55" s="171" t="s">
        <v>479</v>
      </c>
      <c r="B55" s="314">
        <f>IF(B54=0,"n/a",B48/B54)</f>
        <v>890.12914035104052</v>
      </c>
      <c r="C55" s="314">
        <f t="shared" ref="C55:I55" si="13">IF(C54=0,"n/a",C48/C54)</f>
        <v>1670.3719905014027</v>
      </c>
      <c r="D55" s="314">
        <f t="shared" si="13"/>
        <v>-617.75902651968897</v>
      </c>
      <c r="E55" s="314">
        <f t="shared" si="13"/>
        <v>1963.2512793651235</v>
      </c>
      <c r="F55" s="314">
        <f t="shared" si="13"/>
        <v>418.31397821122226</v>
      </c>
      <c r="G55" s="314">
        <f t="shared" si="13"/>
        <v>448.75663573274943</v>
      </c>
      <c r="H55" s="314" t="str">
        <f t="shared" si="13"/>
        <v>n/a</v>
      </c>
      <c r="I55" s="314">
        <f t="shared" si="13"/>
        <v>1572.9688421604667</v>
      </c>
      <c r="J55" s="171"/>
      <c r="K55" s="171"/>
    </row>
    <row r="56" spans="1:11" x14ac:dyDescent="0.2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 x14ac:dyDescent="0.2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 x14ac:dyDescent="0.2">
      <c r="A58" s="171" t="s">
        <v>487</v>
      </c>
      <c r="B58" s="238">
        <f>'1.3 Total EDUs Developed'!G22</f>
        <v>647.54803981930695</v>
      </c>
      <c r="C58" s="238">
        <f>'1.3 Total EDUs Developed'!G52</f>
        <v>3204.4987706967822</v>
      </c>
      <c r="D58" s="238">
        <f>'1.3 Total EDUs Developed'!G63</f>
        <v>196.27042523391088</v>
      </c>
      <c r="E58" s="238">
        <f>'1.3 Total EDUs Developed'!G90</f>
        <v>6033.9784063861389</v>
      </c>
      <c r="F58" s="238">
        <f>'1.3 Total EDUs Developed'!G108</f>
        <v>1584.9444807896041</v>
      </c>
      <c r="G58" s="238">
        <f>'1.3 Total EDUs Developed'!G117</f>
        <v>328.79524752475248</v>
      </c>
      <c r="H58" s="238">
        <v>0</v>
      </c>
      <c r="I58" s="238">
        <f>SUM(B58:H58)</f>
        <v>11996.035370450494</v>
      </c>
      <c r="J58" s="171"/>
      <c r="K58" s="171"/>
    </row>
    <row r="59" spans="1:11" x14ac:dyDescent="0.2">
      <c r="A59" s="171" t="s">
        <v>480</v>
      </c>
      <c r="B59" s="315">
        <f>IF(B58=0,"n/a",B48/B58)</f>
        <v>4495.1521587727548</v>
      </c>
      <c r="C59" s="315">
        <f t="shared" ref="C59:I59" si="14">IF(C58=0,"n/a",C48/C58)</f>
        <v>8435.3785520320816</v>
      </c>
      <c r="D59" s="315">
        <f t="shared" si="14"/>
        <v>-3119.6830839244299</v>
      </c>
      <c r="E59" s="315">
        <f t="shared" si="14"/>
        <v>9914.4189607938733</v>
      </c>
      <c r="F59" s="315">
        <f t="shared" si="14"/>
        <v>2112.4855899666723</v>
      </c>
      <c r="G59" s="315">
        <f t="shared" si="14"/>
        <v>2266.2210104503843</v>
      </c>
      <c r="H59" s="315" t="str">
        <f t="shared" si="14"/>
        <v>n/a</v>
      </c>
      <c r="I59" s="315">
        <f t="shared" si="14"/>
        <v>7943.4926529103568</v>
      </c>
      <c r="J59" s="171"/>
      <c r="K59" s="171"/>
    </row>
    <row r="60" spans="1:11" x14ac:dyDescent="0.2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  <row r="61" spans="1:11" x14ac:dyDescent="0.2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</row>
    <row r="62" spans="1:11" x14ac:dyDescent="0.2">
      <c r="A62" s="241" t="s">
        <v>11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</row>
    <row r="63" spans="1:11" x14ac:dyDescent="0.2">
      <c r="A63" s="245" t="s">
        <v>415</v>
      </c>
      <c r="B63" s="171"/>
      <c r="C63" s="171"/>
      <c r="D63" s="171"/>
      <c r="E63" s="171"/>
      <c r="F63" s="171"/>
      <c r="G63" s="171"/>
      <c r="H63" s="171"/>
      <c r="I63" s="171"/>
      <c r="J63" s="171"/>
      <c r="K63" s="171"/>
    </row>
    <row r="64" spans="1:11" x14ac:dyDescent="0.2">
      <c r="A64" s="171" t="s">
        <v>223</v>
      </c>
      <c r="B64" s="171"/>
      <c r="C64" s="171"/>
      <c r="D64" s="171"/>
      <c r="E64" s="171"/>
      <c r="F64" s="171"/>
      <c r="G64" s="171"/>
      <c r="H64" s="171"/>
      <c r="I64" s="171"/>
      <c r="J64" s="171"/>
      <c r="K64" s="171"/>
    </row>
    <row r="65" spans="1:10" x14ac:dyDescent="0.2">
      <c r="A65" s="171" t="s">
        <v>390</v>
      </c>
      <c r="B65" s="171"/>
      <c r="C65" s="171"/>
      <c r="D65" s="171"/>
      <c r="E65" s="171"/>
      <c r="F65" s="171"/>
      <c r="G65" s="171"/>
      <c r="H65" s="171"/>
      <c r="I65" s="171"/>
      <c r="J65" s="171"/>
    </row>
    <row r="66" spans="1:10" x14ac:dyDescent="0.2">
      <c r="A66" s="171" t="s">
        <v>391</v>
      </c>
      <c r="B66" s="171"/>
      <c r="C66" s="171"/>
      <c r="D66" s="171"/>
      <c r="E66" s="171"/>
      <c r="F66" s="171"/>
      <c r="G66" s="171"/>
    </row>
    <row r="67" spans="1:10" x14ac:dyDescent="0.2">
      <c r="A67" s="171" t="s">
        <v>454</v>
      </c>
      <c r="B67" s="171"/>
      <c r="C67" s="171"/>
      <c r="D67" s="171"/>
      <c r="E67" s="171"/>
      <c r="F67" s="171"/>
      <c r="G67" s="171"/>
    </row>
    <row r="68" spans="1:10" x14ac:dyDescent="0.2">
      <c r="A68" s="171"/>
      <c r="B68" s="171"/>
      <c r="C68" s="171"/>
      <c r="D68" s="171"/>
      <c r="E68" s="171"/>
      <c r="F68" s="171"/>
      <c r="G68" s="171"/>
    </row>
    <row r="69" spans="1:10" x14ac:dyDescent="0.2">
      <c r="A69" s="171"/>
      <c r="B69" s="171"/>
      <c r="C69" s="171"/>
      <c r="D69" s="171"/>
      <c r="E69" s="171"/>
      <c r="F69" s="171"/>
      <c r="G69" s="171"/>
    </row>
  </sheetData>
  <printOptions horizontalCentered="1" verticalCentered="1"/>
  <pageMargins left="0.5" right="0.5" top="1" bottom="1" header="0.5" footer="0.5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workbookViewId="0"/>
  </sheetViews>
  <sheetFormatPr defaultRowHeight="12.75" x14ac:dyDescent="0.2"/>
  <cols>
    <col min="1" max="1" width="12" customWidth="1"/>
    <col min="2" max="2" width="4.5703125" customWidth="1"/>
    <col min="12" max="12" width="5.28515625" customWidth="1"/>
    <col min="13" max="13" width="9.140625" bestFit="1" customWidth="1"/>
    <col min="21" max="22" width="16.140625" bestFit="1" customWidth="1"/>
  </cols>
  <sheetData>
    <row r="1" spans="1:23" x14ac:dyDescent="0.2">
      <c r="A1" s="171" t="s">
        <v>469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220" t="str">
        <f>Assumptions!$B$12</f>
        <v>Internal</v>
      </c>
      <c r="W1" s="171"/>
    </row>
    <row r="2" spans="1:23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221" t="str">
        <f>Assumptions!$B$13</f>
        <v>Working Draft - v4</v>
      </c>
      <c r="W2" s="171"/>
    </row>
    <row r="3" spans="1:23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222">
        <f>Assumptions!$B$14</f>
        <v>41113</v>
      </c>
      <c r="W3" s="171"/>
    </row>
    <row r="4" spans="1:23" x14ac:dyDescent="0.2">
      <c r="A4" s="171" t="s">
        <v>470</v>
      </c>
    </row>
    <row r="8" spans="1:23" x14ac:dyDescent="0.2">
      <c r="E8" s="326" t="s">
        <v>482</v>
      </c>
      <c r="F8" s="327"/>
      <c r="G8" s="327"/>
      <c r="H8" s="327"/>
      <c r="I8" s="327"/>
      <c r="J8" s="327"/>
      <c r="K8" s="328"/>
      <c r="O8" s="326" t="s">
        <v>483</v>
      </c>
      <c r="P8" s="327"/>
      <c r="Q8" s="327"/>
      <c r="R8" s="327"/>
      <c r="S8" s="327"/>
      <c r="T8" s="327"/>
      <c r="U8" s="328"/>
    </row>
    <row r="9" spans="1:23" ht="22.5" x14ac:dyDescent="0.2">
      <c r="A9" s="307" t="s">
        <v>455</v>
      </c>
      <c r="B9" s="279"/>
      <c r="C9" s="307" t="s">
        <v>462</v>
      </c>
      <c r="D9" s="307" t="s">
        <v>460</v>
      </c>
      <c r="E9" s="323" t="s">
        <v>0</v>
      </c>
      <c r="F9" s="323" t="s">
        <v>1</v>
      </c>
      <c r="G9" s="323" t="s">
        <v>2</v>
      </c>
      <c r="H9" s="323" t="s">
        <v>3</v>
      </c>
      <c r="I9" s="323" t="s">
        <v>4</v>
      </c>
      <c r="J9" s="323" t="s">
        <v>303</v>
      </c>
      <c r="K9" s="323" t="s">
        <v>339</v>
      </c>
      <c r="M9" s="307" t="s">
        <v>462</v>
      </c>
      <c r="N9" s="307" t="s">
        <v>464</v>
      </c>
      <c r="O9" s="307" t="s">
        <v>0</v>
      </c>
      <c r="P9" s="307" t="s">
        <v>1</v>
      </c>
      <c r="Q9" s="307" t="s">
        <v>2</v>
      </c>
      <c r="R9" s="307" t="s">
        <v>3</v>
      </c>
      <c r="S9" s="307" t="s">
        <v>4</v>
      </c>
      <c r="T9" s="307" t="s">
        <v>303</v>
      </c>
      <c r="U9" s="307" t="s">
        <v>339</v>
      </c>
    </row>
    <row r="10" spans="1:23" x14ac:dyDescent="0.2">
      <c r="A10" s="304"/>
      <c r="B10" s="279"/>
      <c r="C10" s="304"/>
      <c r="D10" s="304"/>
      <c r="E10" s="304"/>
      <c r="F10" s="304"/>
      <c r="G10" s="304"/>
      <c r="H10" s="304"/>
      <c r="I10" s="304"/>
      <c r="J10" s="304"/>
      <c r="K10" s="304"/>
      <c r="L10" s="199"/>
      <c r="M10" s="304"/>
      <c r="N10" s="304"/>
      <c r="O10" s="304"/>
      <c r="P10" s="304"/>
      <c r="Q10" s="304"/>
      <c r="R10" s="304"/>
      <c r="S10" s="304"/>
      <c r="T10" s="304"/>
      <c r="U10" s="304"/>
      <c r="W10" s="199"/>
    </row>
    <row r="11" spans="1:23" x14ac:dyDescent="0.2">
      <c r="A11" s="304"/>
      <c r="B11" s="279"/>
      <c r="C11" s="304"/>
      <c r="D11" s="304"/>
      <c r="E11" s="304"/>
      <c r="F11" s="304"/>
      <c r="G11" s="304"/>
      <c r="H11" s="304"/>
      <c r="I11" s="304"/>
      <c r="J11" s="304"/>
      <c r="K11" s="304"/>
      <c r="L11" s="199"/>
      <c r="M11" s="304"/>
      <c r="N11" s="304"/>
      <c r="O11" s="304"/>
      <c r="P11" s="304"/>
      <c r="Q11" s="304"/>
      <c r="R11" s="304"/>
      <c r="S11" s="304"/>
      <c r="T11" s="304"/>
      <c r="U11" s="304"/>
      <c r="W11" s="199"/>
    </row>
    <row r="12" spans="1:23" x14ac:dyDescent="0.2">
      <c r="A12" s="316" t="s">
        <v>481</v>
      </c>
      <c r="B12" s="317"/>
      <c r="C12" s="318"/>
      <c r="D12" s="318"/>
      <c r="E12" s="319">
        <f>'1. Wastewater Fee Calc Sum'!B59</f>
        <v>4495.1521587727548</v>
      </c>
      <c r="F12" s="319">
        <f>'1. Wastewater Fee Calc Sum'!C59</f>
        <v>8435.3785520320816</v>
      </c>
      <c r="G12" s="319">
        <f>'1. Wastewater Fee Calc Sum'!D59</f>
        <v>-3119.6830839244299</v>
      </c>
      <c r="H12" s="319">
        <f>'1. Wastewater Fee Calc Sum'!E59</f>
        <v>9914.4189607938733</v>
      </c>
      <c r="I12" s="319">
        <f>'1. Wastewater Fee Calc Sum'!F59</f>
        <v>2112.4855899666723</v>
      </c>
      <c r="J12" s="319">
        <f>'1. Wastewater Fee Calc Sum'!G59</f>
        <v>2266.2210104503843</v>
      </c>
      <c r="K12" s="319" t="str">
        <f>'1. Wastewater Fee Calc Sum'!H59</f>
        <v>n/a</v>
      </c>
      <c r="L12" s="320"/>
      <c r="M12" s="318"/>
      <c r="N12" s="318"/>
      <c r="O12" s="321">
        <f>'1. Wastewater Fee Calc Sum'!B55</f>
        <v>890.12914035104052</v>
      </c>
      <c r="P12" s="321">
        <f>'1. Wastewater Fee Calc Sum'!C55</f>
        <v>1670.3719905014027</v>
      </c>
      <c r="Q12" s="321">
        <f>'1. Wastewater Fee Calc Sum'!D55</f>
        <v>-617.75902651968897</v>
      </c>
      <c r="R12" s="321">
        <f>'1. Wastewater Fee Calc Sum'!E55</f>
        <v>1963.2512793651235</v>
      </c>
      <c r="S12" s="321">
        <f>'1. Wastewater Fee Calc Sum'!F55</f>
        <v>418.31397821122226</v>
      </c>
      <c r="T12" s="319">
        <f>'1. Wastewater Fee Calc Sum'!G55</f>
        <v>448.75663573274943</v>
      </c>
      <c r="U12" s="322" t="str">
        <f>'1. Wastewater Fee Calc Sum'!H55</f>
        <v>n/a</v>
      </c>
      <c r="W12" s="199"/>
    </row>
    <row r="13" spans="1:23" x14ac:dyDescent="0.2">
      <c r="A13" s="304"/>
      <c r="B13" s="279"/>
      <c r="C13" s="304"/>
      <c r="D13" s="304"/>
      <c r="E13" s="304"/>
      <c r="F13" s="304"/>
      <c r="G13" s="304"/>
      <c r="H13" s="304"/>
      <c r="I13" s="304"/>
      <c r="J13" s="304"/>
      <c r="K13" s="304"/>
      <c r="L13" s="199"/>
      <c r="M13" s="304"/>
      <c r="N13" s="304"/>
      <c r="O13" s="304"/>
      <c r="P13" s="304"/>
      <c r="Q13" s="304"/>
      <c r="R13" s="304"/>
      <c r="S13" s="304"/>
      <c r="T13" s="304"/>
      <c r="U13" s="304"/>
      <c r="W13" s="199"/>
    </row>
    <row r="14" spans="1:23" x14ac:dyDescent="0.2">
      <c r="A14" s="279" t="s">
        <v>240</v>
      </c>
      <c r="B14" s="279"/>
      <c r="C14" s="283" t="s">
        <v>459</v>
      </c>
      <c r="D14" s="291">
        <f>'1.2 EDU Factors'!E12</f>
        <v>0</v>
      </c>
      <c r="E14" s="291">
        <f>$D14*E$12</f>
        <v>0</v>
      </c>
      <c r="F14" s="291">
        <f t="shared" ref="F14:J29" si="0">$D14*F$12</f>
        <v>0</v>
      </c>
      <c r="G14" s="291">
        <f t="shared" si="0"/>
        <v>0</v>
      </c>
      <c r="H14" s="291">
        <f t="shared" si="0"/>
        <v>0</v>
      </c>
      <c r="I14" s="291">
        <f t="shared" si="0"/>
        <v>0</v>
      </c>
      <c r="J14" s="291">
        <f t="shared" si="0"/>
        <v>0</v>
      </c>
      <c r="K14" s="291"/>
      <c r="M14" s="283" t="s">
        <v>459</v>
      </c>
      <c r="N14" s="291">
        <f>'1.2 EDU Factors'!J12</f>
        <v>0</v>
      </c>
      <c r="O14" s="291">
        <f>$N14*O$12</f>
        <v>0</v>
      </c>
      <c r="P14" s="291">
        <f t="shared" ref="P14:T29" si="1">$N14*P$12</f>
        <v>0</v>
      </c>
      <c r="Q14" s="291">
        <f t="shared" si="1"/>
        <v>0</v>
      </c>
      <c r="R14" s="291">
        <f t="shared" si="1"/>
        <v>0</v>
      </c>
      <c r="S14" s="291">
        <f t="shared" si="1"/>
        <v>0</v>
      </c>
      <c r="T14" s="291">
        <f t="shared" si="1"/>
        <v>0</v>
      </c>
      <c r="U14" s="291"/>
    </row>
    <row r="15" spans="1:23" x14ac:dyDescent="0.2">
      <c r="A15" s="279" t="s">
        <v>256</v>
      </c>
      <c r="B15" s="279"/>
      <c r="C15" s="283" t="s">
        <v>459</v>
      </c>
      <c r="D15" s="291">
        <f>'1.2 EDU Factors'!E13</f>
        <v>1.4851485148514851</v>
      </c>
      <c r="E15" s="296">
        <f t="shared" ref="E15:J38" si="2">$D15*E$12</f>
        <v>6675.9685526328039</v>
      </c>
      <c r="F15" s="296">
        <f t="shared" si="0"/>
        <v>12527.789928760518</v>
      </c>
      <c r="G15" s="296">
        <f t="shared" si="0"/>
        <v>-4633.1926988976684</v>
      </c>
      <c r="H15" s="296">
        <f t="shared" si="0"/>
        <v>14724.384595238425</v>
      </c>
      <c r="I15" s="296">
        <f t="shared" si="0"/>
        <v>3137.3548365841666</v>
      </c>
      <c r="J15" s="296">
        <f t="shared" si="0"/>
        <v>3365.6747679956202</v>
      </c>
      <c r="K15" s="296"/>
      <c r="M15" s="283" t="s">
        <v>459</v>
      </c>
      <c r="N15" s="291">
        <f>'1.2 EDU Factors'!J13</f>
        <v>7.5</v>
      </c>
      <c r="O15" s="296">
        <f t="shared" ref="O15:T38" si="3">$N15*O$12</f>
        <v>6675.9685526328039</v>
      </c>
      <c r="P15" s="296">
        <f t="shared" si="1"/>
        <v>12527.78992876052</v>
      </c>
      <c r="Q15" s="296">
        <f t="shared" si="1"/>
        <v>-4633.1926988976675</v>
      </c>
      <c r="R15" s="296">
        <f t="shared" si="1"/>
        <v>14724.384595238427</v>
      </c>
      <c r="S15" s="296">
        <f t="shared" si="1"/>
        <v>3137.3548365841671</v>
      </c>
      <c r="T15" s="296">
        <f t="shared" si="1"/>
        <v>3365.6747679956206</v>
      </c>
      <c r="U15" s="296"/>
    </row>
    <row r="16" spans="1:23" x14ac:dyDescent="0.2">
      <c r="A16" s="279" t="s">
        <v>230</v>
      </c>
      <c r="B16" s="279"/>
      <c r="C16" s="283" t="s">
        <v>459</v>
      </c>
      <c r="D16" s="291">
        <f>'1.2 EDU Factors'!E14</f>
        <v>3.0606435643564356</v>
      </c>
      <c r="E16" s="296">
        <f t="shared" si="2"/>
        <v>13758.05852555077</v>
      </c>
      <c r="F16" s="296">
        <f t="shared" si="0"/>
        <v>25817.6870781873</v>
      </c>
      <c r="G16" s="296">
        <f t="shared" si="0"/>
        <v>-9548.2379536449444</v>
      </c>
      <c r="H16" s="296">
        <f t="shared" si="0"/>
        <v>30344.502586687187</v>
      </c>
      <c r="I16" s="296">
        <f t="shared" si="0"/>
        <v>6465.5654257272035</v>
      </c>
      <c r="J16" s="296">
        <f t="shared" si="0"/>
        <v>6936.0947510443075</v>
      </c>
      <c r="K16" s="296"/>
      <c r="M16" s="283" t="s">
        <v>459</v>
      </c>
      <c r="N16" s="291">
        <f>'1.2 EDU Factors'!J14</f>
        <v>15.456250000000001</v>
      </c>
      <c r="O16" s="296">
        <f t="shared" si="3"/>
        <v>13758.05852555077</v>
      </c>
      <c r="P16" s="296">
        <f t="shared" si="1"/>
        <v>25817.687078187308</v>
      </c>
      <c r="Q16" s="296">
        <f t="shared" si="1"/>
        <v>-9548.2379536449425</v>
      </c>
      <c r="R16" s="296">
        <f t="shared" si="1"/>
        <v>30344.502586687191</v>
      </c>
      <c r="S16" s="296">
        <f t="shared" si="1"/>
        <v>6465.5654257272045</v>
      </c>
      <c r="T16" s="296">
        <f t="shared" si="1"/>
        <v>6936.0947510443084</v>
      </c>
      <c r="U16" s="296"/>
    </row>
    <row r="17" spans="1:21" x14ac:dyDescent="0.2">
      <c r="A17" s="279" t="s">
        <v>231</v>
      </c>
      <c r="B17" s="279"/>
      <c r="C17" s="283" t="s">
        <v>459</v>
      </c>
      <c r="D17" s="291">
        <f>'1.2 EDU Factors'!E15</f>
        <v>0.92821782178217827</v>
      </c>
      <c r="E17" s="296">
        <f t="shared" si="2"/>
        <v>4172.4803453955028</v>
      </c>
      <c r="F17" s="296">
        <f t="shared" si="0"/>
        <v>7829.8687054753236</v>
      </c>
      <c r="G17" s="296">
        <f t="shared" si="0"/>
        <v>-2895.7454368110425</v>
      </c>
      <c r="H17" s="296">
        <f t="shared" si="0"/>
        <v>9202.7403720240163</v>
      </c>
      <c r="I17" s="296">
        <f t="shared" si="0"/>
        <v>1960.8467728651042</v>
      </c>
      <c r="J17" s="296">
        <f t="shared" si="0"/>
        <v>2103.5467299972629</v>
      </c>
      <c r="K17" s="296"/>
      <c r="M17" s="283" t="s">
        <v>459</v>
      </c>
      <c r="N17" s="291">
        <f>'1.2 EDU Factors'!J15</f>
        <v>4.6875</v>
      </c>
      <c r="O17" s="296">
        <f t="shared" si="3"/>
        <v>4172.4803453955028</v>
      </c>
      <c r="P17" s="296">
        <f t="shared" si="1"/>
        <v>7829.8687054753254</v>
      </c>
      <c r="Q17" s="296">
        <f t="shared" si="1"/>
        <v>-2895.7454368110421</v>
      </c>
      <c r="R17" s="296">
        <f t="shared" si="1"/>
        <v>9202.7403720240163</v>
      </c>
      <c r="S17" s="296">
        <f t="shared" si="1"/>
        <v>1960.8467728651044</v>
      </c>
      <c r="T17" s="296">
        <f t="shared" si="1"/>
        <v>2103.5467299972629</v>
      </c>
      <c r="U17" s="296"/>
    </row>
    <row r="18" spans="1:21" x14ac:dyDescent="0.2">
      <c r="A18" s="279" t="s">
        <v>232</v>
      </c>
      <c r="B18" s="279"/>
      <c r="C18" s="283" t="s">
        <v>459</v>
      </c>
      <c r="D18" s="291">
        <f>'1.2 EDU Factors'!E16</f>
        <v>2.8923267326732671</v>
      </c>
      <c r="E18" s="296">
        <f t="shared" si="2"/>
        <v>13001.448756252385</v>
      </c>
      <c r="F18" s="296">
        <f t="shared" si="0"/>
        <v>24397.870886261106</v>
      </c>
      <c r="G18" s="296">
        <f t="shared" si="0"/>
        <v>-9023.1427811032081</v>
      </c>
      <c r="H18" s="296">
        <f t="shared" si="0"/>
        <v>28675.738999226833</v>
      </c>
      <c r="I18" s="296">
        <f t="shared" si="0"/>
        <v>6109.9985442476645</v>
      </c>
      <c r="J18" s="296">
        <f t="shared" si="0"/>
        <v>6554.6516106714698</v>
      </c>
      <c r="K18" s="296"/>
      <c r="M18" s="283" t="s">
        <v>461</v>
      </c>
      <c r="N18" s="291">
        <f>'1.2 EDU Factors'!J16</f>
        <v>0.73124999999999996</v>
      </c>
      <c r="O18" s="296">
        <f t="shared" si="3"/>
        <v>650.90693388169836</v>
      </c>
      <c r="P18" s="296">
        <f t="shared" si="1"/>
        <v>1221.4595180541507</v>
      </c>
      <c r="Q18" s="296">
        <f t="shared" si="1"/>
        <v>-451.73628814252254</v>
      </c>
      <c r="R18" s="296">
        <f t="shared" si="1"/>
        <v>1435.6274980357466</v>
      </c>
      <c r="S18" s="296">
        <f t="shared" si="1"/>
        <v>305.89209656695624</v>
      </c>
      <c r="T18" s="296">
        <f t="shared" si="1"/>
        <v>328.15328987957298</v>
      </c>
      <c r="U18" s="296"/>
    </row>
    <row r="19" spans="1:21" x14ac:dyDescent="0.2">
      <c r="A19" s="279" t="s">
        <v>241</v>
      </c>
      <c r="B19" s="279"/>
      <c r="C19" s="283" t="s">
        <v>459</v>
      </c>
      <c r="D19" s="291">
        <f>'1.2 EDU Factors'!E17</f>
        <v>0.74257425742574257</v>
      </c>
      <c r="E19" s="296">
        <f t="shared" si="2"/>
        <v>3337.984276316402</v>
      </c>
      <c r="F19" s="296">
        <f t="shared" si="0"/>
        <v>6263.8949643802589</v>
      </c>
      <c r="G19" s="296">
        <f t="shared" si="0"/>
        <v>-2316.5963494488342</v>
      </c>
      <c r="H19" s="296">
        <f t="shared" si="0"/>
        <v>7362.1922976192127</v>
      </c>
      <c r="I19" s="296">
        <f t="shared" si="0"/>
        <v>1568.6774182920833</v>
      </c>
      <c r="J19" s="296">
        <f t="shared" si="0"/>
        <v>1682.8373839978101</v>
      </c>
      <c r="K19" s="296"/>
      <c r="M19" s="283" t="s">
        <v>459</v>
      </c>
      <c r="N19" s="291">
        <f>'1.2 EDU Factors'!J17</f>
        <v>3.75</v>
      </c>
      <c r="O19" s="296">
        <f t="shared" si="3"/>
        <v>3337.984276316402</v>
      </c>
      <c r="P19" s="296">
        <f t="shared" si="1"/>
        <v>6263.8949643802598</v>
      </c>
      <c r="Q19" s="296">
        <f t="shared" si="1"/>
        <v>-2316.5963494488337</v>
      </c>
      <c r="R19" s="296">
        <f t="shared" si="1"/>
        <v>7362.1922976192136</v>
      </c>
      <c r="S19" s="296">
        <f t="shared" si="1"/>
        <v>1568.6774182920835</v>
      </c>
      <c r="T19" s="296">
        <f t="shared" si="1"/>
        <v>1682.8373839978103</v>
      </c>
      <c r="U19" s="296"/>
    </row>
    <row r="20" spans="1:21" x14ac:dyDescent="0.2">
      <c r="A20" s="289" t="s">
        <v>233</v>
      </c>
      <c r="B20" s="289"/>
      <c r="C20" s="292" t="s">
        <v>459</v>
      </c>
      <c r="D20" s="290">
        <f>'1.2 EDU Factors'!E18</f>
        <v>1</v>
      </c>
      <c r="E20" s="306">
        <f t="shared" si="2"/>
        <v>4495.1521587727548</v>
      </c>
      <c r="F20" s="306">
        <f t="shared" si="0"/>
        <v>8435.3785520320816</v>
      </c>
      <c r="G20" s="306">
        <f t="shared" si="0"/>
        <v>-3119.6830839244299</v>
      </c>
      <c r="H20" s="306">
        <f t="shared" si="0"/>
        <v>9914.4189607938733</v>
      </c>
      <c r="I20" s="306">
        <f t="shared" si="0"/>
        <v>2112.4855899666723</v>
      </c>
      <c r="J20" s="306">
        <f t="shared" si="0"/>
        <v>2266.2210104503843</v>
      </c>
      <c r="K20" s="306"/>
      <c r="M20" s="292" t="s">
        <v>461</v>
      </c>
      <c r="N20" s="290">
        <f>'1.2 EDU Factors'!J18</f>
        <v>1</v>
      </c>
      <c r="O20" s="306">
        <f t="shared" si="3"/>
        <v>890.12914035104052</v>
      </c>
      <c r="P20" s="306">
        <f t="shared" si="1"/>
        <v>1670.3719905014027</v>
      </c>
      <c r="Q20" s="306">
        <f t="shared" si="1"/>
        <v>-617.75902651968897</v>
      </c>
      <c r="R20" s="306">
        <f t="shared" si="1"/>
        <v>1963.2512793651235</v>
      </c>
      <c r="S20" s="306">
        <f t="shared" si="1"/>
        <v>418.31397821122226</v>
      </c>
      <c r="T20" s="306">
        <f t="shared" si="1"/>
        <v>448.75663573274943</v>
      </c>
      <c r="U20" s="306"/>
    </row>
    <row r="21" spans="1:21" x14ac:dyDescent="0.2">
      <c r="A21" s="279" t="s">
        <v>234</v>
      </c>
      <c r="B21" s="279"/>
      <c r="C21" s="283" t="s">
        <v>459</v>
      </c>
      <c r="D21" s="291">
        <f>'1.2 EDU Factors'!E19</f>
        <v>0.74257425742574257</v>
      </c>
      <c r="E21" s="296">
        <f t="shared" si="2"/>
        <v>3337.984276316402</v>
      </c>
      <c r="F21" s="296">
        <f t="shared" si="0"/>
        <v>6263.8949643802589</v>
      </c>
      <c r="G21" s="296">
        <f t="shared" si="0"/>
        <v>-2316.5963494488342</v>
      </c>
      <c r="H21" s="296">
        <f t="shared" si="0"/>
        <v>7362.1922976192127</v>
      </c>
      <c r="I21" s="296">
        <f t="shared" si="0"/>
        <v>1568.6774182920833</v>
      </c>
      <c r="J21" s="296">
        <f t="shared" si="0"/>
        <v>1682.8373839978101</v>
      </c>
      <c r="K21" s="296"/>
      <c r="M21" s="283" t="s">
        <v>459</v>
      </c>
      <c r="N21" s="291">
        <f>'1.2 EDU Factors'!J19</f>
        <v>3.75</v>
      </c>
      <c r="O21" s="296">
        <f t="shared" si="3"/>
        <v>3337.984276316402</v>
      </c>
      <c r="P21" s="296">
        <f t="shared" si="1"/>
        <v>6263.8949643802598</v>
      </c>
      <c r="Q21" s="296">
        <f t="shared" si="1"/>
        <v>-2316.5963494488337</v>
      </c>
      <c r="R21" s="296">
        <f t="shared" si="1"/>
        <v>7362.1922976192136</v>
      </c>
      <c r="S21" s="296">
        <f t="shared" si="1"/>
        <v>1568.6774182920835</v>
      </c>
      <c r="T21" s="296">
        <f t="shared" si="1"/>
        <v>1682.8373839978103</v>
      </c>
      <c r="U21" s="296"/>
    </row>
    <row r="22" spans="1:21" x14ac:dyDescent="0.2">
      <c r="A22" s="279" t="s">
        <v>235</v>
      </c>
      <c r="B22" s="279"/>
      <c r="C22" s="283" t="s">
        <v>459</v>
      </c>
      <c r="D22" s="291">
        <f>'1.2 EDU Factors'!E20</f>
        <v>1.6658415841584158</v>
      </c>
      <c r="E22" s="296">
        <f t="shared" si="2"/>
        <v>7488.211393203128</v>
      </c>
      <c r="F22" s="296">
        <f t="shared" si="0"/>
        <v>14052.004370093046</v>
      </c>
      <c r="G22" s="296">
        <f t="shared" si="0"/>
        <v>-5196.8978105968845</v>
      </c>
      <c r="H22" s="296">
        <f t="shared" si="0"/>
        <v>16515.851387659099</v>
      </c>
      <c r="I22" s="296">
        <f t="shared" si="0"/>
        <v>3519.0663417019068</v>
      </c>
      <c r="J22" s="296">
        <f t="shared" si="0"/>
        <v>3775.165198101754</v>
      </c>
      <c r="K22" s="296"/>
      <c r="M22" s="283" t="s">
        <v>461</v>
      </c>
      <c r="N22" s="291">
        <f>'1.2 EDU Factors'!J20</f>
        <v>0.73124999999999996</v>
      </c>
      <c r="O22" s="296">
        <f t="shared" si="3"/>
        <v>650.90693388169836</v>
      </c>
      <c r="P22" s="296">
        <f t="shared" si="1"/>
        <v>1221.4595180541507</v>
      </c>
      <c r="Q22" s="296">
        <f t="shared" si="1"/>
        <v>-451.73628814252254</v>
      </c>
      <c r="R22" s="296">
        <f t="shared" si="1"/>
        <v>1435.6274980357466</v>
      </c>
      <c r="S22" s="296">
        <f t="shared" si="1"/>
        <v>305.89209656695624</v>
      </c>
      <c r="T22" s="296">
        <f t="shared" si="1"/>
        <v>328.15328987957298</v>
      </c>
      <c r="U22" s="296"/>
    </row>
    <row r="23" spans="1:21" x14ac:dyDescent="0.2">
      <c r="A23" s="279" t="s">
        <v>236</v>
      </c>
      <c r="B23" s="279"/>
      <c r="C23" s="283" t="s">
        <v>459</v>
      </c>
      <c r="D23" s="291">
        <f>'1.2 EDU Factors'!E21</f>
        <v>1.386138613861386</v>
      </c>
      <c r="E23" s="296">
        <f t="shared" si="2"/>
        <v>6230.9039824572837</v>
      </c>
      <c r="F23" s="296">
        <f t="shared" si="0"/>
        <v>11692.603933509816</v>
      </c>
      <c r="G23" s="296">
        <f t="shared" si="0"/>
        <v>-4324.3131856378232</v>
      </c>
      <c r="H23" s="296">
        <f t="shared" si="0"/>
        <v>13742.758955555862</v>
      </c>
      <c r="I23" s="296">
        <f t="shared" si="0"/>
        <v>2928.1978474785556</v>
      </c>
      <c r="J23" s="296">
        <f t="shared" si="0"/>
        <v>3141.2964501292454</v>
      </c>
      <c r="K23" s="296"/>
      <c r="M23" s="283" t="s">
        <v>459</v>
      </c>
      <c r="N23" s="291">
        <f>'1.2 EDU Factors'!J21</f>
        <v>7</v>
      </c>
      <c r="O23" s="296">
        <f t="shared" si="3"/>
        <v>6230.9039824572837</v>
      </c>
      <c r="P23" s="296">
        <f t="shared" si="1"/>
        <v>11692.603933509819</v>
      </c>
      <c r="Q23" s="296">
        <f t="shared" si="1"/>
        <v>-4324.3131856378232</v>
      </c>
      <c r="R23" s="296">
        <f t="shared" si="1"/>
        <v>13742.758955555864</v>
      </c>
      <c r="S23" s="296">
        <f t="shared" si="1"/>
        <v>2928.197847478556</v>
      </c>
      <c r="T23" s="296">
        <f t="shared" si="1"/>
        <v>3141.2964501292458</v>
      </c>
      <c r="U23" s="296"/>
    </row>
    <row r="24" spans="1:21" x14ac:dyDescent="0.2">
      <c r="A24" s="279" t="s">
        <v>242</v>
      </c>
      <c r="B24" s="279"/>
      <c r="C24" s="283" t="s">
        <v>459</v>
      </c>
      <c r="D24" s="291">
        <f>'1.2 EDU Factors'!E22</f>
        <v>0</v>
      </c>
      <c r="E24" s="296">
        <f t="shared" si="2"/>
        <v>0</v>
      </c>
      <c r="F24" s="296">
        <f t="shared" si="0"/>
        <v>0</v>
      </c>
      <c r="G24" s="296">
        <f t="shared" si="0"/>
        <v>0</v>
      </c>
      <c r="H24" s="296">
        <f t="shared" si="0"/>
        <v>0</v>
      </c>
      <c r="I24" s="296">
        <f t="shared" si="0"/>
        <v>0</v>
      </c>
      <c r="J24" s="296">
        <f t="shared" si="0"/>
        <v>0</v>
      </c>
      <c r="K24" s="296"/>
      <c r="M24" s="283" t="s">
        <v>459</v>
      </c>
      <c r="N24" s="291">
        <f>'1.2 EDU Factors'!J22</f>
        <v>0</v>
      </c>
      <c r="O24" s="296">
        <f t="shared" si="3"/>
        <v>0</v>
      </c>
      <c r="P24" s="296">
        <f t="shared" si="1"/>
        <v>0</v>
      </c>
      <c r="Q24" s="296">
        <f t="shared" si="1"/>
        <v>0</v>
      </c>
      <c r="R24" s="296">
        <f t="shared" si="1"/>
        <v>0</v>
      </c>
      <c r="S24" s="296">
        <f t="shared" si="1"/>
        <v>0</v>
      </c>
      <c r="T24" s="296">
        <f t="shared" si="1"/>
        <v>0</v>
      </c>
      <c r="U24" s="296"/>
    </row>
    <row r="25" spans="1:21" x14ac:dyDescent="0.2">
      <c r="A25" s="279" t="s">
        <v>237</v>
      </c>
      <c r="B25" s="279"/>
      <c r="C25" s="283" t="s">
        <v>459</v>
      </c>
      <c r="D25" s="291">
        <f>'1.2 EDU Factors'!E23</f>
        <v>0.49504950495049505</v>
      </c>
      <c r="E25" s="296">
        <f t="shared" si="2"/>
        <v>2225.3228508776015</v>
      </c>
      <c r="F25" s="296">
        <f t="shared" si="0"/>
        <v>4175.9299762535056</v>
      </c>
      <c r="G25" s="296">
        <f t="shared" si="0"/>
        <v>-1544.3975662992227</v>
      </c>
      <c r="H25" s="296">
        <f t="shared" si="0"/>
        <v>4908.1281984128082</v>
      </c>
      <c r="I25" s="296">
        <f t="shared" si="0"/>
        <v>1045.7849455280555</v>
      </c>
      <c r="J25" s="296">
        <f t="shared" si="0"/>
        <v>1121.8915893318733</v>
      </c>
      <c r="K25" s="296"/>
      <c r="M25" s="283" t="s">
        <v>459</v>
      </c>
      <c r="N25" s="291">
        <f>'1.2 EDU Factors'!J23</f>
        <v>2.5</v>
      </c>
      <c r="O25" s="296">
        <f t="shared" si="3"/>
        <v>2225.3228508776015</v>
      </c>
      <c r="P25" s="296">
        <f t="shared" si="1"/>
        <v>4175.9299762535065</v>
      </c>
      <c r="Q25" s="296">
        <f t="shared" si="1"/>
        <v>-1544.3975662992225</v>
      </c>
      <c r="R25" s="296">
        <f t="shared" si="1"/>
        <v>4908.1281984128091</v>
      </c>
      <c r="S25" s="296">
        <f t="shared" si="1"/>
        <v>1045.7849455280557</v>
      </c>
      <c r="T25" s="296">
        <f t="shared" si="1"/>
        <v>1121.8915893318735</v>
      </c>
      <c r="U25" s="296"/>
    </row>
    <row r="26" spans="1:21" x14ac:dyDescent="0.2">
      <c r="A26" s="279" t="s">
        <v>243</v>
      </c>
      <c r="B26" s="279"/>
      <c r="C26" s="283" t="s">
        <v>459</v>
      </c>
      <c r="D26" s="291">
        <f>'1.2 EDU Factors'!E24</f>
        <v>0.52599009900990101</v>
      </c>
      <c r="E26" s="296">
        <f t="shared" si="2"/>
        <v>2364.4055290574515</v>
      </c>
      <c r="F26" s="296">
        <f t="shared" si="0"/>
        <v>4436.9255997693499</v>
      </c>
      <c r="G26" s="296">
        <f t="shared" si="0"/>
        <v>-1640.9224141929242</v>
      </c>
      <c r="H26" s="296">
        <f t="shared" si="0"/>
        <v>5214.8862108136091</v>
      </c>
      <c r="I26" s="296">
        <f t="shared" si="0"/>
        <v>1111.1465046235592</v>
      </c>
      <c r="J26" s="296">
        <f t="shared" si="0"/>
        <v>1192.0098136651156</v>
      </c>
      <c r="K26" s="296"/>
      <c r="M26" s="283" t="s">
        <v>459</v>
      </c>
      <c r="N26" s="291">
        <f>'1.2 EDU Factors'!J24</f>
        <v>2.65625</v>
      </c>
      <c r="O26" s="296">
        <f t="shared" si="3"/>
        <v>2364.4055290574515</v>
      </c>
      <c r="P26" s="296">
        <f t="shared" si="1"/>
        <v>4436.9255997693508</v>
      </c>
      <c r="Q26" s="296">
        <f t="shared" si="1"/>
        <v>-1640.9224141929237</v>
      </c>
      <c r="R26" s="296">
        <f t="shared" si="1"/>
        <v>5214.8862108136091</v>
      </c>
      <c r="S26" s="296">
        <f t="shared" si="1"/>
        <v>1111.1465046235592</v>
      </c>
      <c r="T26" s="296">
        <f t="shared" si="1"/>
        <v>1192.0098136651156</v>
      </c>
      <c r="U26" s="296"/>
    </row>
    <row r="27" spans="1:21" x14ac:dyDescent="0.2">
      <c r="A27" s="279" t="s">
        <v>244</v>
      </c>
      <c r="B27" s="279"/>
      <c r="C27" s="283" t="s">
        <v>459</v>
      </c>
      <c r="D27" s="291">
        <f>'1.2 EDU Factors'!E25</f>
        <v>0</v>
      </c>
      <c r="E27" s="296">
        <f t="shared" si="2"/>
        <v>0</v>
      </c>
      <c r="F27" s="296">
        <f t="shared" si="0"/>
        <v>0</v>
      </c>
      <c r="G27" s="296">
        <f t="shared" si="0"/>
        <v>0</v>
      </c>
      <c r="H27" s="296">
        <f t="shared" si="0"/>
        <v>0</v>
      </c>
      <c r="I27" s="296">
        <f t="shared" si="0"/>
        <v>0</v>
      </c>
      <c r="J27" s="296">
        <f t="shared" si="0"/>
        <v>0</v>
      </c>
      <c r="K27" s="296"/>
      <c r="M27" s="283" t="s">
        <v>459</v>
      </c>
      <c r="N27" s="291">
        <f>'1.2 EDU Factors'!J25</f>
        <v>0</v>
      </c>
      <c r="O27" s="296">
        <f t="shared" si="3"/>
        <v>0</v>
      </c>
      <c r="P27" s="296">
        <f t="shared" si="1"/>
        <v>0</v>
      </c>
      <c r="Q27" s="296">
        <f t="shared" si="1"/>
        <v>0</v>
      </c>
      <c r="R27" s="296">
        <f t="shared" si="1"/>
        <v>0</v>
      </c>
      <c r="S27" s="296">
        <f t="shared" si="1"/>
        <v>0</v>
      </c>
      <c r="T27" s="296">
        <f t="shared" si="1"/>
        <v>0</v>
      </c>
      <c r="U27" s="296"/>
    </row>
    <row r="28" spans="1:21" x14ac:dyDescent="0.2">
      <c r="A28" s="279" t="s">
        <v>245</v>
      </c>
      <c r="B28" s="279"/>
      <c r="C28" s="283" t="s">
        <v>459</v>
      </c>
      <c r="D28" s="291">
        <f>'1.2 EDU Factors'!E26</f>
        <v>0</v>
      </c>
      <c r="E28" s="296">
        <f t="shared" si="2"/>
        <v>0</v>
      </c>
      <c r="F28" s="296">
        <f t="shared" si="0"/>
        <v>0</v>
      </c>
      <c r="G28" s="296">
        <f t="shared" si="0"/>
        <v>0</v>
      </c>
      <c r="H28" s="296">
        <f t="shared" si="0"/>
        <v>0</v>
      </c>
      <c r="I28" s="296">
        <f t="shared" si="0"/>
        <v>0</v>
      </c>
      <c r="J28" s="296">
        <f t="shared" si="0"/>
        <v>0</v>
      </c>
      <c r="K28" s="296"/>
      <c r="M28" s="283" t="s">
        <v>459</v>
      </c>
      <c r="N28" s="291">
        <f>'1.2 EDU Factors'!J26</f>
        <v>0</v>
      </c>
      <c r="O28" s="296">
        <f t="shared" si="3"/>
        <v>0</v>
      </c>
      <c r="P28" s="296">
        <f t="shared" si="1"/>
        <v>0</v>
      </c>
      <c r="Q28" s="296">
        <f t="shared" si="1"/>
        <v>0</v>
      </c>
      <c r="R28" s="296">
        <f t="shared" si="1"/>
        <v>0</v>
      </c>
      <c r="S28" s="296">
        <f t="shared" si="1"/>
        <v>0</v>
      </c>
      <c r="T28" s="296">
        <f t="shared" si="1"/>
        <v>0</v>
      </c>
      <c r="U28" s="296"/>
    </row>
    <row r="29" spans="1:21" x14ac:dyDescent="0.2">
      <c r="A29" s="279" t="s">
        <v>257</v>
      </c>
      <c r="B29" s="279"/>
      <c r="C29" s="283" t="s">
        <v>459</v>
      </c>
      <c r="D29" s="291">
        <f>'1.2 EDU Factors'!E27</f>
        <v>1.4851485148514851</v>
      </c>
      <c r="E29" s="296">
        <f t="shared" si="2"/>
        <v>6675.9685526328039</v>
      </c>
      <c r="F29" s="296">
        <f t="shared" si="0"/>
        <v>12527.789928760518</v>
      </c>
      <c r="G29" s="296">
        <f t="shared" si="0"/>
        <v>-4633.1926988976684</v>
      </c>
      <c r="H29" s="296">
        <f t="shared" si="0"/>
        <v>14724.384595238425</v>
      </c>
      <c r="I29" s="296">
        <f t="shared" si="0"/>
        <v>3137.3548365841666</v>
      </c>
      <c r="J29" s="296">
        <f t="shared" si="0"/>
        <v>3365.6747679956202</v>
      </c>
      <c r="K29" s="296"/>
      <c r="M29" s="283" t="s">
        <v>459</v>
      </c>
      <c r="N29" s="291">
        <f>'1.2 EDU Factors'!J27</f>
        <v>7.5</v>
      </c>
      <c r="O29" s="296">
        <f t="shared" si="3"/>
        <v>6675.9685526328039</v>
      </c>
      <c r="P29" s="296">
        <f t="shared" si="1"/>
        <v>12527.78992876052</v>
      </c>
      <c r="Q29" s="296">
        <f t="shared" si="1"/>
        <v>-4633.1926988976675</v>
      </c>
      <c r="R29" s="296">
        <f t="shared" si="1"/>
        <v>14724.384595238427</v>
      </c>
      <c r="S29" s="296">
        <f t="shared" si="1"/>
        <v>3137.3548365841671</v>
      </c>
      <c r="T29" s="296">
        <f t="shared" si="1"/>
        <v>3365.6747679956206</v>
      </c>
      <c r="U29" s="296"/>
    </row>
    <row r="30" spans="1:21" x14ac:dyDescent="0.2">
      <c r="A30" s="279" t="s">
        <v>246</v>
      </c>
      <c r="B30" s="279"/>
      <c r="C30" s="283" t="s">
        <v>459</v>
      </c>
      <c r="D30" s="291">
        <f>'1.2 EDU Factors'!E28</f>
        <v>3.0606435643564356</v>
      </c>
      <c r="E30" s="296">
        <f t="shared" si="2"/>
        <v>13758.05852555077</v>
      </c>
      <c r="F30" s="296">
        <f t="shared" si="2"/>
        <v>25817.6870781873</v>
      </c>
      <c r="G30" s="296">
        <f t="shared" si="2"/>
        <v>-9548.2379536449444</v>
      </c>
      <c r="H30" s="296">
        <f t="shared" si="2"/>
        <v>30344.502586687187</v>
      </c>
      <c r="I30" s="296">
        <f t="shared" si="2"/>
        <v>6465.5654257272035</v>
      </c>
      <c r="J30" s="296">
        <f t="shared" si="2"/>
        <v>6936.0947510443075</v>
      </c>
      <c r="K30" s="296"/>
      <c r="M30" s="283" t="s">
        <v>459</v>
      </c>
      <c r="N30" s="291">
        <f>'1.2 EDU Factors'!J28</f>
        <v>15.456250000000001</v>
      </c>
      <c r="O30" s="296">
        <f t="shared" si="3"/>
        <v>13758.05852555077</v>
      </c>
      <c r="P30" s="296">
        <f t="shared" si="3"/>
        <v>25817.687078187308</v>
      </c>
      <c r="Q30" s="296">
        <f t="shared" si="3"/>
        <v>-9548.2379536449425</v>
      </c>
      <c r="R30" s="296">
        <f t="shared" si="3"/>
        <v>30344.502586687191</v>
      </c>
      <c r="S30" s="296">
        <f t="shared" si="3"/>
        <v>6465.5654257272045</v>
      </c>
      <c r="T30" s="296">
        <f t="shared" si="3"/>
        <v>6936.0947510443084</v>
      </c>
      <c r="U30" s="296"/>
    </row>
    <row r="31" spans="1:21" x14ac:dyDescent="0.2">
      <c r="A31" s="279" t="s">
        <v>247</v>
      </c>
      <c r="B31" s="279"/>
      <c r="C31" s="283" t="s">
        <v>459</v>
      </c>
      <c r="D31" s="291">
        <f>'1.2 EDU Factors'!E29</f>
        <v>0.92821782178217827</v>
      </c>
      <c r="E31" s="296">
        <f t="shared" si="2"/>
        <v>4172.4803453955028</v>
      </c>
      <c r="F31" s="296">
        <f t="shared" si="2"/>
        <v>7829.8687054753236</v>
      </c>
      <c r="G31" s="296">
        <f t="shared" si="2"/>
        <v>-2895.7454368110425</v>
      </c>
      <c r="H31" s="296">
        <f t="shared" si="2"/>
        <v>9202.7403720240163</v>
      </c>
      <c r="I31" s="296">
        <f t="shared" si="2"/>
        <v>1960.8467728651042</v>
      </c>
      <c r="J31" s="296">
        <f t="shared" si="2"/>
        <v>2103.5467299972629</v>
      </c>
      <c r="K31" s="296"/>
      <c r="M31" s="283" t="s">
        <v>459</v>
      </c>
      <c r="N31" s="291">
        <f>'1.2 EDU Factors'!J29</f>
        <v>4.6875</v>
      </c>
      <c r="O31" s="296">
        <f t="shared" si="3"/>
        <v>4172.4803453955028</v>
      </c>
      <c r="P31" s="296">
        <f t="shared" si="3"/>
        <v>7829.8687054753254</v>
      </c>
      <c r="Q31" s="296">
        <f t="shared" si="3"/>
        <v>-2895.7454368110421</v>
      </c>
      <c r="R31" s="296">
        <f t="shared" si="3"/>
        <v>9202.7403720240163</v>
      </c>
      <c r="S31" s="296">
        <f t="shared" si="3"/>
        <v>1960.8467728651044</v>
      </c>
      <c r="T31" s="296">
        <f t="shared" si="3"/>
        <v>2103.5467299972629</v>
      </c>
      <c r="U31" s="296"/>
    </row>
    <row r="32" spans="1:21" x14ac:dyDescent="0.2">
      <c r="A32" s="279" t="s">
        <v>248</v>
      </c>
      <c r="B32" s="279"/>
      <c r="C32" s="283" t="s">
        <v>459</v>
      </c>
      <c r="D32" s="291">
        <f>'1.2 EDU Factors'!E30</f>
        <v>1</v>
      </c>
      <c r="E32" s="296">
        <f t="shared" si="2"/>
        <v>4495.1521587727548</v>
      </c>
      <c r="F32" s="296">
        <f t="shared" si="2"/>
        <v>8435.3785520320816</v>
      </c>
      <c r="G32" s="296">
        <f t="shared" si="2"/>
        <v>-3119.6830839244299</v>
      </c>
      <c r="H32" s="296">
        <f t="shared" si="2"/>
        <v>9914.4189607938733</v>
      </c>
      <c r="I32" s="296">
        <f t="shared" si="2"/>
        <v>2112.4855899666723</v>
      </c>
      <c r="J32" s="296">
        <f t="shared" si="2"/>
        <v>2266.2210104503843</v>
      </c>
      <c r="K32" s="296"/>
      <c r="M32" s="283" t="s">
        <v>461</v>
      </c>
      <c r="N32" s="291">
        <f>'1.2 EDU Factors'!J30</f>
        <v>1</v>
      </c>
      <c r="O32" s="296">
        <f t="shared" si="3"/>
        <v>890.12914035104052</v>
      </c>
      <c r="P32" s="296">
        <f t="shared" si="3"/>
        <v>1670.3719905014027</v>
      </c>
      <c r="Q32" s="296">
        <f t="shared" si="3"/>
        <v>-617.75902651968897</v>
      </c>
      <c r="R32" s="296">
        <f t="shared" si="3"/>
        <v>1963.2512793651235</v>
      </c>
      <c r="S32" s="296">
        <f t="shared" si="3"/>
        <v>418.31397821122226</v>
      </c>
      <c r="T32" s="296">
        <f t="shared" si="3"/>
        <v>448.75663573274943</v>
      </c>
      <c r="U32" s="296"/>
    </row>
    <row r="33" spans="1:21" x14ac:dyDescent="0.2">
      <c r="A33" s="279" t="s">
        <v>249</v>
      </c>
      <c r="B33" s="279"/>
      <c r="C33" s="283" t="s">
        <v>459</v>
      </c>
      <c r="D33" s="291">
        <f>'1.2 EDU Factors'!E31</f>
        <v>0.74257425742574257</v>
      </c>
      <c r="E33" s="296">
        <f t="shared" si="2"/>
        <v>3337.984276316402</v>
      </c>
      <c r="F33" s="296">
        <f t="shared" si="2"/>
        <v>6263.8949643802589</v>
      </c>
      <c r="G33" s="296">
        <f t="shared" si="2"/>
        <v>-2316.5963494488342</v>
      </c>
      <c r="H33" s="296">
        <f t="shared" si="2"/>
        <v>7362.1922976192127</v>
      </c>
      <c r="I33" s="296">
        <f t="shared" si="2"/>
        <v>1568.6774182920833</v>
      </c>
      <c r="J33" s="296">
        <f t="shared" si="2"/>
        <v>1682.8373839978101</v>
      </c>
      <c r="K33" s="296"/>
      <c r="M33" s="283" t="s">
        <v>459</v>
      </c>
      <c r="N33" s="291">
        <f>'1.2 EDU Factors'!J31</f>
        <v>3.75</v>
      </c>
      <c r="O33" s="296">
        <f t="shared" si="3"/>
        <v>3337.984276316402</v>
      </c>
      <c r="P33" s="296">
        <f t="shared" si="3"/>
        <v>6263.8949643802598</v>
      </c>
      <c r="Q33" s="296">
        <f t="shared" si="3"/>
        <v>-2316.5963494488337</v>
      </c>
      <c r="R33" s="296">
        <f t="shared" si="3"/>
        <v>7362.1922976192136</v>
      </c>
      <c r="S33" s="296">
        <f t="shared" si="3"/>
        <v>1568.6774182920835</v>
      </c>
      <c r="T33" s="296">
        <f t="shared" si="3"/>
        <v>1682.8373839978103</v>
      </c>
      <c r="U33" s="296"/>
    </row>
    <row r="34" spans="1:21" x14ac:dyDescent="0.2">
      <c r="A34" s="279" t="s">
        <v>250</v>
      </c>
      <c r="B34" s="279"/>
      <c r="C34" s="283" t="s">
        <v>459</v>
      </c>
      <c r="D34" s="291">
        <f>'1.2 EDU Factors'!E32</f>
        <v>1.6658415841584158</v>
      </c>
      <c r="E34" s="296">
        <f t="shared" si="2"/>
        <v>7488.211393203128</v>
      </c>
      <c r="F34" s="296">
        <f t="shared" si="2"/>
        <v>14052.004370093046</v>
      </c>
      <c r="G34" s="296">
        <f t="shared" si="2"/>
        <v>-5196.8978105968845</v>
      </c>
      <c r="H34" s="296">
        <f t="shared" si="2"/>
        <v>16515.851387659099</v>
      </c>
      <c r="I34" s="296">
        <f t="shared" si="2"/>
        <v>3519.0663417019068</v>
      </c>
      <c r="J34" s="296">
        <f t="shared" si="2"/>
        <v>3775.165198101754</v>
      </c>
      <c r="K34" s="296"/>
      <c r="M34" s="283" t="s">
        <v>461</v>
      </c>
      <c r="N34" s="291">
        <f>'1.2 EDU Factors'!J32</f>
        <v>0.73124999999999996</v>
      </c>
      <c r="O34" s="296">
        <f t="shared" si="3"/>
        <v>650.90693388169836</v>
      </c>
      <c r="P34" s="296">
        <f t="shared" si="3"/>
        <v>1221.4595180541507</v>
      </c>
      <c r="Q34" s="296">
        <f t="shared" si="3"/>
        <v>-451.73628814252254</v>
      </c>
      <c r="R34" s="296">
        <f t="shared" si="3"/>
        <v>1435.6274980357466</v>
      </c>
      <c r="S34" s="296">
        <f t="shared" si="3"/>
        <v>305.89209656695624</v>
      </c>
      <c r="T34" s="296">
        <f t="shared" si="3"/>
        <v>328.15328987957298</v>
      </c>
      <c r="U34" s="296"/>
    </row>
    <row r="35" spans="1:21" x14ac:dyDescent="0.2">
      <c r="A35" s="279" t="s">
        <v>456</v>
      </c>
      <c r="B35" s="279"/>
      <c r="C35" s="283" t="s">
        <v>459</v>
      </c>
      <c r="D35" s="291">
        <f>'1.2 EDU Factors'!E33</f>
        <v>0.49504950495049505</v>
      </c>
      <c r="E35" s="296">
        <f t="shared" si="2"/>
        <v>2225.3228508776015</v>
      </c>
      <c r="F35" s="296">
        <f t="shared" si="2"/>
        <v>4175.9299762535056</v>
      </c>
      <c r="G35" s="296">
        <f t="shared" si="2"/>
        <v>-1544.3975662992227</v>
      </c>
      <c r="H35" s="296">
        <f t="shared" si="2"/>
        <v>4908.1281984128082</v>
      </c>
      <c r="I35" s="296">
        <f t="shared" si="2"/>
        <v>1045.7849455280555</v>
      </c>
      <c r="J35" s="296">
        <f t="shared" si="2"/>
        <v>1121.8915893318733</v>
      </c>
      <c r="K35" s="296"/>
      <c r="M35" s="283" t="s">
        <v>459</v>
      </c>
      <c r="N35" s="291">
        <f>'1.2 EDU Factors'!J33</f>
        <v>2.5</v>
      </c>
      <c r="O35" s="296">
        <f t="shared" si="3"/>
        <v>2225.3228508776015</v>
      </c>
      <c r="P35" s="296">
        <f t="shared" si="3"/>
        <v>4175.9299762535065</v>
      </c>
      <c r="Q35" s="296">
        <f t="shared" si="3"/>
        <v>-1544.3975662992225</v>
      </c>
      <c r="R35" s="296">
        <f t="shared" si="3"/>
        <v>4908.1281984128091</v>
      </c>
      <c r="S35" s="296">
        <f t="shared" si="3"/>
        <v>1045.7849455280557</v>
      </c>
      <c r="T35" s="296">
        <f t="shared" si="3"/>
        <v>1121.8915893318735</v>
      </c>
      <c r="U35" s="296"/>
    </row>
    <row r="36" spans="1:21" x14ac:dyDescent="0.2">
      <c r="A36" s="279" t="s">
        <v>252</v>
      </c>
      <c r="B36" s="279"/>
      <c r="C36" s="283" t="s">
        <v>459</v>
      </c>
      <c r="D36" s="291">
        <f>'1.2 EDU Factors'!E34</f>
        <v>0.52599009900990101</v>
      </c>
      <c r="E36" s="296">
        <f t="shared" si="2"/>
        <v>2364.4055290574515</v>
      </c>
      <c r="F36" s="296">
        <f t="shared" si="2"/>
        <v>4436.9255997693499</v>
      </c>
      <c r="G36" s="296">
        <f t="shared" si="2"/>
        <v>-1640.9224141929242</v>
      </c>
      <c r="H36" s="296">
        <f t="shared" si="2"/>
        <v>5214.8862108136091</v>
      </c>
      <c r="I36" s="296">
        <f t="shared" si="2"/>
        <v>1111.1465046235592</v>
      </c>
      <c r="J36" s="296">
        <f t="shared" si="2"/>
        <v>1192.0098136651156</v>
      </c>
      <c r="K36" s="296"/>
      <c r="M36" s="283" t="s">
        <v>459</v>
      </c>
      <c r="N36" s="291">
        <f>'1.2 EDU Factors'!J34</f>
        <v>2.65625</v>
      </c>
      <c r="O36" s="296">
        <f t="shared" si="3"/>
        <v>2364.4055290574515</v>
      </c>
      <c r="P36" s="296">
        <f t="shared" si="3"/>
        <v>4436.9255997693508</v>
      </c>
      <c r="Q36" s="296">
        <f t="shared" si="3"/>
        <v>-1640.9224141929237</v>
      </c>
      <c r="R36" s="296">
        <f t="shared" si="3"/>
        <v>5214.8862108136091</v>
      </c>
      <c r="S36" s="296">
        <f t="shared" si="3"/>
        <v>1111.1465046235592</v>
      </c>
      <c r="T36" s="296">
        <f t="shared" si="3"/>
        <v>1192.0098136651156</v>
      </c>
      <c r="U36" s="296"/>
    </row>
    <row r="37" spans="1:21" x14ac:dyDescent="0.2">
      <c r="A37" s="279" t="s">
        <v>253</v>
      </c>
      <c r="B37" s="279"/>
      <c r="C37" s="283" t="s">
        <v>459</v>
      </c>
      <c r="D37" s="291">
        <f>'1.2 EDU Factors'!E35</f>
        <v>0.39603960396039606</v>
      </c>
      <c r="E37" s="296">
        <f t="shared" si="2"/>
        <v>1780.2582807020813</v>
      </c>
      <c r="F37" s="296">
        <f t="shared" si="2"/>
        <v>3340.743981002805</v>
      </c>
      <c r="G37" s="296">
        <f t="shared" si="2"/>
        <v>-1235.5180530393782</v>
      </c>
      <c r="H37" s="296">
        <f t="shared" si="2"/>
        <v>3926.5025587302471</v>
      </c>
      <c r="I37" s="296">
        <f t="shared" si="2"/>
        <v>836.62795642244453</v>
      </c>
      <c r="J37" s="296">
        <f t="shared" si="2"/>
        <v>897.51327146549875</v>
      </c>
      <c r="K37" s="296"/>
      <c r="M37" s="283" t="s">
        <v>461</v>
      </c>
      <c r="N37" s="291">
        <f>'1.2 EDU Factors'!J35</f>
        <v>1</v>
      </c>
      <c r="O37" s="296">
        <f t="shared" si="3"/>
        <v>890.12914035104052</v>
      </c>
      <c r="P37" s="296">
        <f t="shared" si="3"/>
        <v>1670.3719905014027</v>
      </c>
      <c r="Q37" s="296">
        <f t="shared" si="3"/>
        <v>-617.75902651968897</v>
      </c>
      <c r="R37" s="296">
        <f t="shared" si="3"/>
        <v>1963.2512793651235</v>
      </c>
      <c r="S37" s="296">
        <f t="shared" si="3"/>
        <v>418.31397821122226</v>
      </c>
      <c r="T37" s="296">
        <f t="shared" si="3"/>
        <v>448.75663573274943</v>
      </c>
      <c r="U37" s="296"/>
    </row>
    <row r="38" spans="1:21" x14ac:dyDescent="0.2">
      <c r="A38" s="279" t="s">
        <v>238</v>
      </c>
      <c r="B38" s="279"/>
      <c r="C38" s="283" t="s">
        <v>459</v>
      </c>
      <c r="D38" s="291">
        <f>'1.2 EDU Factors'!E36</f>
        <v>0.39603960396039606</v>
      </c>
      <c r="E38" s="296">
        <f t="shared" si="2"/>
        <v>1780.2582807020813</v>
      </c>
      <c r="F38" s="296">
        <f t="shared" si="2"/>
        <v>3340.743981002805</v>
      </c>
      <c r="G38" s="296">
        <f t="shared" si="2"/>
        <v>-1235.5180530393782</v>
      </c>
      <c r="H38" s="296">
        <f t="shared" si="2"/>
        <v>3926.5025587302471</v>
      </c>
      <c r="I38" s="296">
        <f t="shared" si="2"/>
        <v>836.62795642244453</v>
      </c>
      <c r="J38" s="296">
        <f t="shared" si="2"/>
        <v>897.51327146549875</v>
      </c>
      <c r="K38" s="296"/>
      <c r="M38" s="283" t="s">
        <v>461</v>
      </c>
      <c r="N38" s="291">
        <f>'1.2 EDU Factors'!J36</f>
        <v>1</v>
      </c>
      <c r="O38" s="296">
        <f t="shared" si="3"/>
        <v>890.12914035104052</v>
      </c>
      <c r="P38" s="296">
        <f t="shared" si="3"/>
        <v>1670.3719905014027</v>
      </c>
      <c r="Q38" s="296">
        <f t="shared" si="3"/>
        <v>-617.75902651968897</v>
      </c>
      <c r="R38" s="296">
        <f t="shared" si="3"/>
        <v>1963.2512793651235</v>
      </c>
      <c r="S38" s="296">
        <f t="shared" si="3"/>
        <v>418.31397821122226</v>
      </c>
      <c r="T38" s="296">
        <f t="shared" si="3"/>
        <v>448.75663573274943</v>
      </c>
      <c r="U38" s="296"/>
    </row>
    <row r="42" spans="1:21" x14ac:dyDescent="0.2">
      <c r="A42" s="224" t="s">
        <v>11</v>
      </c>
    </row>
    <row r="44" spans="1:21" x14ac:dyDescent="0.2">
      <c r="A44" s="171"/>
    </row>
  </sheetData>
  <mergeCells count="2">
    <mergeCell ref="E8:K8"/>
    <mergeCell ref="O8:U8"/>
  </mergeCells>
  <pageMargins left="0.7" right="0.7" top="0.75" bottom="0.75" header="0.3" footer="0.3"/>
  <pageSetup paperSize="3" orientation="landscape" r:id="rId1"/>
  <headerFooter>
    <oddFooter>&amp;L&amp;Z&amp;F&amp;R&amp;T&amp;D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selection activeCell="A6" sqref="A6"/>
    </sheetView>
  </sheetViews>
  <sheetFormatPr defaultRowHeight="12.75" x14ac:dyDescent="0.2"/>
  <cols>
    <col min="4" max="4" width="12.42578125" customWidth="1"/>
    <col min="6" max="6" width="7.7109375" customWidth="1"/>
    <col min="9" max="9" width="11.28515625" customWidth="1"/>
    <col min="10" max="10" width="16.140625" bestFit="1" customWidth="1"/>
  </cols>
  <sheetData>
    <row r="1" spans="1:11" x14ac:dyDescent="0.2">
      <c r="A1" s="171" t="s">
        <v>477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v4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41113</v>
      </c>
      <c r="K3" s="171"/>
    </row>
    <row r="4" spans="1:11" x14ac:dyDescent="0.2">
      <c r="A4" s="171" t="s">
        <v>470</v>
      </c>
    </row>
    <row r="9" spans="1:11" ht="56.45" customHeight="1" x14ac:dyDescent="0.2">
      <c r="A9" s="307" t="s">
        <v>455</v>
      </c>
      <c r="B9" s="279"/>
      <c r="C9" s="307" t="s">
        <v>462</v>
      </c>
      <c r="D9" s="307" t="s">
        <v>489</v>
      </c>
      <c r="E9" s="307" t="s">
        <v>460</v>
      </c>
      <c r="G9" s="307" t="s">
        <v>462</v>
      </c>
      <c r="H9" s="307" t="s">
        <v>463</v>
      </c>
      <c r="I9" s="307" t="s">
        <v>490</v>
      </c>
      <c r="J9" s="307" t="s">
        <v>464</v>
      </c>
    </row>
    <row r="10" spans="1:11" x14ac:dyDescent="0.2">
      <c r="A10" s="304"/>
      <c r="B10" s="279"/>
      <c r="C10" s="304"/>
      <c r="D10" s="304"/>
      <c r="E10" s="304"/>
      <c r="F10" s="199"/>
      <c r="G10" s="304"/>
      <c r="H10" s="304"/>
      <c r="I10" s="304"/>
      <c r="J10" s="304"/>
      <c r="K10" s="199"/>
    </row>
    <row r="11" spans="1:11" x14ac:dyDescent="0.2">
      <c r="A11" s="304"/>
      <c r="B11" s="279"/>
      <c r="C11" s="304"/>
      <c r="D11" s="304"/>
      <c r="E11" s="304"/>
      <c r="F11" s="199"/>
      <c r="G11" s="304"/>
      <c r="H11" s="304"/>
      <c r="I11" s="304"/>
      <c r="J11" s="304"/>
      <c r="K11" s="199"/>
    </row>
    <row r="12" spans="1:11" x14ac:dyDescent="0.2">
      <c r="A12" s="279" t="s">
        <v>240</v>
      </c>
      <c r="B12" s="279"/>
      <c r="C12" s="283" t="s">
        <v>459</v>
      </c>
      <c r="D12" s="291">
        <v>0</v>
      </c>
      <c r="E12" s="291">
        <f t="shared" ref="E12:E36" si="0">D12/$D$18</f>
        <v>0</v>
      </c>
      <c r="G12" s="283" t="s">
        <v>459</v>
      </c>
      <c r="H12" s="293"/>
      <c r="I12" s="280">
        <f>D12</f>
        <v>0</v>
      </c>
      <c r="J12" s="291">
        <f t="shared" ref="J12:J36" si="1">I12/$I$18</f>
        <v>0</v>
      </c>
    </row>
    <row r="13" spans="1:11" x14ac:dyDescent="0.2">
      <c r="A13" s="279" t="s">
        <v>256</v>
      </c>
      <c r="B13" s="279"/>
      <c r="C13" s="283" t="s">
        <v>459</v>
      </c>
      <c r="D13" s="296">
        <v>1200</v>
      </c>
      <c r="E13" s="291">
        <f t="shared" si="0"/>
        <v>1.4851485148514851</v>
      </c>
      <c r="G13" s="283" t="s">
        <v>459</v>
      </c>
      <c r="H13" s="293">
        <v>1</v>
      </c>
      <c r="I13" s="280">
        <f>D13</f>
        <v>1200</v>
      </c>
      <c r="J13" s="291">
        <f t="shared" si="1"/>
        <v>7.5</v>
      </c>
    </row>
    <row r="14" spans="1:11" x14ac:dyDescent="0.2">
      <c r="A14" s="279" t="s">
        <v>230</v>
      </c>
      <c r="B14" s="279"/>
      <c r="C14" s="283" t="s">
        <v>459</v>
      </c>
      <c r="D14" s="296">
        <v>2473</v>
      </c>
      <c r="E14" s="291">
        <f t="shared" si="0"/>
        <v>3.0606435643564356</v>
      </c>
      <c r="G14" s="283" t="s">
        <v>459</v>
      </c>
      <c r="H14" s="293">
        <v>1</v>
      </c>
      <c r="I14" s="280">
        <f>D14</f>
        <v>2473</v>
      </c>
      <c r="J14" s="291">
        <f t="shared" si="1"/>
        <v>15.456250000000001</v>
      </c>
    </row>
    <row r="15" spans="1:11" x14ac:dyDescent="0.2">
      <c r="A15" s="279" t="s">
        <v>231</v>
      </c>
      <c r="B15" s="279"/>
      <c r="C15" s="283" t="s">
        <v>459</v>
      </c>
      <c r="D15" s="296">
        <v>750</v>
      </c>
      <c r="E15" s="291">
        <f t="shared" si="0"/>
        <v>0.92821782178217827</v>
      </c>
      <c r="G15" s="283" t="s">
        <v>459</v>
      </c>
      <c r="H15" s="293">
        <v>1</v>
      </c>
      <c r="I15" s="280">
        <f>D15</f>
        <v>750</v>
      </c>
      <c r="J15" s="291">
        <f t="shared" si="1"/>
        <v>4.6875</v>
      </c>
    </row>
    <row r="16" spans="1:11" x14ac:dyDescent="0.2">
      <c r="A16" s="279" t="s">
        <v>232</v>
      </c>
      <c r="B16" s="279"/>
      <c r="C16" s="283" t="s">
        <v>459</v>
      </c>
      <c r="D16" s="296">
        <v>2337</v>
      </c>
      <c r="E16" s="291">
        <f t="shared" si="0"/>
        <v>2.8923267326732671</v>
      </c>
      <c r="G16" s="283" t="s">
        <v>461</v>
      </c>
      <c r="H16" s="293">
        <f>D16/I16</f>
        <v>19.974358974358974</v>
      </c>
      <c r="I16" s="280">
        <v>117</v>
      </c>
      <c r="J16" s="291">
        <f t="shared" si="1"/>
        <v>0.73124999999999996</v>
      </c>
    </row>
    <row r="17" spans="1:10" x14ac:dyDescent="0.2">
      <c r="A17" s="279" t="s">
        <v>241</v>
      </c>
      <c r="B17" s="279"/>
      <c r="C17" s="283" t="s">
        <v>459</v>
      </c>
      <c r="D17" s="296">
        <v>600</v>
      </c>
      <c r="E17" s="291">
        <f t="shared" si="0"/>
        <v>0.74257425742574257</v>
      </c>
      <c r="G17" s="283" t="s">
        <v>459</v>
      </c>
      <c r="H17" s="293">
        <v>1</v>
      </c>
      <c r="I17" s="280">
        <f>D17</f>
        <v>600</v>
      </c>
      <c r="J17" s="291">
        <f t="shared" si="1"/>
        <v>3.75</v>
      </c>
    </row>
    <row r="18" spans="1:10" x14ac:dyDescent="0.2">
      <c r="A18" s="289" t="s">
        <v>233</v>
      </c>
      <c r="B18" s="289"/>
      <c r="C18" s="292" t="s">
        <v>459</v>
      </c>
      <c r="D18" s="306">
        <v>808</v>
      </c>
      <c r="E18" s="290">
        <f t="shared" si="0"/>
        <v>1</v>
      </c>
      <c r="G18" s="292" t="s">
        <v>461</v>
      </c>
      <c r="H18" s="294">
        <f>D18/I18</f>
        <v>5.05</v>
      </c>
      <c r="I18" s="288">
        <v>160</v>
      </c>
      <c r="J18" s="290">
        <f t="shared" si="1"/>
        <v>1</v>
      </c>
    </row>
    <row r="19" spans="1:10" x14ac:dyDescent="0.2">
      <c r="A19" s="279" t="s">
        <v>234</v>
      </c>
      <c r="B19" s="279"/>
      <c r="C19" s="283" t="s">
        <v>459</v>
      </c>
      <c r="D19" s="296">
        <v>600</v>
      </c>
      <c r="E19" s="291">
        <f t="shared" si="0"/>
        <v>0.74257425742574257</v>
      </c>
      <c r="G19" s="283" t="s">
        <v>459</v>
      </c>
      <c r="H19" s="293">
        <v>1</v>
      </c>
      <c r="I19" s="280">
        <f>D19</f>
        <v>600</v>
      </c>
      <c r="J19" s="291">
        <f t="shared" si="1"/>
        <v>3.75</v>
      </c>
    </row>
    <row r="20" spans="1:10" x14ac:dyDescent="0.2">
      <c r="A20" s="279" t="s">
        <v>235</v>
      </c>
      <c r="B20" s="279"/>
      <c r="C20" s="283" t="s">
        <v>459</v>
      </c>
      <c r="D20" s="296">
        <v>1346</v>
      </c>
      <c r="E20" s="291">
        <f t="shared" si="0"/>
        <v>1.6658415841584158</v>
      </c>
      <c r="G20" s="283" t="s">
        <v>461</v>
      </c>
      <c r="H20" s="293">
        <f>D20/I20</f>
        <v>11.504273504273504</v>
      </c>
      <c r="I20" s="280">
        <v>117</v>
      </c>
      <c r="J20" s="291">
        <f t="shared" si="1"/>
        <v>0.73124999999999996</v>
      </c>
    </row>
    <row r="21" spans="1:10" x14ac:dyDescent="0.2">
      <c r="A21" s="279" t="s">
        <v>236</v>
      </c>
      <c r="B21" s="279"/>
      <c r="C21" s="283" t="s">
        <v>459</v>
      </c>
      <c r="D21" s="296">
        <v>1120</v>
      </c>
      <c r="E21" s="291">
        <f t="shared" si="0"/>
        <v>1.386138613861386</v>
      </c>
      <c r="G21" s="283" t="s">
        <v>459</v>
      </c>
      <c r="H21" s="293">
        <v>1</v>
      </c>
      <c r="I21" s="280">
        <f t="shared" ref="I21:I29" si="2">D21</f>
        <v>1120</v>
      </c>
      <c r="J21" s="291">
        <f t="shared" si="1"/>
        <v>7</v>
      </c>
    </row>
    <row r="22" spans="1:10" x14ac:dyDescent="0.2">
      <c r="A22" s="279" t="s">
        <v>242</v>
      </c>
      <c r="B22" s="279"/>
      <c r="C22" s="283" t="s">
        <v>459</v>
      </c>
      <c r="D22" s="296">
        <v>0</v>
      </c>
      <c r="E22" s="291">
        <f t="shared" si="0"/>
        <v>0</v>
      </c>
      <c r="G22" s="283" t="s">
        <v>459</v>
      </c>
      <c r="H22" s="293">
        <v>1</v>
      </c>
      <c r="I22" s="280">
        <f t="shared" si="2"/>
        <v>0</v>
      </c>
      <c r="J22" s="291">
        <f t="shared" si="1"/>
        <v>0</v>
      </c>
    </row>
    <row r="23" spans="1:10" x14ac:dyDescent="0.2">
      <c r="A23" s="279" t="s">
        <v>237</v>
      </c>
      <c r="B23" s="279"/>
      <c r="C23" s="283" t="s">
        <v>459</v>
      </c>
      <c r="D23" s="296">
        <v>400</v>
      </c>
      <c r="E23" s="291">
        <f t="shared" si="0"/>
        <v>0.49504950495049505</v>
      </c>
      <c r="G23" s="283" t="s">
        <v>459</v>
      </c>
      <c r="H23" s="293">
        <v>1</v>
      </c>
      <c r="I23" s="280">
        <f t="shared" si="2"/>
        <v>400</v>
      </c>
      <c r="J23" s="291">
        <f t="shared" si="1"/>
        <v>2.5</v>
      </c>
    </row>
    <row r="24" spans="1:10" x14ac:dyDescent="0.2">
      <c r="A24" s="279" t="s">
        <v>243</v>
      </c>
      <c r="B24" s="279"/>
      <c r="C24" s="283" t="s">
        <v>459</v>
      </c>
      <c r="D24" s="296">
        <v>425</v>
      </c>
      <c r="E24" s="291">
        <f t="shared" si="0"/>
        <v>0.52599009900990101</v>
      </c>
      <c r="G24" s="283" t="s">
        <v>459</v>
      </c>
      <c r="H24" s="293">
        <v>1</v>
      </c>
      <c r="I24" s="280">
        <f t="shared" si="2"/>
        <v>425</v>
      </c>
      <c r="J24" s="291">
        <f t="shared" si="1"/>
        <v>2.65625</v>
      </c>
    </row>
    <row r="25" spans="1:10" x14ac:dyDescent="0.2">
      <c r="A25" s="279" t="s">
        <v>244</v>
      </c>
      <c r="B25" s="279"/>
      <c r="C25" s="283" t="s">
        <v>459</v>
      </c>
      <c r="D25" s="296">
        <v>0</v>
      </c>
      <c r="E25" s="291">
        <f t="shared" si="0"/>
        <v>0</v>
      </c>
      <c r="G25" s="283" t="s">
        <v>459</v>
      </c>
      <c r="H25" s="293"/>
      <c r="I25" s="280">
        <f t="shared" si="2"/>
        <v>0</v>
      </c>
      <c r="J25" s="291">
        <f t="shared" si="1"/>
        <v>0</v>
      </c>
    </row>
    <row r="26" spans="1:10" x14ac:dyDescent="0.2">
      <c r="A26" s="279" t="s">
        <v>245</v>
      </c>
      <c r="B26" s="279"/>
      <c r="C26" s="283" t="s">
        <v>459</v>
      </c>
      <c r="D26" s="296">
        <v>0</v>
      </c>
      <c r="E26" s="291">
        <f t="shared" si="0"/>
        <v>0</v>
      </c>
      <c r="G26" s="283" t="s">
        <v>459</v>
      </c>
      <c r="H26" s="293"/>
      <c r="I26" s="280">
        <f t="shared" si="2"/>
        <v>0</v>
      </c>
      <c r="J26" s="291">
        <f t="shared" si="1"/>
        <v>0</v>
      </c>
    </row>
    <row r="27" spans="1:10" x14ac:dyDescent="0.2">
      <c r="A27" s="279" t="s">
        <v>257</v>
      </c>
      <c r="B27" s="279"/>
      <c r="C27" s="283" t="s">
        <v>459</v>
      </c>
      <c r="D27" s="296">
        <v>1200</v>
      </c>
      <c r="E27" s="291">
        <f t="shared" si="0"/>
        <v>1.4851485148514851</v>
      </c>
      <c r="G27" s="283" t="s">
        <v>459</v>
      </c>
      <c r="H27" s="293">
        <v>1</v>
      </c>
      <c r="I27" s="280">
        <f t="shared" si="2"/>
        <v>1200</v>
      </c>
      <c r="J27" s="291">
        <f t="shared" si="1"/>
        <v>7.5</v>
      </c>
    </row>
    <row r="28" spans="1:10" x14ac:dyDescent="0.2">
      <c r="A28" s="279" t="s">
        <v>246</v>
      </c>
      <c r="B28" s="279"/>
      <c r="C28" s="283" t="s">
        <v>459</v>
      </c>
      <c r="D28" s="296">
        <v>2473</v>
      </c>
      <c r="E28" s="291">
        <f t="shared" si="0"/>
        <v>3.0606435643564356</v>
      </c>
      <c r="G28" s="283" t="s">
        <v>459</v>
      </c>
      <c r="H28" s="293">
        <v>1</v>
      </c>
      <c r="I28" s="280">
        <f t="shared" si="2"/>
        <v>2473</v>
      </c>
      <c r="J28" s="291">
        <f t="shared" si="1"/>
        <v>15.456250000000001</v>
      </c>
    </row>
    <row r="29" spans="1:10" x14ac:dyDescent="0.2">
      <c r="A29" s="279" t="s">
        <v>247</v>
      </c>
      <c r="B29" s="279"/>
      <c r="C29" s="283" t="s">
        <v>459</v>
      </c>
      <c r="D29" s="296">
        <v>750</v>
      </c>
      <c r="E29" s="291">
        <f t="shared" si="0"/>
        <v>0.92821782178217827</v>
      </c>
      <c r="G29" s="283" t="s">
        <v>459</v>
      </c>
      <c r="H29" s="293">
        <v>1</v>
      </c>
      <c r="I29" s="280">
        <f t="shared" si="2"/>
        <v>750</v>
      </c>
      <c r="J29" s="291">
        <f t="shared" si="1"/>
        <v>4.6875</v>
      </c>
    </row>
    <row r="30" spans="1:10" x14ac:dyDescent="0.2">
      <c r="A30" s="279" t="s">
        <v>248</v>
      </c>
      <c r="B30" s="279"/>
      <c r="C30" s="283" t="s">
        <v>459</v>
      </c>
      <c r="D30" s="296">
        <v>808</v>
      </c>
      <c r="E30" s="291">
        <f t="shared" si="0"/>
        <v>1</v>
      </c>
      <c r="G30" s="283" t="s">
        <v>461</v>
      </c>
      <c r="H30" s="293">
        <f>D30/I30</f>
        <v>5.05</v>
      </c>
      <c r="I30" s="280">
        <v>160</v>
      </c>
      <c r="J30" s="291">
        <f t="shared" si="1"/>
        <v>1</v>
      </c>
    </row>
    <row r="31" spans="1:10" x14ac:dyDescent="0.2">
      <c r="A31" s="279" t="s">
        <v>249</v>
      </c>
      <c r="B31" s="279"/>
      <c r="C31" s="283" t="s">
        <v>459</v>
      </c>
      <c r="D31" s="296">
        <v>600</v>
      </c>
      <c r="E31" s="291">
        <f t="shared" si="0"/>
        <v>0.74257425742574257</v>
      </c>
      <c r="G31" s="283" t="s">
        <v>459</v>
      </c>
      <c r="H31" s="293">
        <v>1</v>
      </c>
      <c r="I31" s="280">
        <f>D31</f>
        <v>600</v>
      </c>
      <c r="J31" s="291">
        <f t="shared" si="1"/>
        <v>3.75</v>
      </c>
    </row>
    <row r="32" spans="1:10" x14ac:dyDescent="0.2">
      <c r="A32" s="279" t="s">
        <v>250</v>
      </c>
      <c r="B32" s="279"/>
      <c r="C32" s="283" t="s">
        <v>459</v>
      </c>
      <c r="D32" s="296">
        <v>1346</v>
      </c>
      <c r="E32" s="291">
        <f t="shared" si="0"/>
        <v>1.6658415841584158</v>
      </c>
      <c r="G32" s="283" t="s">
        <v>461</v>
      </c>
      <c r="H32" s="293">
        <f>D32/I32</f>
        <v>11.504273504273504</v>
      </c>
      <c r="I32" s="280">
        <v>117</v>
      </c>
      <c r="J32" s="291">
        <f t="shared" si="1"/>
        <v>0.73124999999999996</v>
      </c>
    </row>
    <row r="33" spans="1:10" x14ac:dyDescent="0.2">
      <c r="A33" s="279" t="s">
        <v>456</v>
      </c>
      <c r="B33" s="279"/>
      <c r="C33" s="283" t="s">
        <v>459</v>
      </c>
      <c r="D33" s="296">
        <v>400</v>
      </c>
      <c r="E33" s="291">
        <f t="shared" si="0"/>
        <v>0.49504950495049505</v>
      </c>
      <c r="G33" s="283" t="s">
        <v>459</v>
      </c>
      <c r="H33" s="293">
        <v>1</v>
      </c>
      <c r="I33" s="280">
        <f>D33</f>
        <v>400</v>
      </c>
      <c r="J33" s="291">
        <f t="shared" si="1"/>
        <v>2.5</v>
      </c>
    </row>
    <row r="34" spans="1:10" x14ac:dyDescent="0.2">
      <c r="A34" s="279" t="s">
        <v>252</v>
      </c>
      <c r="B34" s="279"/>
      <c r="C34" s="283" t="s">
        <v>459</v>
      </c>
      <c r="D34" s="296">
        <v>425</v>
      </c>
      <c r="E34" s="291">
        <f t="shared" si="0"/>
        <v>0.52599009900990101</v>
      </c>
      <c r="G34" s="283" t="s">
        <v>459</v>
      </c>
      <c r="H34" s="293">
        <v>1</v>
      </c>
      <c r="I34" s="280">
        <f>D34</f>
        <v>425</v>
      </c>
      <c r="J34" s="291">
        <f t="shared" si="1"/>
        <v>2.65625</v>
      </c>
    </row>
    <row r="35" spans="1:10" x14ac:dyDescent="0.2">
      <c r="A35" s="279" t="s">
        <v>253</v>
      </c>
      <c r="B35" s="279"/>
      <c r="C35" s="283" t="s">
        <v>459</v>
      </c>
      <c r="D35" s="296">
        <v>320</v>
      </c>
      <c r="E35" s="291">
        <f t="shared" si="0"/>
        <v>0.39603960396039606</v>
      </c>
      <c r="G35" s="283" t="s">
        <v>461</v>
      </c>
      <c r="H35" s="293">
        <f>D35/I35</f>
        <v>2</v>
      </c>
      <c r="I35" s="280">
        <v>160</v>
      </c>
      <c r="J35" s="291">
        <f t="shared" si="1"/>
        <v>1</v>
      </c>
    </row>
    <row r="36" spans="1:10" x14ac:dyDescent="0.2">
      <c r="A36" s="279" t="s">
        <v>238</v>
      </c>
      <c r="B36" s="279"/>
      <c r="C36" s="283" t="s">
        <v>459</v>
      </c>
      <c r="D36" s="296">
        <v>320</v>
      </c>
      <c r="E36" s="291">
        <f t="shared" si="0"/>
        <v>0.39603960396039606</v>
      </c>
      <c r="G36" s="283" t="s">
        <v>461</v>
      </c>
      <c r="H36" s="293">
        <f>D36/I36</f>
        <v>2</v>
      </c>
      <c r="I36" s="280">
        <v>160</v>
      </c>
      <c r="J36" s="291">
        <f t="shared" si="1"/>
        <v>1</v>
      </c>
    </row>
    <row r="39" spans="1:10" x14ac:dyDescent="0.2">
      <c r="A39" s="325" t="s">
        <v>11</v>
      </c>
    </row>
    <row r="40" spans="1:10" x14ac:dyDescent="0.2">
      <c r="A40" s="279"/>
    </row>
    <row r="41" spans="1:10" x14ac:dyDescent="0.2">
      <c r="A41" s="279" t="s">
        <v>458</v>
      </c>
    </row>
  </sheetData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workbookViewId="0">
      <pane ySplit="8" topLeftCell="A9" activePane="bottomLeft" state="frozen"/>
      <selection pane="bottomLeft" activeCell="A2" sqref="A2"/>
    </sheetView>
  </sheetViews>
  <sheetFormatPr defaultRowHeight="12.75" x14ac:dyDescent="0.2"/>
  <cols>
    <col min="1" max="1" width="13.7109375" style="284" customWidth="1"/>
    <col min="2" max="2" width="8.85546875" style="279"/>
    <col min="3" max="3" width="9.85546875" style="287" customWidth="1"/>
    <col min="4" max="4" width="4.140625" style="287" customWidth="1"/>
    <col min="5" max="5" width="11.28515625" style="279" customWidth="1"/>
    <col min="6" max="6" width="9.85546875" customWidth="1"/>
    <col min="7" max="7" width="11.28515625" customWidth="1"/>
    <col min="8" max="8" width="5.7109375" customWidth="1"/>
    <col min="9" max="9" width="10" bestFit="1" customWidth="1"/>
    <col min="10" max="10" width="7" customWidth="1"/>
    <col min="11" max="11" width="9.28515625" customWidth="1"/>
    <col min="12" max="12" width="7.5703125" bestFit="1" customWidth="1"/>
    <col min="13" max="13" width="16.140625" bestFit="1" customWidth="1"/>
    <col min="14" max="14" width="5.7109375" customWidth="1"/>
    <col min="15" max="15" width="8.7109375" customWidth="1"/>
    <col min="16" max="16" width="6.42578125" customWidth="1"/>
    <col min="17" max="17" width="14.28515625" customWidth="1"/>
    <col min="18" max="18" width="3.28515625" customWidth="1"/>
    <col min="19" max="19" width="5.85546875" customWidth="1"/>
    <col min="20" max="20" width="10.5703125" bestFit="1" customWidth="1"/>
    <col min="21" max="21" width="9.7109375" customWidth="1"/>
    <col min="22" max="22" width="4.5703125" customWidth="1"/>
    <col min="23" max="23" width="13.85546875" customWidth="1"/>
    <col min="24" max="24" width="9.42578125" customWidth="1"/>
    <col min="25" max="25" width="12.42578125" customWidth="1"/>
    <col min="26" max="26" width="10.7109375" customWidth="1"/>
  </cols>
  <sheetData>
    <row r="1" spans="1:30" x14ac:dyDescent="0.2">
      <c r="A1" s="171" t="s">
        <v>491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v4</v>
      </c>
    </row>
    <row r="3" spans="1:30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41113</v>
      </c>
    </row>
    <row r="4" spans="1:30" x14ac:dyDescent="0.2">
      <c r="A4" s="171" t="s">
        <v>478</v>
      </c>
      <c r="B4"/>
      <c r="C4"/>
      <c r="D4"/>
      <c r="E4"/>
    </row>
    <row r="8" spans="1:30" ht="34.15" customHeight="1" x14ac:dyDescent="0.2">
      <c r="A8" s="307" t="s">
        <v>484</v>
      </c>
      <c r="B8" s="307" t="s">
        <v>455</v>
      </c>
      <c r="C8" s="324" t="s">
        <v>471</v>
      </c>
      <c r="D8" s="278"/>
      <c r="E8" s="307" t="s">
        <v>462</v>
      </c>
      <c r="F8" s="307" t="s">
        <v>460</v>
      </c>
      <c r="G8" s="307" t="s">
        <v>465</v>
      </c>
      <c r="H8" s="305"/>
      <c r="I8" s="307" t="s">
        <v>462</v>
      </c>
      <c r="J8" s="307" t="s">
        <v>463</v>
      </c>
      <c r="K8" s="307" t="s">
        <v>466</v>
      </c>
      <c r="L8" s="307" t="s">
        <v>464</v>
      </c>
      <c r="M8" s="307" t="s">
        <v>465</v>
      </c>
      <c r="P8" s="275"/>
    </row>
    <row r="9" spans="1:30" s="199" customFormat="1" x14ac:dyDescent="0.2">
      <c r="A9" s="299"/>
      <c r="B9" s="300"/>
      <c r="C9" s="301"/>
      <c r="D9" s="302"/>
      <c r="E9" s="300"/>
      <c r="F9" s="300"/>
      <c r="G9" s="300"/>
      <c r="I9" s="300"/>
      <c r="J9" s="300"/>
      <c r="K9" s="300"/>
      <c r="L9" s="300"/>
      <c r="M9" s="300"/>
      <c r="P9" s="303"/>
    </row>
    <row r="10" spans="1:30" x14ac:dyDescent="0.2">
      <c r="A10" s="276" t="s">
        <v>228</v>
      </c>
      <c r="B10" s="277"/>
      <c r="C10" s="278"/>
      <c r="D10" s="278"/>
      <c r="E10" s="277"/>
      <c r="AC10" s="279"/>
      <c r="AD10" s="280"/>
    </row>
    <row r="11" spans="1:30" x14ac:dyDescent="0.2">
      <c r="A11" s="281"/>
      <c r="B11" s="277" t="s">
        <v>230</v>
      </c>
      <c r="C11" s="278">
        <v>76.184443999999999</v>
      </c>
      <c r="D11" s="278"/>
      <c r="E11" s="298" t="str">
        <f>LOOKUP(B11,'1.2 EDU Factors'!$A$12:$A$36, '1.2 EDU Factors'!$C$12:$C$36)</f>
        <v>Acre</v>
      </c>
      <c r="F11" s="295">
        <f>LOOKUP(B11,'1.2 EDU Factors'!$A$12:$A$36, '1.2 EDU Factors'!$E$12:$E$36)</f>
        <v>3.0606435643564356</v>
      </c>
      <c r="G11" s="296">
        <f t="shared" ref="G11:G19" si="0">F11*C11</f>
        <v>233.17342823267327</v>
      </c>
      <c r="I11" s="298" t="str">
        <f>LOOKUP(B11,'1.2 EDU Factors'!$A$12:$A$36, '1.2 EDU Factors'!$G$12:$G$36)</f>
        <v>Acre</v>
      </c>
      <c r="J11" s="295">
        <f>LOOKUP(B11,'1.2 EDU Factors'!$A$12:$A$36, '1.2 EDU Factors'!$H$12:$H$36)</f>
        <v>1</v>
      </c>
      <c r="K11" s="297">
        <f t="shared" ref="K11:K19" si="1">J11*C11</f>
        <v>76.184443999999999</v>
      </c>
      <c r="L11" s="295">
        <f>LOOKUP(B11,'1.2 EDU Factors'!$A$12:$A$36, '1.2 EDU Factors'!$J$12:$J$36)</f>
        <v>15.456250000000001</v>
      </c>
      <c r="M11" s="296">
        <f t="shared" ref="M11:M19" si="2">L11*K11</f>
        <v>1177.5258125750001</v>
      </c>
      <c r="AC11" s="279"/>
      <c r="AD11" s="280"/>
    </row>
    <row r="12" spans="1:30" x14ac:dyDescent="0.2">
      <c r="A12" s="281"/>
      <c r="B12" s="277" t="s">
        <v>231</v>
      </c>
      <c r="C12" s="278">
        <v>36.631224000000003</v>
      </c>
      <c r="D12" s="278"/>
      <c r="E12" s="298" t="str">
        <f>LOOKUP(B12,'1.2 EDU Factors'!$A$12:$A$36, '1.2 EDU Factors'!$C$12:$C$36)</f>
        <v>Acre</v>
      </c>
      <c r="F12" s="295">
        <f>LOOKUP(B12,'1.2 EDU Factors'!$A$12:$A$36, '1.2 EDU Factors'!$E$12:$E$36)</f>
        <v>0.92821782178217827</v>
      </c>
      <c r="G12" s="296">
        <f t="shared" si="0"/>
        <v>34.001754950495055</v>
      </c>
      <c r="I12" s="298" t="str">
        <f>LOOKUP(B12,'1.2 EDU Factors'!$A$12:$A$36, '1.2 EDU Factors'!$G$12:$G$36)</f>
        <v>Acre</v>
      </c>
      <c r="J12" s="295">
        <f>LOOKUP(B12,'1.2 EDU Factors'!$A$12:$A$36, '1.2 EDU Factors'!$H$12:$H$36)</f>
        <v>1</v>
      </c>
      <c r="K12" s="296">
        <f t="shared" si="1"/>
        <v>36.631224000000003</v>
      </c>
      <c r="L12" s="295">
        <f>LOOKUP(B12,'1.2 EDU Factors'!$A$12:$A$36, '1.2 EDU Factors'!$J$12:$J$36)</f>
        <v>4.6875</v>
      </c>
      <c r="M12" s="296">
        <f t="shared" si="2"/>
        <v>171.70886250000001</v>
      </c>
      <c r="AC12" s="279"/>
      <c r="AD12" s="280"/>
    </row>
    <row r="13" spans="1:30" x14ac:dyDescent="0.2">
      <c r="A13" s="281"/>
      <c r="B13" s="277" t="s">
        <v>232</v>
      </c>
      <c r="C13" s="278">
        <v>34.912390000000002</v>
      </c>
      <c r="D13" s="278"/>
      <c r="E13" s="298" t="str">
        <f>LOOKUP(B13,'1.2 EDU Factors'!$A$12:$A$36, '1.2 EDU Factors'!$C$12:$C$36)</f>
        <v>Acre</v>
      </c>
      <c r="F13" s="295">
        <f>LOOKUP(B13,'1.2 EDU Factors'!$A$12:$A$36, '1.2 EDU Factors'!$E$12:$E$36)</f>
        <v>2.8923267326732671</v>
      </c>
      <c r="G13" s="296">
        <f t="shared" si="0"/>
        <v>100.97803889851485</v>
      </c>
      <c r="I13" s="298" t="str">
        <f>LOOKUP(B13,'1.2 EDU Factors'!$A$12:$A$36, '1.2 EDU Factors'!$G$12:$G$36)</f>
        <v>Dwelling Unit</v>
      </c>
      <c r="J13" s="295">
        <f>LOOKUP(B13,'1.2 EDU Factors'!$A$12:$A$36, '1.2 EDU Factors'!$H$12:$H$36)</f>
        <v>19.974358974358974</v>
      </c>
      <c r="K13" s="296">
        <f t="shared" si="1"/>
        <v>697.35261051282055</v>
      </c>
      <c r="L13" s="295">
        <f>LOOKUP(B13,'1.2 EDU Factors'!$A$12:$A$36, '1.2 EDU Factors'!$J$12:$J$36)</f>
        <v>0.73124999999999996</v>
      </c>
      <c r="M13" s="296">
        <f t="shared" si="2"/>
        <v>509.93909643749998</v>
      </c>
      <c r="AC13" s="279"/>
      <c r="AD13" s="280"/>
    </row>
    <row r="14" spans="1:30" x14ac:dyDescent="0.2">
      <c r="A14" s="281"/>
      <c r="B14" s="277" t="s">
        <v>233</v>
      </c>
      <c r="C14" s="278">
        <v>155.287542</v>
      </c>
      <c r="D14" s="278"/>
      <c r="E14" s="298" t="str">
        <f>LOOKUP(B14,'1.2 EDU Factors'!$A$12:$A$36, '1.2 EDU Factors'!$C$12:$C$36)</f>
        <v>Acre</v>
      </c>
      <c r="F14" s="295">
        <f>LOOKUP(B14,'1.2 EDU Factors'!$A$12:$A$36, '1.2 EDU Factors'!$E$12:$E$36)</f>
        <v>1</v>
      </c>
      <c r="G14" s="296">
        <f t="shared" si="0"/>
        <v>155.287542</v>
      </c>
      <c r="I14" s="298" t="str">
        <f>LOOKUP(B14,'1.2 EDU Factors'!$A$12:$A$36, '1.2 EDU Factors'!$G$12:$G$36)</f>
        <v>Dwelling Unit</v>
      </c>
      <c r="J14" s="295">
        <f>LOOKUP(B14,'1.2 EDU Factors'!$A$12:$A$36, '1.2 EDU Factors'!$H$12:$H$36)</f>
        <v>5.05</v>
      </c>
      <c r="K14" s="296">
        <f t="shared" si="1"/>
        <v>784.20208709999997</v>
      </c>
      <c r="L14" s="295">
        <f>LOOKUP(B14,'1.2 EDU Factors'!$A$12:$A$36, '1.2 EDU Factors'!$J$12:$J$36)</f>
        <v>1</v>
      </c>
      <c r="M14" s="296">
        <f t="shared" si="2"/>
        <v>784.20208709999997</v>
      </c>
      <c r="AC14" s="279"/>
      <c r="AD14" s="280"/>
    </row>
    <row r="15" spans="1:30" x14ac:dyDescent="0.2">
      <c r="A15" s="281"/>
      <c r="B15" s="277" t="s">
        <v>234</v>
      </c>
      <c r="C15" s="278">
        <v>7.910844</v>
      </c>
      <c r="D15" s="278"/>
      <c r="E15" s="298" t="str">
        <f>LOOKUP(B15,'1.2 EDU Factors'!$A$12:$A$36, '1.2 EDU Factors'!$C$12:$C$36)</f>
        <v>Acre</v>
      </c>
      <c r="F15" s="295">
        <f>LOOKUP(B15,'1.2 EDU Factors'!$A$12:$A$36, '1.2 EDU Factors'!$E$12:$E$36)</f>
        <v>0.74257425742574257</v>
      </c>
      <c r="G15" s="296">
        <f t="shared" si="0"/>
        <v>5.8743891089108908</v>
      </c>
      <c r="I15" s="298" t="str">
        <f>LOOKUP(B15,'1.2 EDU Factors'!$A$12:$A$36, '1.2 EDU Factors'!$G$12:$G$36)</f>
        <v>Acre</v>
      </c>
      <c r="J15" s="295">
        <f>LOOKUP(B15,'1.2 EDU Factors'!$A$12:$A$36, '1.2 EDU Factors'!$H$12:$H$36)</f>
        <v>1</v>
      </c>
      <c r="K15" s="296">
        <f t="shared" si="1"/>
        <v>7.910844</v>
      </c>
      <c r="L15" s="295">
        <f>LOOKUP(B15,'1.2 EDU Factors'!$A$12:$A$36, '1.2 EDU Factors'!$J$12:$J$36)</f>
        <v>3.75</v>
      </c>
      <c r="M15" s="296">
        <f t="shared" si="2"/>
        <v>29.665665000000001</v>
      </c>
      <c r="AC15" s="279"/>
      <c r="AD15" s="280"/>
    </row>
    <row r="16" spans="1:30" x14ac:dyDescent="0.2">
      <c r="A16" s="281"/>
      <c r="B16" s="277" t="s">
        <v>235</v>
      </c>
      <c r="C16" s="278">
        <v>55.914966</v>
      </c>
      <c r="D16" s="278"/>
      <c r="E16" s="298" t="str">
        <f>LOOKUP(B16,'1.2 EDU Factors'!$A$12:$A$36, '1.2 EDU Factors'!$C$12:$C$36)</f>
        <v>Acre</v>
      </c>
      <c r="F16" s="295">
        <f>LOOKUP(B16,'1.2 EDU Factors'!$A$12:$A$36, '1.2 EDU Factors'!$E$12:$E$36)</f>
        <v>1.6658415841584158</v>
      </c>
      <c r="G16" s="296">
        <f t="shared" si="0"/>
        <v>93.14547553960395</v>
      </c>
      <c r="I16" s="298" t="str">
        <f>LOOKUP(B16,'1.2 EDU Factors'!$A$12:$A$36, '1.2 EDU Factors'!$G$12:$G$36)</f>
        <v>Dwelling Unit</v>
      </c>
      <c r="J16" s="295">
        <f>LOOKUP(B16,'1.2 EDU Factors'!$A$12:$A$36, '1.2 EDU Factors'!$H$12:$H$36)</f>
        <v>11.504273504273504</v>
      </c>
      <c r="K16" s="296">
        <f t="shared" si="1"/>
        <v>643.26106184615389</v>
      </c>
      <c r="L16" s="295">
        <f>LOOKUP(B16,'1.2 EDU Factors'!$A$12:$A$36, '1.2 EDU Factors'!$J$12:$J$36)</f>
        <v>0.73124999999999996</v>
      </c>
      <c r="M16" s="296">
        <f t="shared" si="2"/>
        <v>470.384651475</v>
      </c>
      <c r="AC16" s="279"/>
      <c r="AD16" s="280"/>
    </row>
    <row r="17" spans="1:30" x14ac:dyDescent="0.2">
      <c r="A17" s="281"/>
      <c r="B17" s="277" t="s">
        <v>236</v>
      </c>
      <c r="C17" s="278">
        <v>13.091668</v>
      </c>
      <c r="D17" s="278"/>
      <c r="E17" s="298" t="str">
        <f>LOOKUP(B17,'1.2 EDU Factors'!$A$12:$A$36, '1.2 EDU Factors'!$C$12:$C$36)</f>
        <v>Acre</v>
      </c>
      <c r="F17" s="295">
        <f>LOOKUP(B17,'1.2 EDU Factors'!$A$12:$A$36, '1.2 EDU Factors'!$E$12:$E$36)</f>
        <v>1.386138613861386</v>
      </c>
      <c r="G17" s="296">
        <f t="shared" si="0"/>
        <v>18.146866534653466</v>
      </c>
      <c r="I17" s="298" t="str">
        <f>LOOKUP(B17,'1.2 EDU Factors'!$A$12:$A$36, '1.2 EDU Factors'!$G$12:$G$36)</f>
        <v>Acre</v>
      </c>
      <c r="J17" s="295">
        <f>LOOKUP(B17,'1.2 EDU Factors'!$A$12:$A$36, '1.2 EDU Factors'!$H$12:$H$36)</f>
        <v>1</v>
      </c>
      <c r="K17" s="296">
        <f t="shared" si="1"/>
        <v>13.091668</v>
      </c>
      <c r="L17" s="295">
        <f>LOOKUP(B17,'1.2 EDU Factors'!$A$12:$A$36, '1.2 EDU Factors'!$J$12:$J$36)</f>
        <v>7</v>
      </c>
      <c r="M17" s="296">
        <f t="shared" si="2"/>
        <v>91.641676000000004</v>
      </c>
      <c r="AC17" s="279"/>
      <c r="AD17" s="280"/>
    </row>
    <row r="18" spans="1:30" x14ac:dyDescent="0.2">
      <c r="A18" s="281"/>
      <c r="B18" s="277" t="s">
        <v>237</v>
      </c>
      <c r="C18" s="278">
        <v>8.6079319999999999</v>
      </c>
      <c r="D18" s="278"/>
      <c r="E18" s="298" t="str">
        <f>LOOKUP(B18,'1.2 EDU Factors'!$A$12:$A$36, '1.2 EDU Factors'!$C$12:$C$36)</f>
        <v>Acre</v>
      </c>
      <c r="F18" s="295">
        <f>LOOKUP(B18,'1.2 EDU Factors'!$A$12:$A$36, '1.2 EDU Factors'!$E$12:$E$36)</f>
        <v>0.49504950495049505</v>
      </c>
      <c r="G18" s="296">
        <f t="shared" si="0"/>
        <v>4.2613524752475245</v>
      </c>
      <c r="I18" s="298" t="str">
        <f>LOOKUP(B18,'1.2 EDU Factors'!$A$12:$A$36, '1.2 EDU Factors'!$G$12:$G$36)</f>
        <v>Acre</v>
      </c>
      <c r="J18" s="295">
        <f>LOOKUP(B18,'1.2 EDU Factors'!$A$12:$A$36, '1.2 EDU Factors'!$H$12:$H$36)</f>
        <v>1</v>
      </c>
      <c r="K18" s="296">
        <f t="shared" si="1"/>
        <v>8.6079319999999999</v>
      </c>
      <c r="L18" s="295">
        <f>LOOKUP(B18,'1.2 EDU Factors'!$A$12:$A$36, '1.2 EDU Factors'!$J$12:$J$36)</f>
        <v>2.5</v>
      </c>
      <c r="M18" s="296">
        <f t="shared" si="2"/>
        <v>21.519829999999999</v>
      </c>
      <c r="AC18" s="279"/>
      <c r="AD18" s="280"/>
    </row>
    <row r="19" spans="1:30" x14ac:dyDescent="0.2">
      <c r="A19" s="281"/>
      <c r="B19" s="277" t="s">
        <v>238</v>
      </c>
      <c r="C19" s="278">
        <v>6.7649600000000003</v>
      </c>
      <c r="D19" s="278"/>
      <c r="E19" s="298" t="str">
        <f>LOOKUP(B19,'1.2 EDU Factors'!$A$12:$A$36, '1.2 EDU Factors'!$C$12:$C$36)</f>
        <v>Acre</v>
      </c>
      <c r="F19" s="295">
        <f>LOOKUP(B19,'1.2 EDU Factors'!$A$12:$A$36, '1.2 EDU Factors'!$E$12:$E$36)</f>
        <v>0.39603960396039606</v>
      </c>
      <c r="G19" s="296">
        <f t="shared" si="0"/>
        <v>2.6791920792079211</v>
      </c>
      <c r="I19" s="298" t="str">
        <f>LOOKUP(B19,'1.2 EDU Factors'!$A$12:$A$36, '1.2 EDU Factors'!$G$12:$G$36)</f>
        <v>Dwelling Unit</v>
      </c>
      <c r="J19" s="295">
        <f>LOOKUP(B19,'1.2 EDU Factors'!$A$12:$A$36, '1.2 EDU Factors'!$H$12:$H$36)</f>
        <v>2</v>
      </c>
      <c r="K19" s="296">
        <f t="shared" si="1"/>
        <v>13.529920000000001</v>
      </c>
      <c r="L19" s="295">
        <f>LOOKUP(B19,'1.2 EDU Factors'!$A$12:$A$36, '1.2 EDU Factors'!$J$12:$J$36)</f>
        <v>1</v>
      </c>
      <c r="M19" s="296">
        <f t="shared" si="2"/>
        <v>13.529920000000001</v>
      </c>
      <c r="AC19" s="279"/>
      <c r="AD19" s="280"/>
    </row>
    <row r="20" spans="1:30" x14ac:dyDescent="0.2">
      <c r="A20" s="281"/>
      <c r="B20" s="277"/>
      <c r="C20" s="311"/>
      <c r="D20" s="278"/>
      <c r="E20" s="298"/>
      <c r="F20" s="295"/>
      <c r="G20" s="312"/>
      <c r="I20" s="298"/>
      <c r="J20" s="295"/>
      <c r="K20" s="296"/>
      <c r="L20" s="295"/>
      <c r="M20" s="312"/>
      <c r="AC20" s="279"/>
      <c r="AD20" s="280"/>
    </row>
    <row r="21" spans="1:30" x14ac:dyDescent="0.2">
      <c r="A21" s="281"/>
      <c r="B21" s="277"/>
      <c r="C21" s="278"/>
      <c r="D21" s="278"/>
      <c r="E21" s="298"/>
      <c r="F21" s="295"/>
      <c r="G21" s="296"/>
      <c r="I21" s="298"/>
      <c r="J21" s="295"/>
      <c r="K21" s="296"/>
      <c r="L21" s="295"/>
      <c r="M21" s="296"/>
      <c r="AC21" s="279"/>
      <c r="AD21" s="280"/>
    </row>
    <row r="22" spans="1:30" x14ac:dyDescent="0.2">
      <c r="A22" s="281" t="s">
        <v>473</v>
      </c>
      <c r="B22" s="277"/>
      <c r="C22" s="278">
        <f>SUM(C10:C20)</f>
        <v>395.30597</v>
      </c>
      <c r="D22" s="278"/>
      <c r="E22" s="298"/>
      <c r="F22" s="295"/>
      <c r="G22" s="278">
        <f>SUM(G10:G20)</f>
        <v>647.54803981930695</v>
      </c>
      <c r="I22" s="298"/>
      <c r="J22" s="295"/>
      <c r="K22" s="296"/>
      <c r="L22" s="295"/>
      <c r="M22" s="278">
        <f>SUM(M10:M20)</f>
        <v>3270.1176010875006</v>
      </c>
      <c r="AC22" s="279"/>
      <c r="AD22" s="280"/>
    </row>
    <row r="23" spans="1:30" x14ac:dyDescent="0.2">
      <c r="A23" s="284" t="s">
        <v>467</v>
      </c>
      <c r="G23" s="296">
        <f>$G$125</f>
        <v>808</v>
      </c>
      <c r="H23" s="291"/>
      <c r="I23" s="298"/>
      <c r="J23" s="295"/>
      <c r="K23" s="296"/>
      <c r="L23" s="295"/>
      <c r="M23" s="296">
        <f>$M$125</f>
        <v>160</v>
      </c>
    </row>
    <row r="24" spans="1:30" x14ac:dyDescent="0.2">
      <c r="A24" s="284" t="s">
        <v>468</v>
      </c>
      <c r="G24" s="296">
        <f>G22*G23</f>
        <v>523218.81617400004</v>
      </c>
      <c r="H24" s="291"/>
      <c r="I24" s="291"/>
      <c r="J24" s="291"/>
      <c r="K24" s="296"/>
      <c r="L24" s="291"/>
      <c r="M24" s="296">
        <f>M22*M23</f>
        <v>523218.81617400009</v>
      </c>
    </row>
    <row r="25" spans="1:30" x14ac:dyDescent="0.2">
      <c r="A25" s="281"/>
      <c r="B25" s="277"/>
      <c r="C25" s="278"/>
      <c r="D25" s="278"/>
      <c r="E25" s="298"/>
      <c r="F25" s="295"/>
      <c r="G25" s="296"/>
      <c r="I25" s="298"/>
      <c r="J25" s="295"/>
      <c r="K25" s="296"/>
      <c r="L25" s="295"/>
      <c r="M25" s="296"/>
      <c r="AC25" s="279"/>
      <c r="AD25" s="280"/>
    </row>
    <row r="26" spans="1:30" x14ac:dyDescent="0.2">
      <c r="A26" s="281"/>
      <c r="B26" s="277"/>
      <c r="C26" s="278"/>
      <c r="D26" s="278"/>
      <c r="E26" s="278"/>
      <c r="G26" s="296"/>
      <c r="K26" s="97"/>
      <c r="L26" s="295"/>
      <c r="M26" s="296"/>
      <c r="AC26" s="279"/>
      <c r="AD26" s="280"/>
    </row>
    <row r="27" spans="1:30" x14ac:dyDescent="0.2">
      <c r="A27" s="276" t="s">
        <v>239</v>
      </c>
      <c r="B27" s="277" t="s">
        <v>240</v>
      </c>
      <c r="C27" s="278">
        <v>3385.3006839999998</v>
      </c>
      <c r="D27" s="278"/>
      <c r="E27" s="298" t="str">
        <f>LOOKUP(B27,'1.2 EDU Factors'!$A$12:$A$36, '1.2 EDU Factors'!$C$12:$C$36)</f>
        <v>Acre</v>
      </c>
      <c r="F27" s="295">
        <f>LOOKUP(B27,'1.2 EDU Factors'!$A$12:$A$36, '1.2 EDU Factors'!$E$12:$E$36)</f>
        <v>0</v>
      </c>
      <c r="G27" s="296">
        <f t="shared" ref="G27:G49" si="3">F27*C27</f>
        <v>0</v>
      </c>
      <c r="I27" s="298" t="str">
        <f>LOOKUP(B27,'1.2 EDU Factors'!$A$12:$A$36, '1.2 EDU Factors'!$G$12:$G$36)</f>
        <v>Acre</v>
      </c>
      <c r="J27" s="295">
        <f>LOOKUP(B27,'1.2 EDU Factors'!$A$12:$A$36, '1.2 EDU Factors'!$H$12:$H$36)</f>
        <v>0</v>
      </c>
      <c r="K27" s="296">
        <f t="shared" ref="K27:K49" si="4">J27*C27</f>
        <v>0</v>
      </c>
      <c r="L27" s="295">
        <f>LOOKUP(B27,'1.2 EDU Factors'!$A$12:$A$36, '1.2 EDU Factors'!$J$12:$J$36)</f>
        <v>0</v>
      </c>
      <c r="M27" s="296">
        <f t="shared" ref="M27:M49" si="5">L27*K27</f>
        <v>0</v>
      </c>
      <c r="AC27" s="279"/>
      <c r="AD27" s="280"/>
    </row>
    <row r="28" spans="1:30" x14ac:dyDescent="0.2">
      <c r="A28" s="281"/>
      <c r="B28" s="277" t="s">
        <v>230</v>
      </c>
      <c r="C28" s="278">
        <v>29.292310000000001</v>
      </c>
      <c r="D28" s="278"/>
      <c r="E28" s="298" t="str">
        <f>LOOKUP(B28,'1.2 EDU Factors'!$A$12:$A$36, '1.2 EDU Factors'!$C$12:$C$36)</f>
        <v>Acre</v>
      </c>
      <c r="F28" s="295">
        <f>LOOKUP(B28,'1.2 EDU Factors'!$A$12:$A$36, '1.2 EDU Factors'!$E$12:$E$36)</f>
        <v>3.0606435643564356</v>
      </c>
      <c r="G28" s="296">
        <f t="shared" si="3"/>
        <v>89.65332008663367</v>
      </c>
      <c r="I28" s="298" t="str">
        <f>LOOKUP(B28,'1.2 EDU Factors'!$A$12:$A$36, '1.2 EDU Factors'!$G$12:$G$36)</f>
        <v>Acre</v>
      </c>
      <c r="J28" s="295">
        <f>LOOKUP(B28,'1.2 EDU Factors'!$A$12:$A$36, '1.2 EDU Factors'!$H$12:$H$36)</f>
        <v>1</v>
      </c>
      <c r="K28" s="296">
        <f t="shared" si="4"/>
        <v>29.292310000000001</v>
      </c>
      <c r="L28" s="295">
        <f>LOOKUP(B28,'1.2 EDU Factors'!$A$12:$A$36, '1.2 EDU Factors'!$J$12:$J$36)</f>
        <v>15.456250000000001</v>
      </c>
      <c r="M28" s="296">
        <f t="shared" si="5"/>
        <v>452.74926643750001</v>
      </c>
      <c r="AC28" s="279"/>
      <c r="AD28" s="280"/>
    </row>
    <row r="29" spans="1:30" x14ac:dyDescent="0.2">
      <c r="A29" s="281"/>
      <c r="B29" s="277" t="s">
        <v>231</v>
      </c>
      <c r="C29" s="278">
        <v>18.761132</v>
      </c>
      <c r="D29" s="278"/>
      <c r="E29" s="298" t="str">
        <f>LOOKUP(B29,'1.2 EDU Factors'!$A$12:$A$36, '1.2 EDU Factors'!$C$12:$C$36)</f>
        <v>Acre</v>
      </c>
      <c r="F29" s="295">
        <f>LOOKUP(B29,'1.2 EDU Factors'!$A$12:$A$36, '1.2 EDU Factors'!$E$12:$E$36)</f>
        <v>0.92821782178217827</v>
      </c>
      <c r="G29" s="296">
        <f t="shared" si="3"/>
        <v>17.414417079207922</v>
      </c>
      <c r="I29" s="298" t="str">
        <f>LOOKUP(B29,'1.2 EDU Factors'!$A$12:$A$36, '1.2 EDU Factors'!$G$12:$G$36)</f>
        <v>Acre</v>
      </c>
      <c r="J29" s="295">
        <f>LOOKUP(B29,'1.2 EDU Factors'!$A$12:$A$36, '1.2 EDU Factors'!$H$12:$H$36)</f>
        <v>1</v>
      </c>
      <c r="K29" s="296">
        <f t="shared" si="4"/>
        <v>18.761132</v>
      </c>
      <c r="L29" s="295">
        <f>LOOKUP(B29,'1.2 EDU Factors'!$A$12:$A$36, '1.2 EDU Factors'!$J$12:$J$36)</f>
        <v>4.6875</v>
      </c>
      <c r="M29" s="296">
        <f t="shared" si="5"/>
        <v>87.942806250000004</v>
      </c>
      <c r="AC29" s="279"/>
      <c r="AD29" s="280"/>
    </row>
    <row r="30" spans="1:30" x14ac:dyDescent="0.2">
      <c r="A30" s="281"/>
      <c r="B30" s="277" t="s">
        <v>232</v>
      </c>
      <c r="C30" s="278">
        <v>25.666180000000001</v>
      </c>
      <c r="D30" s="278"/>
      <c r="E30" s="298" t="str">
        <f>LOOKUP(B30,'1.2 EDU Factors'!$A$12:$A$36, '1.2 EDU Factors'!$C$12:$C$36)</f>
        <v>Acre</v>
      </c>
      <c r="F30" s="295">
        <f>LOOKUP(B30,'1.2 EDU Factors'!$A$12:$A$36, '1.2 EDU Factors'!$E$12:$E$36)</f>
        <v>2.8923267326732671</v>
      </c>
      <c r="G30" s="296">
        <f t="shared" si="3"/>
        <v>74.234978539603958</v>
      </c>
      <c r="I30" s="298" t="str">
        <f>LOOKUP(B30,'1.2 EDU Factors'!$A$12:$A$36, '1.2 EDU Factors'!$G$12:$G$36)</f>
        <v>Dwelling Unit</v>
      </c>
      <c r="J30" s="295">
        <f>LOOKUP(B30,'1.2 EDU Factors'!$A$12:$A$36, '1.2 EDU Factors'!$H$12:$H$36)</f>
        <v>19.974358974358974</v>
      </c>
      <c r="K30" s="296">
        <f t="shared" si="4"/>
        <v>512.66549282051278</v>
      </c>
      <c r="L30" s="295">
        <f>LOOKUP(B30,'1.2 EDU Factors'!$A$12:$A$36, '1.2 EDU Factors'!$J$12:$J$36)</f>
        <v>0.73124999999999996</v>
      </c>
      <c r="M30" s="296">
        <f t="shared" si="5"/>
        <v>374.88664162499992</v>
      </c>
      <c r="AC30" s="279"/>
      <c r="AD30" s="280"/>
    </row>
    <row r="31" spans="1:30" x14ac:dyDescent="0.2">
      <c r="A31" s="281"/>
      <c r="B31" s="277" t="s">
        <v>241</v>
      </c>
      <c r="C31" s="278">
        <v>175.12787800000001</v>
      </c>
      <c r="D31" s="278"/>
      <c r="E31" s="298" t="str">
        <f>LOOKUP(B31,'1.2 EDU Factors'!$A$12:$A$36, '1.2 EDU Factors'!$C$12:$C$36)</f>
        <v>Acre</v>
      </c>
      <c r="F31" s="295">
        <f>LOOKUP(B31,'1.2 EDU Factors'!$A$12:$A$36, '1.2 EDU Factors'!$E$12:$E$36)</f>
        <v>0.74257425742574257</v>
      </c>
      <c r="G31" s="296">
        <f t="shared" si="3"/>
        <v>130.04545396039606</v>
      </c>
      <c r="I31" s="298" t="str">
        <f>LOOKUP(B31,'1.2 EDU Factors'!$A$12:$A$36, '1.2 EDU Factors'!$G$12:$G$36)</f>
        <v>Acre</v>
      </c>
      <c r="J31" s="295">
        <f>LOOKUP(B31,'1.2 EDU Factors'!$A$12:$A$36, '1.2 EDU Factors'!$H$12:$H$36)</f>
        <v>1</v>
      </c>
      <c r="K31" s="296">
        <f t="shared" si="4"/>
        <v>175.12787800000001</v>
      </c>
      <c r="L31" s="295">
        <f>LOOKUP(B31,'1.2 EDU Factors'!$A$12:$A$36, '1.2 EDU Factors'!$J$12:$J$36)</f>
        <v>3.75</v>
      </c>
      <c r="M31" s="296">
        <f t="shared" si="5"/>
        <v>656.72954249999998</v>
      </c>
      <c r="AC31" s="279"/>
      <c r="AD31" s="280"/>
    </row>
    <row r="32" spans="1:30" x14ac:dyDescent="0.2">
      <c r="A32" s="281"/>
      <c r="B32" s="277" t="s">
        <v>233</v>
      </c>
      <c r="C32" s="278">
        <v>1033.033453</v>
      </c>
      <c r="D32" s="278"/>
      <c r="E32" s="298" t="str">
        <f>LOOKUP(B32,'1.2 EDU Factors'!$A$12:$A$36, '1.2 EDU Factors'!$C$12:$C$36)</f>
        <v>Acre</v>
      </c>
      <c r="F32" s="295">
        <f>LOOKUP(B32,'1.2 EDU Factors'!$A$12:$A$36, '1.2 EDU Factors'!$E$12:$E$36)</f>
        <v>1</v>
      </c>
      <c r="G32" s="296">
        <f t="shared" si="3"/>
        <v>1033.033453</v>
      </c>
      <c r="I32" s="298" t="str">
        <f>LOOKUP(B32,'1.2 EDU Factors'!$A$12:$A$36, '1.2 EDU Factors'!$G$12:$G$36)</f>
        <v>Dwelling Unit</v>
      </c>
      <c r="J32" s="295">
        <f>LOOKUP(B32,'1.2 EDU Factors'!$A$12:$A$36, '1.2 EDU Factors'!$H$12:$H$36)</f>
        <v>5.05</v>
      </c>
      <c r="K32" s="296">
        <f t="shared" si="4"/>
        <v>5216.8189376499995</v>
      </c>
      <c r="L32" s="295">
        <f>LOOKUP(B32,'1.2 EDU Factors'!$A$12:$A$36, '1.2 EDU Factors'!$J$12:$J$36)</f>
        <v>1</v>
      </c>
      <c r="M32" s="296">
        <f t="shared" si="5"/>
        <v>5216.8189376499995</v>
      </c>
      <c r="AC32" s="279"/>
      <c r="AD32" s="280"/>
    </row>
    <row r="33" spans="1:30" x14ac:dyDescent="0.2">
      <c r="A33" s="281"/>
      <c r="B33" s="277" t="s">
        <v>234</v>
      </c>
      <c r="C33" s="278">
        <v>527.84235899999999</v>
      </c>
      <c r="D33" s="278"/>
      <c r="E33" s="298" t="str">
        <f>LOOKUP(B33,'1.2 EDU Factors'!$A$12:$A$36, '1.2 EDU Factors'!$C$12:$C$36)</f>
        <v>Acre</v>
      </c>
      <c r="F33" s="295">
        <f>LOOKUP(B33,'1.2 EDU Factors'!$A$12:$A$36, '1.2 EDU Factors'!$E$12:$E$36)</f>
        <v>0.74257425742574257</v>
      </c>
      <c r="G33" s="296">
        <f t="shared" si="3"/>
        <v>391.96214777227721</v>
      </c>
      <c r="I33" s="298" t="str">
        <f>LOOKUP(B33,'1.2 EDU Factors'!$A$12:$A$36, '1.2 EDU Factors'!$G$12:$G$36)</f>
        <v>Acre</v>
      </c>
      <c r="J33" s="295">
        <f>LOOKUP(B33,'1.2 EDU Factors'!$A$12:$A$36, '1.2 EDU Factors'!$H$12:$H$36)</f>
        <v>1</v>
      </c>
      <c r="K33" s="296">
        <f t="shared" si="4"/>
        <v>527.84235899999999</v>
      </c>
      <c r="L33" s="295">
        <f>LOOKUP(B33,'1.2 EDU Factors'!$A$12:$A$36, '1.2 EDU Factors'!$J$12:$J$36)</f>
        <v>3.75</v>
      </c>
      <c r="M33" s="296">
        <f t="shared" si="5"/>
        <v>1979.4088462499999</v>
      </c>
      <c r="AC33" s="279"/>
      <c r="AD33" s="280"/>
    </row>
    <row r="34" spans="1:30" x14ac:dyDescent="0.2">
      <c r="A34" s="281"/>
      <c r="B34" s="277" t="s">
        <v>235</v>
      </c>
      <c r="C34" s="278">
        <v>19.097294000000002</v>
      </c>
      <c r="D34" s="278"/>
      <c r="E34" s="298" t="str">
        <f>LOOKUP(B34,'1.2 EDU Factors'!$A$12:$A$36, '1.2 EDU Factors'!$C$12:$C$36)</f>
        <v>Acre</v>
      </c>
      <c r="F34" s="295">
        <f>LOOKUP(B34,'1.2 EDU Factors'!$A$12:$A$36, '1.2 EDU Factors'!$E$12:$E$36)</f>
        <v>1.6658415841584158</v>
      </c>
      <c r="G34" s="296">
        <f t="shared" si="3"/>
        <v>31.813066490099011</v>
      </c>
      <c r="I34" s="298" t="str">
        <f>LOOKUP(B34,'1.2 EDU Factors'!$A$12:$A$36, '1.2 EDU Factors'!$G$12:$G$36)</f>
        <v>Dwelling Unit</v>
      </c>
      <c r="J34" s="295">
        <f>LOOKUP(B34,'1.2 EDU Factors'!$A$12:$A$36, '1.2 EDU Factors'!$H$12:$H$36)</f>
        <v>11.504273504273504</v>
      </c>
      <c r="K34" s="296">
        <f t="shared" si="4"/>
        <v>219.70049336752137</v>
      </c>
      <c r="L34" s="295">
        <f>LOOKUP(B34,'1.2 EDU Factors'!$A$12:$A$36, '1.2 EDU Factors'!$J$12:$J$36)</f>
        <v>0.73124999999999996</v>
      </c>
      <c r="M34" s="296">
        <f t="shared" si="5"/>
        <v>160.655985775</v>
      </c>
      <c r="AC34" s="279"/>
      <c r="AD34" s="280"/>
    </row>
    <row r="35" spans="1:30" x14ac:dyDescent="0.2">
      <c r="A35" s="281"/>
      <c r="B35" s="277" t="s">
        <v>236</v>
      </c>
      <c r="C35" s="278">
        <v>22.485962000000001</v>
      </c>
      <c r="D35" s="278"/>
      <c r="E35" s="298" t="str">
        <f>LOOKUP(B35,'1.2 EDU Factors'!$A$12:$A$36, '1.2 EDU Factors'!$C$12:$C$36)</f>
        <v>Acre</v>
      </c>
      <c r="F35" s="295">
        <f>LOOKUP(B35,'1.2 EDU Factors'!$A$12:$A$36, '1.2 EDU Factors'!$E$12:$E$36)</f>
        <v>1.386138613861386</v>
      </c>
      <c r="G35" s="296">
        <f t="shared" si="3"/>
        <v>31.168660198019801</v>
      </c>
      <c r="I35" s="298" t="str">
        <f>LOOKUP(B35,'1.2 EDU Factors'!$A$12:$A$36, '1.2 EDU Factors'!$G$12:$G$36)</f>
        <v>Acre</v>
      </c>
      <c r="J35" s="295">
        <f>LOOKUP(B35,'1.2 EDU Factors'!$A$12:$A$36, '1.2 EDU Factors'!$H$12:$H$36)</f>
        <v>1</v>
      </c>
      <c r="K35" s="296">
        <f t="shared" si="4"/>
        <v>22.485962000000001</v>
      </c>
      <c r="L35" s="295">
        <f>LOOKUP(B35,'1.2 EDU Factors'!$A$12:$A$36, '1.2 EDU Factors'!$J$12:$J$36)</f>
        <v>7</v>
      </c>
      <c r="M35" s="296">
        <f t="shared" si="5"/>
        <v>157.401734</v>
      </c>
      <c r="AC35" s="279"/>
      <c r="AD35" s="280"/>
    </row>
    <row r="36" spans="1:30" x14ac:dyDescent="0.2">
      <c r="A36" s="281"/>
      <c r="B36" s="277" t="s">
        <v>242</v>
      </c>
      <c r="C36" s="278">
        <v>15.368535</v>
      </c>
      <c r="D36" s="278"/>
      <c r="E36" s="298" t="str">
        <f>LOOKUP(B36,'1.2 EDU Factors'!$A$12:$A$36, '1.2 EDU Factors'!$C$12:$C$36)</f>
        <v>Acre</v>
      </c>
      <c r="F36" s="295">
        <f>LOOKUP(B36,'1.2 EDU Factors'!$A$12:$A$36, '1.2 EDU Factors'!$E$12:$E$36)</f>
        <v>0</v>
      </c>
      <c r="G36" s="296">
        <f t="shared" si="3"/>
        <v>0</v>
      </c>
      <c r="I36" s="298" t="str">
        <f>LOOKUP(B36,'1.2 EDU Factors'!$A$12:$A$36, '1.2 EDU Factors'!$G$12:$G$36)</f>
        <v>Acre</v>
      </c>
      <c r="J36" s="295">
        <f>LOOKUP(B36,'1.2 EDU Factors'!$A$12:$A$36, '1.2 EDU Factors'!$H$12:$H$36)</f>
        <v>1</v>
      </c>
      <c r="K36" s="296">
        <f t="shared" si="4"/>
        <v>15.368535</v>
      </c>
      <c r="L36" s="295">
        <f>LOOKUP(B36,'1.2 EDU Factors'!$A$12:$A$36, '1.2 EDU Factors'!$J$12:$J$36)</f>
        <v>0</v>
      </c>
      <c r="M36" s="296">
        <f t="shared" si="5"/>
        <v>0</v>
      </c>
      <c r="AC36" s="279"/>
      <c r="AD36" s="280"/>
    </row>
    <row r="37" spans="1:30" x14ac:dyDescent="0.2">
      <c r="A37" s="281"/>
      <c r="B37" s="277" t="s">
        <v>237</v>
      </c>
      <c r="C37" s="278">
        <v>44.270046000000001</v>
      </c>
      <c r="D37" s="278"/>
      <c r="E37" s="298" t="str">
        <f>LOOKUP(B37,'1.2 EDU Factors'!$A$12:$A$36, '1.2 EDU Factors'!$C$12:$C$36)</f>
        <v>Acre</v>
      </c>
      <c r="F37" s="295">
        <f>LOOKUP(B37,'1.2 EDU Factors'!$A$12:$A$36, '1.2 EDU Factors'!$E$12:$E$36)</f>
        <v>0.49504950495049505</v>
      </c>
      <c r="G37" s="296">
        <f t="shared" si="3"/>
        <v>21.915864356435645</v>
      </c>
      <c r="I37" s="298" t="str">
        <f>LOOKUP(B37,'1.2 EDU Factors'!$A$12:$A$36, '1.2 EDU Factors'!$G$12:$G$36)</f>
        <v>Acre</v>
      </c>
      <c r="J37" s="295">
        <f>LOOKUP(B37,'1.2 EDU Factors'!$A$12:$A$36, '1.2 EDU Factors'!$H$12:$H$36)</f>
        <v>1</v>
      </c>
      <c r="K37" s="296">
        <f t="shared" si="4"/>
        <v>44.270046000000001</v>
      </c>
      <c r="L37" s="295">
        <f>LOOKUP(B37,'1.2 EDU Factors'!$A$12:$A$36, '1.2 EDU Factors'!$J$12:$J$36)</f>
        <v>2.5</v>
      </c>
      <c r="M37" s="296">
        <f t="shared" si="5"/>
        <v>110.67511500000001</v>
      </c>
      <c r="AC37" s="279"/>
      <c r="AD37" s="280"/>
    </row>
    <row r="38" spans="1:30" x14ac:dyDescent="0.2">
      <c r="A38" s="281"/>
      <c r="B38" s="277" t="s">
        <v>243</v>
      </c>
      <c r="C38" s="278">
        <v>157.17575600000001</v>
      </c>
      <c r="D38" s="278"/>
      <c r="E38" s="298" t="str">
        <f>LOOKUP(B38,'1.2 EDU Factors'!$A$12:$A$36, '1.2 EDU Factors'!$C$12:$C$36)</f>
        <v>Acre</v>
      </c>
      <c r="F38" s="295">
        <f>LOOKUP(B38,'1.2 EDU Factors'!$A$12:$A$36, '1.2 EDU Factors'!$E$12:$E$36)</f>
        <v>0.52599009900990101</v>
      </c>
      <c r="G38" s="296">
        <f t="shared" si="3"/>
        <v>82.672891460396045</v>
      </c>
      <c r="I38" s="298" t="str">
        <f>LOOKUP(B38,'1.2 EDU Factors'!$A$12:$A$36, '1.2 EDU Factors'!$G$12:$G$36)</f>
        <v>Acre</v>
      </c>
      <c r="J38" s="295">
        <f>LOOKUP(B38,'1.2 EDU Factors'!$A$12:$A$36, '1.2 EDU Factors'!$H$12:$H$36)</f>
        <v>1</v>
      </c>
      <c r="K38" s="296">
        <f t="shared" si="4"/>
        <v>157.17575600000001</v>
      </c>
      <c r="L38" s="295">
        <f>LOOKUP(B38,'1.2 EDU Factors'!$A$12:$A$36, '1.2 EDU Factors'!$J$12:$J$36)</f>
        <v>2.65625</v>
      </c>
      <c r="M38" s="296">
        <f t="shared" si="5"/>
        <v>417.49810187500003</v>
      </c>
      <c r="AC38" s="279"/>
      <c r="AD38" s="280"/>
    </row>
    <row r="39" spans="1:30" x14ac:dyDescent="0.2">
      <c r="A39" s="281"/>
      <c r="B39" s="277" t="s">
        <v>244</v>
      </c>
      <c r="C39" s="278">
        <v>578.53751799999998</v>
      </c>
      <c r="D39" s="278"/>
      <c r="E39" s="298" t="str">
        <f>LOOKUP(B39,'1.2 EDU Factors'!$A$12:$A$36, '1.2 EDU Factors'!$C$12:$C$36)</f>
        <v>Acre</v>
      </c>
      <c r="F39" s="295">
        <f>LOOKUP(B39,'1.2 EDU Factors'!$A$12:$A$36, '1.2 EDU Factors'!$E$12:$E$36)</f>
        <v>0</v>
      </c>
      <c r="G39" s="296">
        <f t="shared" si="3"/>
        <v>0</v>
      </c>
      <c r="I39" s="298" t="str">
        <f>LOOKUP(B39,'1.2 EDU Factors'!$A$12:$A$36, '1.2 EDU Factors'!$G$12:$G$36)</f>
        <v>Acre</v>
      </c>
      <c r="J39" s="295">
        <f>LOOKUP(B39,'1.2 EDU Factors'!$A$12:$A$36, '1.2 EDU Factors'!$H$12:$H$36)</f>
        <v>0</v>
      </c>
      <c r="K39" s="296">
        <f t="shared" si="4"/>
        <v>0</v>
      </c>
      <c r="L39" s="295">
        <f>LOOKUP(B39,'1.2 EDU Factors'!$A$12:$A$36, '1.2 EDU Factors'!$J$12:$J$36)</f>
        <v>0</v>
      </c>
      <c r="M39" s="296">
        <f t="shared" si="5"/>
        <v>0</v>
      </c>
    </row>
    <row r="40" spans="1:30" x14ac:dyDescent="0.2">
      <c r="A40" s="281"/>
      <c r="B40" s="277" t="s">
        <v>245</v>
      </c>
      <c r="C40" s="278">
        <v>1152.6550749999999</v>
      </c>
      <c r="D40" s="278"/>
      <c r="E40" s="298" t="str">
        <f>LOOKUP(B40,'1.2 EDU Factors'!$A$12:$A$36, '1.2 EDU Factors'!$C$12:$C$36)</f>
        <v>Acre</v>
      </c>
      <c r="F40" s="295">
        <f>LOOKUP(B40,'1.2 EDU Factors'!$A$12:$A$36, '1.2 EDU Factors'!$E$12:$E$36)</f>
        <v>0</v>
      </c>
      <c r="G40" s="296">
        <f t="shared" si="3"/>
        <v>0</v>
      </c>
      <c r="I40" s="298" t="str">
        <f>LOOKUP(B40,'1.2 EDU Factors'!$A$12:$A$36, '1.2 EDU Factors'!$G$12:$G$36)</f>
        <v>Acre</v>
      </c>
      <c r="J40" s="295">
        <f>LOOKUP(B40,'1.2 EDU Factors'!$A$12:$A$36, '1.2 EDU Factors'!$H$12:$H$36)</f>
        <v>0</v>
      </c>
      <c r="K40" s="296">
        <f t="shared" si="4"/>
        <v>0</v>
      </c>
      <c r="L40" s="295">
        <f>LOOKUP(B40,'1.2 EDU Factors'!$A$12:$A$36, '1.2 EDU Factors'!$J$12:$J$36)</f>
        <v>0</v>
      </c>
      <c r="M40" s="296">
        <f t="shared" si="5"/>
        <v>0</v>
      </c>
    </row>
    <row r="41" spans="1:30" x14ac:dyDescent="0.2">
      <c r="A41" s="281"/>
      <c r="B41" s="277" t="s">
        <v>246</v>
      </c>
      <c r="C41" s="278">
        <v>43.057797000000001</v>
      </c>
      <c r="D41" s="278"/>
      <c r="E41" s="298" t="str">
        <f>LOOKUP(B41,'1.2 EDU Factors'!$A$12:$A$36, '1.2 EDU Factors'!$C$12:$C$36)</f>
        <v>Acre</v>
      </c>
      <c r="F41" s="295">
        <f>LOOKUP(B41,'1.2 EDU Factors'!$A$12:$A$36, '1.2 EDU Factors'!$E$12:$E$36)</f>
        <v>3.0606435643564356</v>
      </c>
      <c r="G41" s="296">
        <f t="shared" si="3"/>
        <v>131.78456928341583</v>
      </c>
      <c r="I41" s="298" t="str">
        <f>LOOKUP(B41,'1.2 EDU Factors'!$A$12:$A$36, '1.2 EDU Factors'!$G$12:$G$36)</f>
        <v>Acre</v>
      </c>
      <c r="J41" s="295">
        <f>LOOKUP(B41,'1.2 EDU Factors'!$A$12:$A$36, '1.2 EDU Factors'!$H$12:$H$36)</f>
        <v>1</v>
      </c>
      <c r="K41" s="296">
        <f t="shared" si="4"/>
        <v>43.057797000000001</v>
      </c>
      <c r="L41" s="295">
        <f>LOOKUP(B41,'1.2 EDU Factors'!$A$12:$A$36, '1.2 EDU Factors'!$J$12:$J$36)</f>
        <v>15.456250000000001</v>
      </c>
      <c r="M41" s="296">
        <f t="shared" si="5"/>
        <v>665.51207488124999</v>
      </c>
    </row>
    <row r="42" spans="1:30" x14ac:dyDescent="0.2">
      <c r="A42" s="281"/>
      <c r="B42" s="277" t="s">
        <v>247</v>
      </c>
      <c r="C42" s="278">
        <v>40.434798000000001</v>
      </c>
      <c r="D42" s="278"/>
      <c r="E42" s="298" t="str">
        <f>LOOKUP(B42,'1.2 EDU Factors'!$A$12:$A$36, '1.2 EDU Factors'!$C$12:$C$36)</f>
        <v>Acre</v>
      </c>
      <c r="F42" s="295">
        <f>LOOKUP(B42,'1.2 EDU Factors'!$A$12:$A$36, '1.2 EDU Factors'!$E$12:$E$36)</f>
        <v>0.92821782178217827</v>
      </c>
      <c r="G42" s="296">
        <f t="shared" si="3"/>
        <v>37.532300123762376</v>
      </c>
      <c r="I42" s="298" t="str">
        <f>LOOKUP(B42,'1.2 EDU Factors'!$A$12:$A$36, '1.2 EDU Factors'!$G$12:$G$36)</f>
        <v>Acre</v>
      </c>
      <c r="J42" s="295">
        <f>LOOKUP(B42,'1.2 EDU Factors'!$A$12:$A$36, '1.2 EDU Factors'!$H$12:$H$36)</f>
        <v>1</v>
      </c>
      <c r="K42" s="296">
        <f t="shared" si="4"/>
        <v>40.434798000000001</v>
      </c>
      <c r="L42" s="295">
        <f>LOOKUP(B42,'1.2 EDU Factors'!$A$12:$A$36, '1.2 EDU Factors'!$J$12:$J$36)</f>
        <v>4.6875</v>
      </c>
      <c r="M42" s="296">
        <f t="shared" si="5"/>
        <v>189.53811562499999</v>
      </c>
    </row>
    <row r="43" spans="1:30" x14ac:dyDescent="0.2">
      <c r="A43" s="281"/>
      <c r="B43" s="277" t="s">
        <v>248</v>
      </c>
      <c r="C43" s="278">
        <v>754.374683</v>
      </c>
      <c r="D43" s="278"/>
      <c r="E43" s="298" t="str">
        <f>LOOKUP(B43,'1.2 EDU Factors'!$A$12:$A$36, '1.2 EDU Factors'!$C$12:$C$36)</f>
        <v>Acre</v>
      </c>
      <c r="F43" s="295">
        <f>LOOKUP(B43,'1.2 EDU Factors'!$A$12:$A$36, '1.2 EDU Factors'!$E$12:$E$36)</f>
        <v>1</v>
      </c>
      <c r="G43" s="296">
        <f t="shared" si="3"/>
        <v>754.374683</v>
      </c>
      <c r="I43" s="298" t="str">
        <f>LOOKUP(B43,'1.2 EDU Factors'!$A$12:$A$36, '1.2 EDU Factors'!$G$12:$G$36)</f>
        <v>Dwelling Unit</v>
      </c>
      <c r="J43" s="295">
        <f>LOOKUP(B43,'1.2 EDU Factors'!$A$12:$A$36, '1.2 EDU Factors'!$H$12:$H$36)</f>
        <v>5.05</v>
      </c>
      <c r="K43" s="296">
        <f t="shared" si="4"/>
        <v>3809.5921491499998</v>
      </c>
      <c r="L43" s="295">
        <f>LOOKUP(B43,'1.2 EDU Factors'!$A$12:$A$36, '1.2 EDU Factors'!$J$12:$J$36)</f>
        <v>1</v>
      </c>
      <c r="M43" s="296">
        <f t="shared" si="5"/>
        <v>3809.5921491499998</v>
      </c>
    </row>
    <row r="44" spans="1:30" x14ac:dyDescent="0.2">
      <c r="A44" s="281"/>
      <c r="B44" s="277" t="s">
        <v>249</v>
      </c>
      <c r="C44" s="278">
        <v>114.44947000000001</v>
      </c>
      <c r="D44" s="278"/>
      <c r="E44" s="298" t="str">
        <f>LOOKUP(B44,'1.2 EDU Factors'!$A$12:$A$36, '1.2 EDU Factors'!$C$12:$C$36)</f>
        <v>Acre</v>
      </c>
      <c r="F44" s="295">
        <f>LOOKUP(B44,'1.2 EDU Factors'!$A$12:$A$36, '1.2 EDU Factors'!$E$12:$E$36)</f>
        <v>0.74257425742574257</v>
      </c>
      <c r="G44" s="296">
        <f t="shared" si="3"/>
        <v>84.987230198019802</v>
      </c>
      <c r="I44" s="298" t="str">
        <f>LOOKUP(B44,'1.2 EDU Factors'!$A$12:$A$36, '1.2 EDU Factors'!$G$12:$G$36)</f>
        <v>Acre</v>
      </c>
      <c r="J44" s="295">
        <f>LOOKUP(B44,'1.2 EDU Factors'!$A$12:$A$36, '1.2 EDU Factors'!$H$12:$H$36)</f>
        <v>1</v>
      </c>
      <c r="K44" s="296">
        <f t="shared" si="4"/>
        <v>114.44947000000001</v>
      </c>
      <c r="L44" s="295">
        <f>LOOKUP(B44,'1.2 EDU Factors'!$A$12:$A$36, '1.2 EDU Factors'!$J$12:$J$36)</f>
        <v>3.75</v>
      </c>
      <c r="M44" s="296">
        <f t="shared" si="5"/>
        <v>429.18551250000002</v>
      </c>
    </row>
    <row r="45" spans="1:30" x14ac:dyDescent="0.2">
      <c r="A45" s="281"/>
      <c r="B45" s="277" t="s">
        <v>250</v>
      </c>
      <c r="C45" s="278">
        <v>19.736191999999999</v>
      </c>
      <c r="D45" s="278"/>
      <c r="E45" s="298" t="str">
        <f>LOOKUP(B45,'1.2 EDU Factors'!$A$12:$A$36, '1.2 EDU Factors'!$C$12:$C$36)</f>
        <v>Acre</v>
      </c>
      <c r="F45" s="295">
        <f>LOOKUP(B45,'1.2 EDU Factors'!$A$12:$A$36, '1.2 EDU Factors'!$E$12:$E$36)</f>
        <v>1.6658415841584158</v>
      </c>
      <c r="G45" s="296">
        <f t="shared" si="3"/>
        <v>32.87736934653465</v>
      </c>
      <c r="I45" s="298" t="str">
        <f>LOOKUP(B45,'1.2 EDU Factors'!$A$12:$A$36, '1.2 EDU Factors'!$G$12:$G$36)</f>
        <v>Dwelling Unit</v>
      </c>
      <c r="J45" s="295">
        <f>LOOKUP(B45,'1.2 EDU Factors'!$A$12:$A$36, '1.2 EDU Factors'!$H$12:$H$36)</f>
        <v>11.504273504273504</v>
      </c>
      <c r="K45" s="296">
        <f t="shared" si="4"/>
        <v>227.0505507008547</v>
      </c>
      <c r="L45" s="295">
        <f>LOOKUP(B45,'1.2 EDU Factors'!$A$12:$A$36, '1.2 EDU Factors'!$J$12:$J$36)</f>
        <v>0.73124999999999996</v>
      </c>
      <c r="M45" s="296">
        <f t="shared" si="5"/>
        <v>166.0307152</v>
      </c>
    </row>
    <row r="46" spans="1:30" x14ac:dyDescent="0.2">
      <c r="A46" s="281"/>
      <c r="B46" s="277" t="s">
        <v>251</v>
      </c>
      <c r="C46" s="278">
        <v>37.560957999999999</v>
      </c>
      <c r="D46" s="278"/>
      <c r="E46" s="298" t="str">
        <f>LOOKUP(B46,'1.2 EDU Factors'!$A$12:$A$36, '1.2 EDU Factors'!$C$12:$C$36)</f>
        <v>Acre</v>
      </c>
      <c r="F46" s="295">
        <f>LOOKUP(B46,'1.2 EDU Factors'!$A$12:$A$36, '1.2 EDU Factors'!$E$12:$E$36)</f>
        <v>1.6658415841584158</v>
      </c>
      <c r="G46" s="296">
        <f t="shared" si="3"/>
        <v>62.570605777227719</v>
      </c>
      <c r="I46" s="298" t="str">
        <f>LOOKUP(B46,'1.2 EDU Factors'!$A$12:$A$36, '1.2 EDU Factors'!$G$12:$G$36)</f>
        <v>Dwelling Unit</v>
      </c>
      <c r="J46" s="295">
        <f>LOOKUP(B46,'1.2 EDU Factors'!$A$12:$A$36, '1.2 EDU Factors'!$H$12:$H$36)</f>
        <v>11.504273504273504</v>
      </c>
      <c r="K46" s="296">
        <f t="shared" si="4"/>
        <v>432.1115339145299</v>
      </c>
      <c r="L46" s="295">
        <f>LOOKUP(B46,'1.2 EDU Factors'!$A$12:$A$36, '1.2 EDU Factors'!$J$12:$J$36)</f>
        <v>0.73124999999999996</v>
      </c>
      <c r="M46" s="296">
        <f t="shared" si="5"/>
        <v>315.98155917499997</v>
      </c>
    </row>
    <row r="47" spans="1:30" x14ac:dyDescent="0.2">
      <c r="A47" s="281"/>
      <c r="B47" s="277" t="s">
        <v>252</v>
      </c>
      <c r="C47" s="278">
        <v>11.652851999999999</v>
      </c>
      <c r="D47" s="278"/>
      <c r="E47" s="298" t="str">
        <f>LOOKUP(B47,'1.2 EDU Factors'!$A$12:$A$36, '1.2 EDU Factors'!$C$12:$C$36)</f>
        <v>Acre</v>
      </c>
      <c r="F47" s="295">
        <f>LOOKUP(B47,'1.2 EDU Factors'!$A$12:$A$36, '1.2 EDU Factors'!$E$12:$E$36)</f>
        <v>0.52599009900990101</v>
      </c>
      <c r="G47" s="296">
        <f t="shared" si="3"/>
        <v>6.1292847772277224</v>
      </c>
      <c r="I47" s="298" t="str">
        <f>LOOKUP(B47,'1.2 EDU Factors'!$A$12:$A$36, '1.2 EDU Factors'!$G$12:$G$36)</f>
        <v>Acre</v>
      </c>
      <c r="J47" s="295">
        <f>LOOKUP(B47,'1.2 EDU Factors'!$A$12:$A$36, '1.2 EDU Factors'!$H$12:$H$36)</f>
        <v>1</v>
      </c>
      <c r="K47" s="296">
        <f t="shared" si="4"/>
        <v>11.652851999999999</v>
      </c>
      <c r="L47" s="295">
        <f>LOOKUP(B47,'1.2 EDU Factors'!$A$12:$A$36, '1.2 EDU Factors'!$J$12:$J$36)</f>
        <v>2.65625</v>
      </c>
      <c r="M47" s="296">
        <f t="shared" si="5"/>
        <v>30.952888124999998</v>
      </c>
    </row>
    <row r="48" spans="1:30" x14ac:dyDescent="0.2">
      <c r="A48" s="281"/>
      <c r="B48" s="277" t="s">
        <v>253</v>
      </c>
      <c r="C48" s="278">
        <v>352.59333099999998</v>
      </c>
      <c r="D48" s="278"/>
      <c r="E48" s="298" t="str">
        <f>LOOKUP(B48,'1.2 EDU Factors'!$A$12:$A$36, '1.2 EDU Factors'!$C$12:$C$36)</f>
        <v>Acre</v>
      </c>
      <c r="F48" s="295">
        <f>LOOKUP(B48,'1.2 EDU Factors'!$A$12:$A$36, '1.2 EDU Factors'!$E$12:$E$36)</f>
        <v>0.39603960396039606</v>
      </c>
      <c r="G48" s="296">
        <f t="shared" si="3"/>
        <v>139.64092316831682</v>
      </c>
      <c r="I48" s="298" t="str">
        <f>LOOKUP(B48,'1.2 EDU Factors'!$A$12:$A$36, '1.2 EDU Factors'!$G$12:$G$36)</f>
        <v>Dwelling Unit</v>
      </c>
      <c r="J48" s="295">
        <f>LOOKUP(B48,'1.2 EDU Factors'!$A$12:$A$36, '1.2 EDU Factors'!$H$12:$H$36)</f>
        <v>2</v>
      </c>
      <c r="K48" s="296">
        <f t="shared" si="4"/>
        <v>705.18666199999996</v>
      </c>
      <c r="L48" s="295">
        <f>LOOKUP(B48,'1.2 EDU Factors'!$A$12:$A$36, '1.2 EDU Factors'!$J$12:$J$36)</f>
        <v>1</v>
      </c>
      <c r="M48" s="296">
        <f t="shared" si="5"/>
        <v>705.18666199999996</v>
      </c>
    </row>
    <row r="49" spans="1:13" x14ac:dyDescent="0.2">
      <c r="A49" s="281"/>
      <c r="B49" s="277" t="s">
        <v>238</v>
      </c>
      <c r="C49" s="278">
        <v>127.986069</v>
      </c>
      <c r="D49" s="278"/>
      <c r="E49" s="298" t="str">
        <f>LOOKUP(B49,'1.2 EDU Factors'!$A$12:$A$36, '1.2 EDU Factors'!$C$12:$C$36)</f>
        <v>Acre</v>
      </c>
      <c r="F49" s="295">
        <f>LOOKUP(B49,'1.2 EDU Factors'!$A$12:$A$36, '1.2 EDU Factors'!$E$12:$E$36)</f>
        <v>0.39603960396039606</v>
      </c>
      <c r="G49" s="296">
        <f t="shared" si="3"/>
        <v>50.687552079207926</v>
      </c>
      <c r="I49" s="298" t="str">
        <f>LOOKUP(B49,'1.2 EDU Factors'!$A$12:$A$36, '1.2 EDU Factors'!$G$12:$G$36)</f>
        <v>Dwelling Unit</v>
      </c>
      <c r="J49" s="295">
        <f>LOOKUP(B49,'1.2 EDU Factors'!$A$12:$A$36, '1.2 EDU Factors'!$H$12:$H$36)</f>
        <v>2</v>
      </c>
      <c r="K49" s="296">
        <f t="shared" si="4"/>
        <v>255.972138</v>
      </c>
      <c r="L49" s="295">
        <f>LOOKUP(B49,'1.2 EDU Factors'!$A$12:$A$36, '1.2 EDU Factors'!$J$12:$J$36)</f>
        <v>1</v>
      </c>
      <c r="M49" s="296">
        <f t="shared" si="5"/>
        <v>255.972138</v>
      </c>
    </row>
    <row r="50" spans="1:13" x14ac:dyDescent="0.2">
      <c r="A50" s="281"/>
      <c r="B50" s="277"/>
      <c r="C50" s="311"/>
      <c r="D50" s="278"/>
      <c r="E50" s="298"/>
      <c r="F50" s="295"/>
      <c r="G50" s="312"/>
      <c r="I50" s="298"/>
      <c r="J50" s="295"/>
      <c r="K50" s="296"/>
      <c r="L50" s="295"/>
      <c r="M50" s="312"/>
    </row>
    <row r="51" spans="1:13" x14ac:dyDescent="0.2">
      <c r="A51" s="281"/>
      <c r="B51" s="277"/>
      <c r="C51" s="278"/>
      <c r="D51" s="278"/>
      <c r="E51" s="298"/>
      <c r="F51" s="295"/>
      <c r="G51" s="296"/>
      <c r="I51" s="298"/>
      <c r="J51" s="295"/>
      <c r="K51" s="296"/>
      <c r="L51" s="295"/>
      <c r="M51" s="296"/>
    </row>
    <row r="52" spans="1:13" x14ac:dyDescent="0.2">
      <c r="A52" s="281" t="s">
        <v>474</v>
      </c>
      <c r="B52" s="277"/>
      <c r="C52" s="278">
        <f>SUM(C27:C50)</f>
        <v>8686.4603319999987</v>
      </c>
      <c r="D52" s="278"/>
      <c r="E52" s="298"/>
      <c r="F52" s="295"/>
      <c r="G52" s="278">
        <f>SUM(G27:G50)</f>
        <v>3204.4987706967822</v>
      </c>
      <c r="I52" s="298"/>
      <c r="J52" s="295"/>
      <c r="K52" s="296"/>
      <c r="L52" s="295"/>
      <c r="M52" s="278">
        <f>SUM(M27:M50)</f>
        <v>16182.718792018748</v>
      </c>
    </row>
    <row r="53" spans="1:13" x14ac:dyDescent="0.2">
      <c r="A53" s="284" t="s">
        <v>467</v>
      </c>
      <c r="G53" s="296">
        <f>$G$125</f>
        <v>808</v>
      </c>
      <c r="H53" s="291"/>
      <c r="I53" s="298"/>
      <c r="J53" s="295"/>
      <c r="K53" s="296"/>
      <c r="L53" s="295"/>
      <c r="M53" s="296">
        <f>$M$125</f>
        <v>160</v>
      </c>
    </row>
    <row r="54" spans="1:13" x14ac:dyDescent="0.2">
      <c r="A54" s="284" t="s">
        <v>468</v>
      </c>
      <c r="G54" s="296">
        <f>G52*G53</f>
        <v>2589235.0067230002</v>
      </c>
      <c r="H54" s="291"/>
      <c r="I54" s="291"/>
      <c r="J54" s="291"/>
      <c r="K54" s="296"/>
      <c r="L54" s="291"/>
      <c r="M54" s="296">
        <f>M52*M53</f>
        <v>2589235.0067229997</v>
      </c>
    </row>
    <row r="55" spans="1:13" x14ac:dyDescent="0.2">
      <c r="A55" s="281"/>
      <c r="B55" s="277"/>
      <c r="C55" s="278"/>
      <c r="D55" s="278"/>
      <c r="E55" s="298"/>
      <c r="F55" s="295"/>
      <c r="G55" s="296"/>
      <c r="I55" s="298"/>
      <c r="J55" s="295"/>
      <c r="K55" s="296"/>
      <c r="L55" s="295"/>
      <c r="M55" s="296"/>
    </row>
    <row r="56" spans="1:13" x14ac:dyDescent="0.2">
      <c r="A56" s="281"/>
      <c r="B56" s="277"/>
      <c r="C56" s="278"/>
      <c r="D56" s="278"/>
      <c r="E56" s="278"/>
      <c r="G56" s="296"/>
      <c r="K56" s="97"/>
      <c r="L56" s="295"/>
      <c r="M56" s="296"/>
    </row>
    <row r="57" spans="1:13" x14ac:dyDescent="0.2">
      <c r="A57" s="276" t="s">
        <v>254</v>
      </c>
      <c r="B57" s="277" t="s">
        <v>230</v>
      </c>
      <c r="C57" s="278">
        <v>50.457075000000003</v>
      </c>
      <c r="D57" s="278"/>
      <c r="E57" s="298" t="str">
        <f>LOOKUP(B57,'1.2 EDU Factors'!$A$12:$A$36, '1.2 EDU Factors'!$C$12:$C$36)</f>
        <v>Acre</v>
      </c>
      <c r="F57" s="295">
        <f>LOOKUP(B57,'1.2 EDU Factors'!$A$12:$A$36, '1.2 EDU Factors'!$E$12:$E$36)</f>
        <v>3.0606435643564356</v>
      </c>
      <c r="G57" s="296">
        <f>F57*C57</f>
        <v>154.431121875</v>
      </c>
      <c r="I57" s="298" t="str">
        <f>LOOKUP(B57,'1.2 EDU Factors'!$A$12:$A$36, '1.2 EDU Factors'!$G$12:$G$36)</f>
        <v>Acre</v>
      </c>
      <c r="J57" s="295">
        <f>LOOKUP(B57,'1.2 EDU Factors'!$A$12:$A$36, '1.2 EDU Factors'!$H$12:$H$36)</f>
        <v>1</v>
      </c>
      <c r="K57" s="296">
        <f>J57*C57</f>
        <v>50.457075000000003</v>
      </c>
      <c r="L57" s="295">
        <f>LOOKUP(B57,'1.2 EDU Factors'!$A$12:$A$36, '1.2 EDU Factors'!$J$12:$J$36)</f>
        <v>15.456250000000001</v>
      </c>
      <c r="M57" s="296">
        <f t="shared" ref="M57:M60" si="6">L57*K57</f>
        <v>779.87716546875004</v>
      </c>
    </row>
    <row r="58" spans="1:13" x14ac:dyDescent="0.2">
      <c r="A58" s="281"/>
      <c r="B58" s="277" t="s">
        <v>231</v>
      </c>
      <c r="C58" s="278">
        <v>10.055574999999999</v>
      </c>
      <c r="D58" s="278"/>
      <c r="E58" s="298" t="str">
        <f>LOOKUP(B58,'1.2 EDU Factors'!$A$12:$A$36, '1.2 EDU Factors'!$C$12:$C$36)</f>
        <v>Acre</v>
      </c>
      <c r="F58" s="295">
        <f>LOOKUP(B58,'1.2 EDU Factors'!$A$12:$A$36, '1.2 EDU Factors'!$E$12:$E$36)</f>
        <v>0.92821782178217827</v>
      </c>
      <c r="G58" s="296">
        <f>F58*C58</f>
        <v>9.3337639232673268</v>
      </c>
      <c r="I58" s="298" t="str">
        <f>LOOKUP(B58,'1.2 EDU Factors'!$A$12:$A$36, '1.2 EDU Factors'!$G$12:$G$36)</f>
        <v>Acre</v>
      </c>
      <c r="J58" s="295">
        <f>LOOKUP(B58,'1.2 EDU Factors'!$A$12:$A$36, '1.2 EDU Factors'!$H$12:$H$36)</f>
        <v>1</v>
      </c>
      <c r="K58" s="296">
        <f>J58*C58</f>
        <v>10.055574999999999</v>
      </c>
      <c r="L58" s="295">
        <f>LOOKUP(B58,'1.2 EDU Factors'!$A$12:$A$36, '1.2 EDU Factors'!$J$12:$J$36)</f>
        <v>4.6875</v>
      </c>
      <c r="M58" s="296">
        <f t="shared" si="6"/>
        <v>47.135507812499995</v>
      </c>
    </row>
    <row r="59" spans="1:13" x14ac:dyDescent="0.2">
      <c r="A59" s="281"/>
      <c r="B59" s="277" t="s">
        <v>233</v>
      </c>
      <c r="C59" s="278">
        <v>6.8119079999999999</v>
      </c>
      <c r="D59" s="278"/>
      <c r="E59" s="298" t="str">
        <f>LOOKUP(B59,'1.2 EDU Factors'!$A$12:$A$36, '1.2 EDU Factors'!$C$12:$C$36)</f>
        <v>Acre</v>
      </c>
      <c r="F59" s="295">
        <f>LOOKUP(B59,'1.2 EDU Factors'!$A$12:$A$36, '1.2 EDU Factors'!$E$12:$E$36)</f>
        <v>1</v>
      </c>
      <c r="G59" s="296">
        <f>F59*C59</f>
        <v>6.8119079999999999</v>
      </c>
      <c r="I59" s="298" t="str">
        <f>LOOKUP(B59,'1.2 EDU Factors'!$A$12:$A$36, '1.2 EDU Factors'!$G$12:$G$36)</f>
        <v>Dwelling Unit</v>
      </c>
      <c r="J59" s="295">
        <f>LOOKUP(B59,'1.2 EDU Factors'!$A$12:$A$36, '1.2 EDU Factors'!$H$12:$H$36)</f>
        <v>5.05</v>
      </c>
      <c r="K59" s="296">
        <f>J59*C59</f>
        <v>34.400135399999996</v>
      </c>
      <c r="L59" s="295">
        <f>LOOKUP(B59,'1.2 EDU Factors'!$A$12:$A$36, '1.2 EDU Factors'!$J$12:$J$36)</f>
        <v>1</v>
      </c>
      <c r="M59" s="296">
        <f t="shared" si="6"/>
        <v>34.400135399999996</v>
      </c>
    </row>
    <row r="60" spans="1:13" x14ac:dyDescent="0.2">
      <c r="A60" s="281"/>
      <c r="B60" s="277" t="s">
        <v>234</v>
      </c>
      <c r="C60" s="278">
        <v>34.600757000000002</v>
      </c>
      <c r="D60" s="278"/>
      <c r="E60" s="298" t="str">
        <f>LOOKUP(B60,'1.2 EDU Factors'!$A$12:$A$36, '1.2 EDU Factors'!$C$12:$C$36)</f>
        <v>Acre</v>
      </c>
      <c r="F60" s="295">
        <f>LOOKUP(B60,'1.2 EDU Factors'!$A$12:$A$36, '1.2 EDU Factors'!$E$12:$E$36)</f>
        <v>0.74257425742574257</v>
      </c>
      <c r="G60" s="296">
        <f>F60*C60</f>
        <v>25.693631435643564</v>
      </c>
      <c r="I60" s="298" t="str">
        <f>LOOKUP(B60,'1.2 EDU Factors'!$A$12:$A$36, '1.2 EDU Factors'!$G$12:$G$36)</f>
        <v>Acre</v>
      </c>
      <c r="J60" s="295">
        <f>LOOKUP(B60,'1.2 EDU Factors'!$A$12:$A$36, '1.2 EDU Factors'!$H$12:$H$36)</f>
        <v>1</v>
      </c>
      <c r="K60" s="296">
        <f>J60*C60</f>
        <v>34.600757000000002</v>
      </c>
      <c r="L60" s="295">
        <f>LOOKUP(B60,'1.2 EDU Factors'!$A$12:$A$36, '1.2 EDU Factors'!$J$12:$J$36)</f>
        <v>3.75</v>
      </c>
      <c r="M60" s="296">
        <f t="shared" si="6"/>
        <v>129.75283875</v>
      </c>
    </row>
    <row r="61" spans="1:13" x14ac:dyDescent="0.2">
      <c r="A61" s="281"/>
      <c r="B61" s="277"/>
      <c r="C61" s="311"/>
      <c r="D61" s="278"/>
      <c r="E61" s="298"/>
      <c r="F61" s="295"/>
      <c r="G61" s="312"/>
      <c r="I61" s="298"/>
      <c r="J61" s="295"/>
      <c r="K61" s="296"/>
      <c r="L61" s="295"/>
      <c r="M61" s="312"/>
    </row>
    <row r="62" spans="1:13" x14ac:dyDescent="0.2">
      <c r="A62" s="281"/>
      <c r="B62" s="277"/>
      <c r="C62" s="278"/>
      <c r="D62" s="278"/>
      <c r="E62" s="298"/>
      <c r="F62" s="295"/>
      <c r="G62" s="296"/>
      <c r="I62" s="298"/>
      <c r="J62" s="295"/>
      <c r="K62" s="296"/>
      <c r="L62" s="295"/>
      <c r="M62" s="296"/>
    </row>
    <row r="63" spans="1:13" x14ac:dyDescent="0.2">
      <c r="A63" s="281" t="s">
        <v>475</v>
      </c>
      <c r="B63" s="277"/>
      <c r="C63" s="278">
        <f>SUM(C57:C61)</f>
        <v>101.925315</v>
      </c>
      <c r="D63" s="278"/>
      <c r="E63" s="298"/>
      <c r="F63" s="295"/>
      <c r="G63" s="278">
        <f>SUM(G57:G61)</f>
        <v>196.27042523391088</v>
      </c>
      <c r="I63" s="298"/>
      <c r="J63" s="295"/>
      <c r="K63" s="296"/>
      <c r="L63" s="295"/>
      <c r="M63" s="278">
        <f>SUM(M57:M61)</f>
        <v>991.16564743125002</v>
      </c>
    </row>
    <row r="64" spans="1:13" x14ac:dyDescent="0.2">
      <c r="A64" s="284" t="s">
        <v>467</v>
      </c>
      <c r="G64" s="296">
        <f>$G$125</f>
        <v>808</v>
      </c>
      <c r="H64" s="291"/>
      <c r="I64" s="298"/>
      <c r="J64" s="295"/>
      <c r="K64" s="296"/>
      <c r="L64" s="295"/>
      <c r="M64" s="296">
        <f>$M$125</f>
        <v>160</v>
      </c>
    </row>
    <row r="65" spans="1:13" x14ac:dyDescent="0.2">
      <c r="A65" s="284" t="s">
        <v>468</v>
      </c>
      <c r="G65" s="296">
        <f>G63*G64</f>
        <v>158586.503589</v>
      </c>
      <c r="H65" s="291"/>
      <c r="I65" s="291"/>
      <c r="J65" s="291"/>
      <c r="K65" s="296"/>
      <c r="L65" s="291"/>
      <c r="M65" s="296">
        <f>M63*M64</f>
        <v>158586.503589</v>
      </c>
    </row>
    <row r="66" spans="1:13" x14ac:dyDescent="0.2">
      <c r="A66" s="281"/>
      <c r="B66" s="277"/>
      <c r="C66" s="278"/>
      <c r="D66" s="278"/>
      <c r="E66" s="278"/>
      <c r="G66" s="296"/>
      <c r="K66" s="97"/>
      <c r="L66" s="295"/>
      <c r="M66" s="296"/>
    </row>
    <row r="67" spans="1:13" x14ac:dyDescent="0.2">
      <c r="A67" s="281"/>
      <c r="B67" s="277"/>
      <c r="C67" s="278"/>
      <c r="D67" s="278"/>
      <c r="E67" s="278"/>
      <c r="G67" s="296"/>
      <c r="K67" s="97"/>
      <c r="L67" s="295"/>
      <c r="M67" s="296"/>
    </row>
    <row r="68" spans="1:13" x14ac:dyDescent="0.2">
      <c r="A68" s="276" t="s">
        <v>255</v>
      </c>
      <c r="B68" s="277" t="s">
        <v>240</v>
      </c>
      <c r="C68" s="278">
        <v>111.47872099999999</v>
      </c>
      <c r="D68" s="278"/>
      <c r="E68" s="298" t="str">
        <f>LOOKUP(B68,'1.2 EDU Factors'!$A$12:$A$36, '1.2 EDU Factors'!$C$12:$C$36)</f>
        <v>Acre</v>
      </c>
      <c r="G68" s="296">
        <f t="shared" ref="G68:G87" si="7">F68*C68</f>
        <v>0</v>
      </c>
      <c r="I68" s="298" t="str">
        <f>LOOKUP(B68,'1.2 EDU Factors'!$A$12:$A$36, '1.2 EDU Factors'!$G$12:$G$36)</f>
        <v>Acre</v>
      </c>
      <c r="J68" s="295">
        <f>LOOKUP(B68,'1.2 EDU Factors'!$A$12:$A$36, '1.2 EDU Factors'!$H$12:$H$36)</f>
        <v>0</v>
      </c>
      <c r="K68" s="296">
        <f t="shared" ref="K68:K87" si="8">J68*C68</f>
        <v>0</v>
      </c>
      <c r="L68" s="295">
        <f>LOOKUP(B68,'1.2 EDU Factors'!$A$12:$A$36, '1.2 EDU Factors'!$J$12:$J$36)</f>
        <v>0</v>
      </c>
      <c r="M68" s="296">
        <f t="shared" ref="M68:M87" si="9">L68*K68</f>
        <v>0</v>
      </c>
    </row>
    <row r="69" spans="1:13" x14ac:dyDescent="0.2">
      <c r="A69" s="281"/>
      <c r="B69" s="277" t="s">
        <v>256</v>
      </c>
      <c r="C69" s="278">
        <v>44.659910000000004</v>
      </c>
      <c r="D69" s="278"/>
      <c r="E69" s="298" t="str">
        <f>LOOKUP(B69,'1.2 EDU Factors'!$A$12:$A$36, '1.2 EDU Factors'!$C$12:$C$36)</f>
        <v>Acre</v>
      </c>
      <c r="F69" s="295">
        <f>LOOKUP(B69,'1.2 EDU Factors'!$A$12:$A$36, '1.2 EDU Factors'!$E$12:$E$36)</f>
        <v>1.4851485148514851</v>
      </c>
      <c r="G69" s="296">
        <f t="shared" si="7"/>
        <v>66.326599009900988</v>
      </c>
      <c r="I69" s="298" t="str">
        <f>LOOKUP(B69,'1.2 EDU Factors'!$A$12:$A$36, '1.2 EDU Factors'!$G$12:$G$36)</f>
        <v>Acre</v>
      </c>
      <c r="J69" s="295">
        <f>LOOKUP(B69,'1.2 EDU Factors'!$A$12:$A$36, '1.2 EDU Factors'!$H$12:$H$36)</f>
        <v>1</v>
      </c>
      <c r="K69" s="296">
        <f t="shared" si="8"/>
        <v>44.659910000000004</v>
      </c>
      <c r="L69" s="295">
        <f>LOOKUP(B69,'1.2 EDU Factors'!$A$12:$A$36, '1.2 EDU Factors'!$J$12:$J$36)</f>
        <v>7.5</v>
      </c>
      <c r="M69" s="296">
        <f t="shared" si="9"/>
        <v>334.94932500000004</v>
      </c>
    </row>
    <row r="70" spans="1:13" x14ac:dyDescent="0.2">
      <c r="A70" s="281"/>
      <c r="B70" s="277" t="s">
        <v>230</v>
      </c>
      <c r="C70" s="278">
        <v>162.75238300000001</v>
      </c>
      <c r="D70" s="278"/>
      <c r="E70" s="298" t="str">
        <f>LOOKUP(B70,'1.2 EDU Factors'!$A$12:$A$36, '1.2 EDU Factors'!$C$12:$C$36)</f>
        <v>Acre</v>
      </c>
      <c r="F70" s="295">
        <f>LOOKUP(B70,'1.2 EDU Factors'!$A$12:$A$36, '1.2 EDU Factors'!$E$12:$E$36)</f>
        <v>3.0606435643564356</v>
      </c>
      <c r="G70" s="296">
        <f t="shared" si="7"/>
        <v>498.12703361262379</v>
      </c>
      <c r="I70" s="298" t="str">
        <f>LOOKUP(B70,'1.2 EDU Factors'!$A$12:$A$36, '1.2 EDU Factors'!$G$12:$G$36)</f>
        <v>Acre</v>
      </c>
      <c r="J70" s="295">
        <f>LOOKUP(B70,'1.2 EDU Factors'!$A$12:$A$36, '1.2 EDU Factors'!$H$12:$H$36)</f>
        <v>1</v>
      </c>
      <c r="K70" s="296">
        <f t="shared" si="8"/>
        <v>162.75238300000001</v>
      </c>
      <c r="L70" s="295">
        <f>LOOKUP(B70,'1.2 EDU Factors'!$A$12:$A$36, '1.2 EDU Factors'!$J$12:$J$36)</f>
        <v>15.456250000000001</v>
      </c>
      <c r="M70" s="296">
        <f t="shared" si="9"/>
        <v>2515.5415197437501</v>
      </c>
    </row>
    <row r="71" spans="1:13" x14ac:dyDescent="0.2">
      <c r="A71" s="281"/>
      <c r="B71" s="277" t="s">
        <v>231</v>
      </c>
      <c r="C71" s="278">
        <v>320.10928699999999</v>
      </c>
      <c r="D71" s="278"/>
      <c r="E71" s="298" t="str">
        <f>LOOKUP(B71,'1.2 EDU Factors'!$A$12:$A$36, '1.2 EDU Factors'!$C$12:$C$36)</f>
        <v>Acre</v>
      </c>
      <c r="F71" s="295">
        <f>LOOKUP(B71,'1.2 EDU Factors'!$A$12:$A$36, '1.2 EDU Factors'!$E$12:$E$36)</f>
        <v>0.92821782178217827</v>
      </c>
      <c r="G71" s="296">
        <f t="shared" si="7"/>
        <v>297.13114511138616</v>
      </c>
      <c r="I71" s="298" t="str">
        <f>LOOKUP(B71,'1.2 EDU Factors'!$A$12:$A$36, '1.2 EDU Factors'!$G$12:$G$36)</f>
        <v>Acre</v>
      </c>
      <c r="J71" s="295">
        <f>LOOKUP(B71,'1.2 EDU Factors'!$A$12:$A$36, '1.2 EDU Factors'!$H$12:$H$36)</f>
        <v>1</v>
      </c>
      <c r="K71" s="296">
        <f t="shared" si="8"/>
        <v>320.10928699999999</v>
      </c>
      <c r="L71" s="295">
        <f>LOOKUP(B71,'1.2 EDU Factors'!$A$12:$A$36, '1.2 EDU Factors'!$J$12:$J$36)</f>
        <v>4.6875</v>
      </c>
      <c r="M71" s="296">
        <f t="shared" si="9"/>
        <v>1500.5122828125</v>
      </c>
    </row>
    <row r="72" spans="1:13" x14ac:dyDescent="0.2">
      <c r="A72" s="281"/>
      <c r="B72" s="277" t="s">
        <v>232</v>
      </c>
      <c r="C72" s="278">
        <v>68.273225999999994</v>
      </c>
      <c r="D72" s="278"/>
      <c r="E72" s="298" t="str">
        <f>LOOKUP(B72,'1.2 EDU Factors'!$A$12:$A$36, '1.2 EDU Factors'!$C$12:$C$36)</f>
        <v>Acre</v>
      </c>
      <c r="F72" s="295">
        <f>LOOKUP(B72,'1.2 EDU Factors'!$A$12:$A$36, '1.2 EDU Factors'!$E$12:$E$36)</f>
        <v>2.8923267326732671</v>
      </c>
      <c r="G72" s="296">
        <f t="shared" si="7"/>
        <v>197.46847668564354</v>
      </c>
      <c r="I72" s="298" t="str">
        <f>LOOKUP(B72,'1.2 EDU Factors'!$A$12:$A$36, '1.2 EDU Factors'!$G$12:$G$36)</f>
        <v>Dwelling Unit</v>
      </c>
      <c r="J72" s="295">
        <f>LOOKUP(B72,'1.2 EDU Factors'!$A$12:$A$36, '1.2 EDU Factors'!$H$12:$H$36)</f>
        <v>19.974358974358974</v>
      </c>
      <c r="K72" s="296">
        <f t="shared" si="8"/>
        <v>1363.7139244615385</v>
      </c>
      <c r="L72" s="295">
        <f>LOOKUP(B72,'1.2 EDU Factors'!$A$12:$A$36, '1.2 EDU Factors'!$J$12:$J$36)</f>
        <v>0.73124999999999996</v>
      </c>
      <c r="M72" s="296">
        <f t="shared" si="9"/>
        <v>997.21580726249988</v>
      </c>
    </row>
    <row r="73" spans="1:13" x14ac:dyDescent="0.2">
      <c r="A73" s="281"/>
      <c r="B73" s="277" t="s">
        <v>241</v>
      </c>
      <c r="C73" s="278">
        <v>563.79220399999997</v>
      </c>
      <c r="D73" s="278"/>
      <c r="E73" s="298" t="str">
        <f>LOOKUP(B73,'1.2 EDU Factors'!$A$12:$A$36, '1.2 EDU Factors'!$C$12:$C$36)</f>
        <v>Acre</v>
      </c>
      <c r="F73" s="295">
        <f>LOOKUP(B73,'1.2 EDU Factors'!$A$12:$A$36, '1.2 EDU Factors'!$E$12:$E$36)</f>
        <v>0.74257425742574257</v>
      </c>
      <c r="G73" s="296">
        <f t="shared" si="7"/>
        <v>418.65757722772275</v>
      </c>
      <c r="I73" s="298" t="str">
        <f>LOOKUP(B73,'1.2 EDU Factors'!$A$12:$A$36, '1.2 EDU Factors'!$G$12:$G$36)</f>
        <v>Acre</v>
      </c>
      <c r="J73" s="295">
        <f>LOOKUP(B73,'1.2 EDU Factors'!$A$12:$A$36, '1.2 EDU Factors'!$H$12:$H$36)</f>
        <v>1</v>
      </c>
      <c r="K73" s="296">
        <f t="shared" si="8"/>
        <v>563.79220399999997</v>
      </c>
      <c r="L73" s="295">
        <f>LOOKUP(B73,'1.2 EDU Factors'!$A$12:$A$36, '1.2 EDU Factors'!$J$12:$J$36)</f>
        <v>3.75</v>
      </c>
      <c r="M73" s="296">
        <f t="shared" si="9"/>
        <v>2114.220765</v>
      </c>
    </row>
    <row r="74" spans="1:13" x14ac:dyDescent="0.2">
      <c r="A74" s="281"/>
      <c r="B74" s="277" t="s">
        <v>233</v>
      </c>
      <c r="C74" s="278">
        <v>1934.059522</v>
      </c>
      <c r="D74" s="278"/>
      <c r="E74" s="298" t="str">
        <f>LOOKUP(B74,'1.2 EDU Factors'!$A$12:$A$36, '1.2 EDU Factors'!$C$12:$C$36)</f>
        <v>Acre</v>
      </c>
      <c r="F74" s="295">
        <f>LOOKUP(B74,'1.2 EDU Factors'!$A$12:$A$36, '1.2 EDU Factors'!$E$12:$E$36)</f>
        <v>1</v>
      </c>
      <c r="G74" s="296">
        <f t="shared" si="7"/>
        <v>1934.059522</v>
      </c>
      <c r="I74" s="298" t="str">
        <f>LOOKUP(B74,'1.2 EDU Factors'!$A$12:$A$36, '1.2 EDU Factors'!$G$12:$G$36)</f>
        <v>Dwelling Unit</v>
      </c>
      <c r="J74" s="295">
        <f>LOOKUP(B74,'1.2 EDU Factors'!$A$12:$A$36, '1.2 EDU Factors'!$H$12:$H$36)</f>
        <v>5.05</v>
      </c>
      <c r="K74" s="296">
        <f t="shared" si="8"/>
        <v>9767.0005860999991</v>
      </c>
      <c r="L74" s="295">
        <f>LOOKUP(B74,'1.2 EDU Factors'!$A$12:$A$36, '1.2 EDU Factors'!$J$12:$J$36)</f>
        <v>1</v>
      </c>
      <c r="M74" s="296">
        <f t="shared" si="9"/>
        <v>9767.0005860999991</v>
      </c>
    </row>
    <row r="75" spans="1:13" x14ac:dyDescent="0.2">
      <c r="A75" s="281"/>
      <c r="B75" s="277" t="s">
        <v>234</v>
      </c>
      <c r="C75" s="278">
        <v>180.02126100000001</v>
      </c>
      <c r="D75" s="278"/>
      <c r="E75" s="298" t="str">
        <f>LOOKUP(B75,'1.2 EDU Factors'!$A$12:$A$36, '1.2 EDU Factors'!$C$12:$C$36)</f>
        <v>Acre</v>
      </c>
      <c r="F75" s="295">
        <f>LOOKUP(B75,'1.2 EDU Factors'!$A$12:$A$36, '1.2 EDU Factors'!$E$12:$E$36)</f>
        <v>0.74257425742574257</v>
      </c>
      <c r="G75" s="296">
        <f t="shared" si="7"/>
        <v>133.67915420792079</v>
      </c>
      <c r="I75" s="298" t="str">
        <f>LOOKUP(B75,'1.2 EDU Factors'!$A$12:$A$36, '1.2 EDU Factors'!$G$12:$G$36)</f>
        <v>Acre</v>
      </c>
      <c r="J75" s="295">
        <f>LOOKUP(B75,'1.2 EDU Factors'!$A$12:$A$36, '1.2 EDU Factors'!$H$12:$H$36)</f>
        <v>1</v>
      </c>
      <c r="K75" s="296">
        <f t="shared" si="8"/>
        <v>180.02126100000001</v>
      </c>
      <c r="L75" s="295">
        <f>LOOKUP(B75,'1.2 EDU Factors'!$A$12:$A$36, '1.2 EDU Factors'!$J$12:$J$36)</f>
        <v>3.75</v>
      </c>
      <c r="M75" s="296">
        <f t="shared" si="9"/>
        <v>675.07972875000007</v>
      </c>
    </row>
    <row r="76" spans="1:13" x14ac:dyDescent="0.2">
      <c r="A76" s="281"/>
      <c r="B76" s="277" t="s">
        <v>235</v>
      </c>
      <c r="C76" s="278">
        <v>113.576701</v>
      </c>
      <c r="D76" s="278"/>
      <c r="E76" s="298" t="str">
        <f>LOOKUP(B76,'1.2 EDU Factors'!$A$12:$A$36, '1.2 EDU Factors'!$C$12:$C$36)</f>
        <v>Acre</v>
      </c>
      <c r="F76" s="295">
        <f>LOOKUP(B76,'1.2 EDU Factors'!$A$12:$A$36, '1.2 EDU Factors'!$E$12:$E$36)</f>
        <v>1.6658415841584158</v>
      </c>
      <c r="G76" s="296">
        <f t="shared" si="7"/>
        <v>189.20079151732673</v>
      </c>
      <c r="I76" s="298" t="str">
        <f>LOOKUP(B76,'1.2 EDU Factors'!$A$12:$A$36, '1.2 EDU Factors'!$G$12:$G$36)</f>
        <v>Dwelling Unit</v>
      </c>
      <c r="J76" s="295">
        <f>LOOKUP(B76,'1.2 EDU Factors'!$A$12:$A$36, '1.2 EDU Factors'!$H$12:$H$36)</f>
        <v>11.504273504273504</v>
      </c>
      <c r="K76" s="296">
        <f t="shared" si="8"/>
        <v>1306.617432017094</v>
      </c>
      <c r="L76" s="295">
        <f>LOOKUP(B76,'1.2 EDU Factors'!$A$12:$A$36, '1.2 EDU Factors'!$J$12:$J$36)</f>
        <v>0.73124999999999996</v>
      </c>
      <c r="M76" s="296">
        <f t="shared" si="9"/>
        <v>955.46399716249994</v>
      </c>
    </row>
    <row r="77" spans="1:13" x14ac:dyDescent="0.2">
      <c r="A77" s="281"/>
      <c r="B77" s="277" t="s">
        <v>236</v>
      </c>
      <c r="C77" s="278">
        <v>20.52543</v>
      </c>
      <c r="D77" s="278"/>
      <c r="E77" s="298" t="str">
        <f>LOOKUP(B77,'1.2 EDU Factors'!$A$12:$A$36, '1.2 EDU Factors'!$C$12:$C$36)</f>
        <v>Acre</v>
      </c>
      <c r="F77" s="295">
        <f>LOOKUP(B77,'1.2 EDU Factors'!$A$12:$A$36, '1.2 EDU Factors'!$E$12:$E$36)</f>
        <v>1.386138613861386</v>
      </c>
      <c r="G77" s="296">
        <f t="shared" si="7"/>
        <v>28.45109108910891</v>
      </c>
      <c r="I77" s="298" t="str">
        <f>LOOKUP(B77,'1.2 EDU Factors'!$A$12:$A$36, '1.2 EDU Factors'!$G$12:$G$36)</f>
        <v>Acre</v>
      </c>
      <c r="J77" s="295">
        <f>LOOKUP(B77,'1.2 EDU Factors'!$A$12:$A$36, '1.2 EDU Factors'!$H$12:$H$36)</f>
        <v>1</v>
      </c>
      <c r="K77" s="296">
        <f t="shared" si="8"/>
        <v>20.52543</v>
      </c>
      <c r="L77" s="295">
        <f>LOOKUP(B77,'1.2 EDU Factors'!$A$12:$A$36, '1.2 EDU Factors'!$J$12:$J$36)</f>
        <v>7</v>
      </c>
      <c r="M77" s="296">
        <f t="shared" si="9"/>
        <v>143.67801</v>
      </c>
    </row>
    <row r="78" spans="1:13" x14ac:dyDescent="0.2">
      <c r="A78" s="281"/>
      <c r="B78" s="277" t="s">
        <v>237</v>
      </c>
      <c r="C78" s="278">
        <v>108.351705</v>
      </c>
      <c r="D78" s="278"/>
      <c r="E78" s="298" t="str">
        <f>LOOKUP(B78,'1.2 EDU Factors'!$A$12:$A$36, '1.2 EDU Factors'!$C$12:$C$36)</f>
        <v>Acre</v>
      </c>
      <c r="F78" s="295">
        <f>LOOKUP(B78,'1.2 EDU Factors'!$A$12:$A$36, '1.2 EDU Factors'!$E$12:$E$36)</f>
        <v>0.49504950495049505</v>
      </c>
      <c r="G78" s="296">
        <f t="shared" si="7"/>
        <v>53.639457920792076</v>
      </c>
      <c r="I78" s="298" t="str">
        <f>LOOKUP(B78,'1.2 EDU Factors'!$A$12:$A$36, '1.2 EDU Factors'!$G$12:$G$36)</f>
        <v>Acre</v>
      </c>
      <c r="J78" s="295">
        <f>LOOKUP(B78,'1.2 EDU Factors'!$A$12:$A$36, '1.2 EDU Factors'!$H$12:$H$36)</f>
        <v>1</v>
      </c>
      <c r="K78" s="296">
        <f t="shared" si="8"/>
        <v>108.351705</v>
      </c>
      <c r="L78" s="295">
        <f>LOOKUP(B78,'1.2 EDU Factors'!$A$12:$A$36, '1.2 EDU Factors'!$J$12:$J$36)</f>
        <v>2.5</v>
      </c>
      <c r="M78" s="296">
        <f t="shared" si="9"/>
        <v>270.87926249999998</v>
      </c>
    </row>
    <row r="79" spans="1:13" x14ac:dyDescent="0.2">
      <c r="A79" s="281"/>
      <c r="B79" s="277" t="s">
        <v>243</v>
      </c>
      <c r="C79" s="278">
        <v>85.042383999999998</v>
      </c>
      <c r="D79" s="278"/>
      <c r="E79" s="298" t="str">
        <f>LOOKUP(B79,'1.2 EDU Factors'!$A$12:$A$36, '1.2 EDU Factors'!$C$12:$C$36)</f>
        <v>Acre</v>
      </c>
      <c r="F79" s="295">
        <f>LOOKUP(B79,'1.2 EDU Factors'!$A$12:$A$36, '1.2 EDU Factors'!$E$12:$E$36)</f>
        <v>0.52599009900990101</v>
      </c>
      <c r="G79" s="296">
        <f t="shared" si="7"/>
        <v>44.731451980198024</v>
      </c>
      <c r="I79" s="298" t="str">
        <f>LOOKUP(B79,'1.2 EDU Factors'!$A$12:$A$36, '1.2 EDU Factors'!$G$12:$G$36)</f>
        <v>Acre</v>
      </c>
      <c r="J79" s="295">
        <f>LOOKUP(B79,'1.2 EDU Factors'!$A$12:$A$36, '1.2 EDU Factors'!$H$12:$H$36)</f>
        <v>1</v>
      </c>
      <c r="K79" s="296">
        <f t="shared" si="8"/>
        <v>85.042383999999998</v>
      </c>
      <c r="L79" s="295">
        <f>LOOKUP(B79,'1.2 EDU Factors'!$A$12:$A$36, '1.2 EDU Factors'!$J$12:$J$36)</f>
        <v>2.65625</v>
      </c>
      <c r="M79" s="296">
        <f t="shared" si="9"/>
        <v>225.8938325</v>
      </c>
    </row>
    <row r="80" spans="1:13" x14ac:dyDescent="0.2">
      <c r="A80" s="281"/>
      <c r="B80" s="277" t="s">
        <v>244</v>
      </c>
      <c r="C80" s="278">
        <v>1130.5527509999999</v>
      </c>
      <c r="D80" s="278"/>
      <c r="E80" s="298" t="str">
        <f>LOOKUP(B80,'1.2 EDU Factors'!$A$12:$A$36, '1.2 EDU Factors'!$C$12:$C$36)</f>
        <v>Acre</v>
      </c>
      <c r="F80" s="295">
        <f>LOOKUP(B80,'1.2 EDU Factors'!$A$12:$A$36, '1.2 EDU Factors'!$E$12:$E$36)</f>
        <v>0</v>
      </c>
      <c r="G80" s="296">
        <f t="shared" si="7"/>
        <v>0</v>
      </c>
      <c r="I80" s="298" t="str">
        <f>LOOKUP(B80,'1.2 EDU Factors'!$A$12:$A$36, '1.2 EDU Factors'!$G$12:$G$36)</f>
        <v>Acre</v>
      </c>
      <c r="J80" s="295">
        <f>LOOKUP(B80,'1.2 EDU Factors'!$A$12:$A$36, '1.2 EDU Factors'!$H$12:$H$36)</f>
        <v>0</v>
      </c>
      <c r="K80" s="296">
        <f t="shared" si="8"/>
        <v>0</v>
      </c>
      <c r="L80" s="295">
        <f>LOOKUP(B80,'1.2 EDU Factors'!$A$12:$A$36, '1.2 EDU Factors'!$J$12:$J$36)</f>
        <v>0</v>
      </c>
      <c r="M80" s="296">
        <f t="shared" si="9"/>
        <v>0</v>
      </c>
    </row>
    <row r="81" spans="1:13" x14ac:dyDescent="0.2">
      <c r="A81" s="281"/>
      <c r="B81" s="277" t="s">
        <v>245</v>
      </c>
      <c r="C81" s="278">
        <v>459.19615099999999</v>
      </c>
      <c r="D81" s="278"/>
      <c r="E81" s="298" t="str">
        <f>LOOKUP(B81,'1.2 EDU Factors'!$A$12:$A$36, '1.2 EDU Factors'!$C$12:$C$36)</f>
        <v>Acre</v>
      </c>
      <c r="F81" s="295">
        <f>LOOKUP(B81,'1.2 EDU Factors'!$A$12:$A$36, '1.2 EDU Factors'!$E$12:$E$36)</f>
        <v>0</v>
      </c>
      <c r="G81" s="296">
        <f t="shared" si="7"/>
        <v>0</v>
      </c>
      <c r="I81" s="298" t="str">
        <f>LOOKUP(B81,'1.2 EDU Factors'!$A$12:$A$36, '1.2 EDU Factors'!$G$12:$G$36)</f>
        <v>Acre</v>
      </c>
      <c r="J81" s="295">
        <f>LOOKUP(B81,'1.2 EDU Factors'!$A$12:$A$36, '1.2 EDU Factors'!$H$12:$H$36)</f>
        <v>0</v>
      </c>
      <c r="K81" s="296">
        <f t="shared" si="8"/>
        <v>0</v>
      </c>
      <c r="L81" s="295">
        <f>LOOKUP(B81,'1.2 EDU Factors'!$A$12:$A$36, '1.2 EDU Factors'!$J$12:$J$36)</f>
        <v>0</v>
      </c>
      <c r="M81" s="296">
        <f t="shared" si="9"/>
        <v>0</v>
      </c>
    </row>
    <row r="82" spans="1:13" x14ac:dyDescent="0.2">
      <c r="A82" s="281"/>
      <c r="B82" s="277" t="s">
        <v>257</v>
      </c>
      <c r="C82" s="278">
        <v>338.69793499999997</v>
      </c>
      <c r="D82" s="278"/>
      <c r="E82" s="298" t="str">
        <f>LOOKUP(B82,'1.2 EDU Factors'!$A$12:$A$36, '1.2 EDU Factors'!$C$12:$C$36)</f>
        <v>Acre</v>
      </c>
      <c r="F82" s="295">
        <f>LOOKUP(B82,'1.2 EDU Factors'!$A$12:$A$36, '1.2 EDU Factors'!$E$12:$E$36)</f>
        <v>1.4851485148514851</v>
      </c>
      <c r="G82" s="296">
        <f t="shared" si="7"/>
        <v>503.01673514851478</v>
      </c>
      <c r="I82" s="298" t="str">
        <f>LOOKUP(B82,'1.2 EDU Factors'!$A$12:$A$36, '1.2 EDU Factors'!$G$12:$G$36)</f>
        <v>Acre</v>
      </c>
      <c r="J82" s="295">
        <f>LOOKUP(B82,'1.2 EDU Factors'!$A$12:$A$36, '1.2 EDU Factors'!$H$12:$H$36)</f>
        <v>1</v>
      </c>
      <c r="K82" s="296">
        <f t="shared" si="8"/>
        <v>338.69793499999997</v>
      </c>
      <c r="L82" s="295">
        <f>LOOKUP(B82,'1.2 EDU Factors'!$A$12:$A$36, '1.2 EDU Factors'!$J$12:$J$36)</f>
        <v>7.5</v>
      </c>
      <c r="M82" s="296">
        <f t="shared" si="9"/>
        <v>2540.2345124999997</v>
      </c>
    </row>
    <row r="83" spans="1:13" x14ac:dyDescent="0.2">
      <c r="A83" s="281"/>
      <c r="B83" s="277" t="s">
        <v>246</v>
      </c>
      <c r="C83" s="278">
        <v>293.76250499999998</v>
      </c>
      <c r="D83" s="278"/>
      <c r="E83" s="298" t="str">
        <f>LOOKUP(B83,'1.2 EDU Factors'!$A$12:$A$36, '1.2 EDU Factors'!$C$12:$C$36)</f>
        <v>Acre</v>
      </c>
      <c r="F83" s="295">
        <f>LOOKUP(B83,'1.2 EDU Factors'!$A$12:$A$36, '1.2 EDU Factors'!$E$12:$E$36)</f>
        <v>3.0606435643564356</v>
      </c>
      <c r="G83" s="296">
        <f t="shared" si="7"/>
        <v>899.10232037747517</v>
      </c>
      <c r="I83" s="298" t="str">
        <f>LOOKUP(B83,'1.2 EDU Factors'!$A$12:$A$36, '1.2 EDU Factors'!$G$12:$G$36)</f>
        <v>Acre</v>
      </c>
      <c r="J83" s="295">
        <f>LOOKUP(B83,'1.2 EDU Factors'!$A$12:$A$36, '1.2 EDU Factors'!$H$12:$H$36)</f>
        <v>1</v>
      </c>
      <c r="K83" s="296">
        <f t="shared" si="8"/>
        <v>293.76250499999998</v>
      </c>
      <c r="L83" s="295">
        <f>LOOKUP(B83,'1.2 EDU Factors'!$A$12:$A$36, '1.2 EDU Factors'!$J$12:$J$36)</f>
        <v>15.456250000000001</v>
      </c>
      <c r="M83" s="296">
        <f t="shared" si="9"/>
        <v>4540.4667179062499</v>
      </c>
    </row>
    <row r="84" spans="1:13" x14ac:dyDescent="0.2">
      <c r="A84" s="281"/>
      <c r="B84" s="277" t="s">
        <v>248</v>
      </c>
      <c r="C84" s="278">
        <v>481.46015399999999</v>
      </c>
      <c r="D84" s="278"/>
      <c r="E84" s="298" t="str">
        <f>LOOKUP(B84,'1.2 EDU Factors'!$A$12:$A$36, '1.2 EDU Factors'!$C$12:$C$36)</f>
        <v>Acre</v>
      </c>
      <c r="F84" s="295">
        <f>LOOKUP(B84,'1.2 EDU Factors'!$A$12:$A$36, '1.2 EDU Factors'!$E$12:$E$36)</f>
        <v>1</v>
      </c>
      <c r="G84" s="296">
        <f t="shared" si="7"/>
        <v>481.46015399999999</v>
      </c>
      <c r="I84" s="298" t="str">
        <f>LOOKUP(B84,'1.2 EDU Factors'!$A$12:$A$36, '1.2 EDU Factors'!$G$12:$G$36)</f>
        <v>Dwelling Unit</v>
      </c>
      <c r="J84" s="295">
        <f>LOOKUP(B84,'1.2 EDU Factors'!$A$12:$A$36, '1.2 EDU Factors'!$H$12:$H$36)</f>
        <v>5.05</v>
      </c>
      <c r="K84" s="296">
        <f t="shared" si="8"/>
        <v>2431.3737776999997</v>
      </c>
      <c r="L84" s="295">
        <f>LOOKUP(B84,'1.2 EDU Factors'!$A$12:$A$36, '1.2 EDU Factors'!$J$12:$J$36)</f>
        <v>1</v>
      </c>
      <c r="M84" s="296">
        <f t="shared" si="9"/>
        <v>2431.3737776999997</v>
      </c>
    </row>
    <row r="85" spans="1:13" x14ac:dyDescent="0.2">
      <c r="A85" s="281"/>
      <c r="B85" s="277" t="s">
        <v>251</v>
      </c>
      <c r="C85" s="278">
        <v>29.960425000000001</v>
      </c>
      <c r="D85" s="278"/>
      <c r="E85" s="298" t="str">
        <f>LOOKUP(B85,'1.2 EDU Factors'!$A$12:$A$36, '1.2 EDU Factors'!$C$12:$C$36)</f>
        <v>Acre</v>
      </c>
      <c r="F85" s="295">
        <f>LOOKUP(B85,'1.2 EDU Factors'!$A$12:$A$36, '1.2 EDU Factors'!$E$12:$E$36)</f>
        <v>1.6658415841584158</v>
      </c>
      <c r="G85" s="296">
        <f t="shared" si="7"/>
        <v>49.909321844059406</v>
      </c>
      <c r="I85" s="298" t="str">
        <f>LOOKUP(B85,'1.2 EDU Factors'!$A$12:$A$36, '1.2 EDU Factors'!$G$12:$G$36)</f>
        <v>Dwelling Unit</v>
      </c>
      <c r="J85" s="295">
        <f>LOOKUP(B85,'1.2 EDU Factors'!$A$12:$A$36, '1.2 EDU Factors'!$H$12:$H$36)</f>
        <v>11.504273504273504</v>
      </c>
      <c r="K85" s="296">
        <f t="shared" si="8"/>
        <v>344.67292350427351</v>
      </c>
      <c r="L85" s="295">
        <f>LOOKUP(B85,'1.2 EDU Factors'!$A$12:$A$36, '1.2 EDU Factors'!$J$12:$J$36)</f>
        <v>0.73124999999999996</v>
      </c>
      <c r="M85" s="296">
        <f t="shared" si="9"/>
        <v>252.0420753125</v>
      </c>
    </row>
    <row r="86" spans="1:13" x14ac:dyDescent="0.2">
      <c r="A86" s="281"/>
      <c r="B86" s="277" t="s">
        <v>253</v>
      </c>
      <c r="C86" s="278">
        <v>78.736902000000001</v>
      </c>
      <c r="D86" s="278"/>
      <c r="E86" s="298" t="str">
        <f>LOOKUP(B86,'1.2 EDU Factors'!$A$12:$A$36, '1.2 EDU Factors'!$C$12:$C$36)</f>
        <v>Acre</v>
      </c>
      <c r="F86" s="295">
        <f>LOOKUP(B86,'1.2 EDU Factors'!$A$12:$A$36, '1.2 EDU Factors'!$E$12:$E$36)</f>
        <v>0.39603960396039606</v>
      </c>
      <c r="G86" s="296">
        <f t="shared" si="7"/>
        <v>31.182931485148515</v>
      </c>
      <c r="I86" s="298" t="str">
        <f>LOOKUP(B86,'1.2 EDU Factors'!$A$12:$A$36, '1.2 EDU Factors'!$G$12:$G$36)</f>
        <v>Dwelling Unit</v>
      </c>
      <c r="J86" s="295">
        <f>LOOKUP(B86,'1.2 EDU Factors'!$A$12:$A$36, '1.2 EDU Factors'!$H$12:$H$36)</f>
        <v>2</v>
      </c>
      <c r="K86" s="296">
        <f t="shared" si="8"/>
        <v>157.473804</v>
      </c>
      <c r="L86" s="295">
        <f>LOOKUP(B86,'1.2 EDU Factors'!$A$12:$A$36, '1.2 EDU Factors'!$J$12:$J$36)</f>
        <v>1</v>
      </c>
      <c r="M86" s="296">
        <f t="shared" si="9"/>
        <v>157.473804</v>
      </c>
    </row>
    <row r="87" spans="1:13" x14ac:dyDescent="0.2">
      <c r="A87" s="281"/>
      <c r="B87" s="277" t="s">
        <v>238</v>
      </c>
      <c r="C87" s="278">
        <v>524.78247399999998</v>
      </c>
      <c r="D87" s="278"/>
      <c r="E87" s="298" t="str">
        <f>LOOKUP(B87,'1.2 EDU Factors'!$A$12:$A$36, '1.2 EDU Factors'!$C$12:$C$36)</f>
        <v>Acre</v>
      </c>
      <c r="F87" s="295">
        <f>LOOKUP(B87,'1.2 EDU Factors'!$A$12:$A$36, '1.2 EDU Factors'!$E$12:$E$36)</f>
        <v>0.39603960396039606</v>
      </c>
      <c r="G87" s="296">
        <f t="shared" si="7"/>
        <v>207.83464316831683</v>
      </c>
      <c r="I87" s="298" t="str">
        <f>LOOKUP(B87,'1.2 EDU Factors'!$A$12:$A$36, '1.2 EDU Factors'!$G$12:$G$36)</f>
        <v>Dwelling Unit</v>
      </c>
      <c r="J87" s="295">
        <f>LOOKUP(B87,'1.2 EDU Factors'!$A$12:$A$36, '1.2 EDU Factors'!$H$12:$H$36)</f>
        <v>2</v>
      </c>
      <c r="K87" s="296">
        <f t="shared" si="8"/>
        <v>1049.564948</v>
      </c>
      <c r="L87" s="295">
        <f>LOOKUP(B87,'1.2 EDU Factors'!$A$12:$A$36, '1.2 EDU Factors'!$J$12:$J$36)</f>
        <v>1</v>
      </c>
      <c r="M87" s="296">
        <f t="shared" si="9"/>
        <v>1049.564948</v>
      </c>
    </row>
    <row r="88" spans="1:13" x14ac:dyDescent="0.2">
      <c r="A88" s="281"/>
      <c r="B88" s="277"/>
      <c r="C88" s="311"/>
      <c r="D88" s="278"/>
      <c r="E88" s="298"/>
      <c r="F88" s="295"/>
      <c r="G88" s="312"/>
      <c r="I88" s="298"/>
      <c r="J88" s="295"/>
      <c r="K88" s="296"/>
      <c r="L88" s="295"/>
      <c r="M88" s="312"/>
    </row>
    <row r="89" spans="1:13" x14ac:dyDescent="0.2">
      <c r="A89" s="281"/>
      <c r="B89" s="277"/>
      <c r="C89" s="278"/>
      <c r="D89" s="278"/>
      <c r="E89" s="298"/>
      <c r="F89" s="295"/>
      <c r="G89" s="296"/>
      <c r="I89" s="298"/>
      <c r="J89" s="295"/>
      <c r="K89" s="296"/>
      <c r="L89" s="295"/>
      <c r="M89" s="296"/>
    </row>
    <row r="90" spans="1:13" x14ac:dyDescent="0.2">
      <c r="A90" s="281" t="s">
        <v>476</v>
      </c>
      <c r="B90" s="277"/>
      <c r="C90" s="278">
        <f>SUM(C68:C88)</f>
        <v>7049.792031</v>
      </c>
      <c r="D90" s="278"/>
      <c r="E90" s="298"/>
      <c r="F90" s="295"/>
      <c r="G90" s="278">
        <f>SUM(G68:G88)</f>
        <v>6033.9784063861389</v>
      </c>
      <c r="I90" s="298"/>
      <c r="J90" s="295"/>
      <c r="K90" s="296"/>
      <c r="L90" s="295"/>
      <c r="M90" s="278">
        <f>SUM(M68:M88)</f>
        <v>30471.590952249997</v>
      </c>
    </row>
    <row r="91" spans="1:13" x14ac:dyDescent="0.2">
      <c r="A91" s="284" t="s">
        <v>467</v>
      </c>
      <c r="G91" s="296">
        <f>$G$125</f>
        <v>808</v>
      </c>
      <c r="H91" s="291"/>
      <c r="I91" s="298"/>
      <c r="J91" s="295"/>
      <c r="K91" s="296"/>
      <c r="L91" s="295"/>
      <c r="M91" s="296">
        <f>$M$125</f>
        <v>160</v>
      </c>
    </row>
    <row r="92" spans="1:13" x14ac:dyDescent="0.2">
      <c r="A92" s="284" t="s">
        <v>468</v>
      </c>
      <c r="G92" s="296">
        <f>G90*G91</f>
        <v>4875454.5523600001</v>
      </c>
      <c r="H92" s="291"/>
      <c r="I92" s="291"/>
      <c r="J92" s="291"/>
      <c r="K92" s="296"/>
      <c r="L92" s="291"/>
      <c r="M92" s="296">
        <f>M90*M91</f>
        <v>4875454.5523599992</v>
      </c>
    </row>
    <row r="93" spans="1:13" x14ac:dyDescent="0.2">
      <c r="A93" s="281"/>
      <c r="B93" s="277"/>
      <c r="C93" s="278"/>
      <c r="D93" s="278"/>
      <c r="E93" s="278"/>
      <c r="G93" s="296"/>
      <c r="K93" s="97"/>
      <c r="L93" s="295"/>
      <c r="M93" s="296"/>
    </row>
    <row r="94" spans="1:13" x14ac:dyDescent="0.2">
      <c r="A94" s="281"/>
      <c r="B94" s="277"/>
      <c r="C94" s="278"/>
      <c r="D94" s="278"/>
      <c r="E94" s="278"/>
      <c r="G94" s="296"/>
      <c r="K94" s="97"/>
      <c r="L94" s="295"/>
      <c r="M94" s="296"/>
    </row>
    <row r="95" spans="1:13" x14ac:dyDescent="0.2">
      <c r="A95" s="276" t="s">
        <v>258</v>
      </c>
      <c r="B95" s="277" t="s">
        <v>240</v>
      </c>
      <c r="C95" s="278">
        <v>191.42892800000001</v>
      </c>
      <c r="D95" s="278"/>
      <c r="E95" s="295">
        <v>0</v>
      </c>
      <c r="F95" s="295">
        <f>LOOKUP(B95,'1.2 EDU Factors'!$A$12:$A$36, '1.2 EDU Factors'!$E$12:$E$36)</f>
        <v>0</v>
      </c>
      <c r="G95" s="296">
        <f t="shared" ref="G95:G105" si="10">F95*C95</f>
        <v>0</v>
      </c>
      <c r="I95" s="298" t="str">
        <f>LOOKUP(B95,'1.2 EDU Factors'!$A$12:$A$36, '1.2 EDU Factors'!$G$12:$G$36)</f>
        <v>Acre</v>
      </c>
      <c r="J95" s="295">
        <f>LOOKUP(B95,'1.2 EDU Factors'!$A$12:$A$36, '1.2 EDU Factors'!$H$12:$H$36)</f>
        <v>0</v>
      </c>
      <c r="K95" s="296">
        <f t="shared" ref="K95:K105" si="11">J95*C95</f>
        <v>0</v>
      </c>
      <c r="L95" s="295">
        <f>LOOKUP(B95,'1.2 EDU Factors'!$A$12:$A$36, '1.2 EDU Factors'!$J$12:$J$36)</f>
        <v>0</v>
      </c>
      <c r="M95" s="296">
        <f t="shared" ref="M95:M105" si="12">L95*K95</f>
        <v>0</v>
      </c>
    </row>
    <row r="96" spans="1:13" x14ac:dyDescent="0.2">
      <c r="A96" s="281"/>
      <c r="B96" s="277" t="s">
        <v>256</v>
      </c>
      <c r="C96" s="278">
        <v>135.32440500000001</v>
      </c>
      <c r="D96" s="278"/>
      <c r="E96" s="298" t="str">
        <f>LOOKUP(B96,'1.2 EDU Factors'!$A$12:$A$36, '1.2 EDU Factors'!$C$12:$C$36)</f>
        <v>Acre</v>
      </c>
      <c r="F96" s="295">
        <f>LOOKUP(B96,'1.2 EDU Factors'!$A$12:$A$36, '1.2 EDU Factors'!$E$12:$E$36)</f>
        <v>1.4851485148514851</v>
      </c>
      <c r="G96" s="296">
        <f t="shared" si="10"/>
        <v>200.97683910891089</v>
      </c>
      <c r="I96" s="298" t="str">
        <f>LOOKUP(B96,'1.2 EDU Factors'!$A$12:$A$36, '1.2 EDU Factors'!$G$12:$G$36)</f>
        <v>Acre</v>
      </c>
      <c r="J96" s="295">
        <f>LOOKUP(B96,'1.2 EDU Factors'!$A$12:$A$36, '1.2 EDU Factors'!$H$12:$H$36)</f>
        <v>1</v>
      </c>
      <c r="K96" s="296">
        <f t="shared" si="11"/>
        <v>135.32440500000001</v>
      </c>
      <c r="L96" s="295">
        <f>LOOKUP(B96,'1.2 EDU Factors'!$A$12:$A$36, '1.2 EDU Factors'!$J$12:$J$36)</f>
        <v>7.5</v>
      </c>
      <c r="M96" s="296">
        <f t="shared" si="12"/>
        <v>1014.9330375000001</v>
      </c>
    </row>
    <row r="97" spans="1:13" x14ac:dyDescent="0.2">
      <c r="A97" s="281"/>
      <c r="B97" s="277" t="s">
        <v>231</v>
      </c>
      <c r="C97" s="278">
        <v>78.564483999999993</v>
      </c>
      <c r="D97" s="278"/>
      <c r="E97" s="298" t="str">
        <f>LOOKUP(B97,'1.2 EDU Factors'!$A$12:$A$36, '1.2 EDU Factors'!$C$12:$C$36)</f>
        <v>Acre</v>
      </c>
      <c r="F97" s="295">
        <f>LOOKUP(B97,'1.2 EDU Factors'!$A$12:$A$36, '1.2 EDU Factors'!$E$12:$E$36)</f>
        <v>0.92821782178217827</v>
      </c>
      <c r="G97" s="296">
        <f t="shared" si="10"/>
        <v>72.924954207920791</v>
      </c>
      <c r="I97" s="298" t="str">
        <f>LOOKUP(B97,'1.2 EDU Factors'!$A$12:$A$36, '1.2 EDU Factors'!$G$12:$G$36)</f>
        <v>Acre</v>
      </c>
      <c r="J97" s="295">
        <f>LOOKUP(B97,'1.2 EDU Factors'!$A$12:$A$36, '1.2 EDU Factors'!$H$12:$H$36)</f>
        <v>1</v>
      </c>
      <c r="K97" s="296">
        <f t="shared" si="11"/>
        <v>78.564483999999993</v>
      </c>
      <c r="L97" s="295">
        <f>LOOKUP(B97,'1.2 EDU Factors'!$A$12:$A$36, '1.2 EDU Factors'!$J$12:$J$36)</f>
        <v>4.6875</v>
      </c>
      <c r="M97" s="296">
        <f t="shared" si="12"/>
        <v>368.27101874999994</v>
      </c>
    </row>
    <row r="98" spans="1:13" x14ac:dyDescent="0.2">
      <c r="A98" s="281"/>
      <c r="B98" s="277" t="s">
        <v>232</v>
      </c>
      <c r="C98" s="278">
        <v>18.722038000000001</v>
      </c>
      <c r="D98" s="278"/>
      <c r="E98" s="298" t="str">
        <f>LOOKUP(B98,'1.2 EDU Factors'!$A$12:$A$36, '1.2 EDU Factors'!$C$12:$C$36)</f>
        <v>Acre</v>
      </c>
      <c r="F98" s="295">
        <f>LOOKUP(B98,'1.2 EDU Factors'!$A$12:$A$36, '1.2 EDU Factors'!$E$12:$E$36)</f>
        <v>2.8923267326732671</v>
      </c>
      <c r="G98" s="296">
        <f t="shared" si="10"/>
        <v>54.150250997524751</v>
      </c>
      <c r="I98" s="298" t="str">
        <f>LOOKUP(B98,'1.2 EDU Factors'!$A$12:$A$36, '1.2 EDU Factors'!$G$12:$G$36)</f>
        <v>Dwelling Unit</v>
      </c>
      <c r="J98" s="295">
        <f>LOOKUP(B98,'1.2 EDU Factors'!$A$12:$A$36, '1.2 EDU Factors'!$H$12:$H$36)</f>
        <v>19.974358974358974</v>
      </c>
      <c r="K98" s="296">
        <f t="shared" si="11"/>
        <v>373.96070774358975</v>
      </c>
      <c r="L98" s="295">
        <f>LOOKUP(B98,'1.2 EDU Factors'!$A$12:$A$36, '1.2 EDU Factors'!$J$12:$J$36)</f>
        <v>0.73124999999999996</v>
      </c>
      <c r="M98" s="296">
        <f t="shared" si="12"/>
        <v>273.45876753749997</v>
      </c>
    </row>
    <row r="99" spans="1:13" x14ac:dyDescent="0.2">
      <c r="A99" s="281"/>
      <c r="B99" s="277" t="s">
        <v>233</v>
      </c>
      <c r="C99" s="278">
        <v>545.78978700000005</v>
      </c>
      <c r="D99" s="278"/>
      <c r="E99" s="298" t="str">
        <f>LOOKUP(B99,'1.2 EDU Factors'!$A$12:$A$36, '1.2 EDU Factors'!$C$12:$C$36)</f>
        <v>Acre</v>
      </c>
      <c r="F99" s="295">
        <f>LOOKUP(B99,'1.2 EDU Factors'!$A$12:$A$36, '1.2 EDU Factors'!$E$12:$E$36)</f>
        <v>1</v>
      </c>
      <c r="G99" s="296">
        <f t="shared" si="10"/>
        <v>545.78978700000005</v>
      </c>
      <c r="I99" s="298" t="str">
        <f>LOOKUP(B99,'1.2 EDU Factors'!$A$12:$A$36, '1.2 EDU Factors'!$G$12:$G$36)</f>
        <v>Dwelling Unit</v>
      </c>
      <c r="J99" s="295">
        <f>LOOKUP(B99,'1.2 EDU Factors'!$A$12:$A$36, '1.2 EDU Factors'!$H$12:$H$36)</f>
        <v>5.05</v>
      </c>
      <c r="K99" s="296">
        <f t="shared" si="11"/>
        <v>2756.2384243500001</v>
      </c>
      <c r="L99" s="295">
        <f>LOOKUP(B99,'1.2 EDU Factors'!$A$12:$A$36, '1.2 EDU Factors'!$J$12:$J$36)</f>
        <v>1</v>
      </c>
      <c r="M99" s="296">
        <f t="shared" si="12"/>
        <v>2756.2384243500001</v>
      </c>
    </row>
    <row r="100" spans="1:13" x14ac:dyDescent="0.2">
      <c r="A100" s="281"/>
      <c r="B100" s="277" t="s">
        <v>235</v>
      </c>
      <c r="C100" s="278">
        <v>48.975785000000002</v>
      </c>
      <c r="D100" s="278"/>
      <c r="E100" s="298" t="str">
        <f>LOOKUP(B100,'1.2 EDU Factors'!$A$12:$A$36, '1.2 EDU Factors'!$C$12:$C$36)</f>
        <v>Acre</v>
      </c>
      <c r="F100" s="295">
        <f>LOOKUP(B100,'1.2 EDU Factors'!$A$12:$A$36, '1.2 EDU Factors'!$E$12:$E$36)</f>
        <v>1.6658415841584158</v>
      </c>
      <c r="G100" s="296">
        <f t="shared" si="10"/>
        <v>81.585899269801985</v>
      </c>
      <c r="I100" s="298" t="str">
        <f>LOOKUP(B100,'1.2 EDU Factors'!$A$12:$A$36, '1.2 EDU Factors'!$G$12:$G$36)</f>
        <v>Dwelling Unit</v>
      </c>
      <c r="J100" s="295">
        <f>LOOKUP(B100,'1.2 EDU Factors'!$A$12:$A$36, '1.2 EDU Factors'!$H$12:$H$36)</f>
        <v>11.504273504273504</v>
      </c>
      <c r="K100" s="296">
        <f t="shared" si="11"/>
        <v>563.43082572649575</v>
      </c>
      <c r="L100" s="295">
        <f>LOOKUP(B100,'1.2 EDU Factors'!$A$12:$A$36, '1.2 EDU Factors'!$J$12:$J$36)</f>
        <v>0.73124999999999996</v>
      </c>
      <c r="M100" s="296">
        <f t="shared" si="12"/>
        <v>412.00879131250002</v>
      </c>
    </row>
    <row r="101" spans="1:13" x14ac:dyDescent="0.2">
      <c r="A101" s="281"/>
      <c r="B101" s="277" t="s">
        <v>242</v>
      </c>
      <c r="C101" s="278">
        <v>428.98151100000001</v>
      </c>
      <c r="D101" s="278"/>
      <c r="E101" s="298" t="str">
        <f>LOOKUP(B101,'1.2 EDU Factors'!$A$12:$A$36, '1.2 EDU Factors'!$C$12:$C$36)</f>
        <v>Acre</v>
      </c>
      <c r="F101" s="295">
        <f>LOOKUP(B101,'1.2 EDU Factors'!$A$12:$A$36, '1.2 EDU Factors'!$E$12:$E$36)</f>
        <v>0</v>
      </c>
      <c r="G101" s="296">
        <f t="shared" si="10"/>
        <v>0</v>
      </c>
      <c r="I101" s="298" t="str">
        <f>LOOKUP(B101,'1.2 EDU Factors'!$A$12:$A$36, '1.2 EDU Factors'!$G$12:$G$36)</f>
        <v>Acre</v>
      </c>
      <c r="J101" s="295">
        <f>LOOKUP(B101,'1.2 EDU Factors'!$A$12:$A$36, '1.2 EDU Factors'!$H$12:$H$36)</f>
        <v>1</v>
      </c>
      <c r="K101" s="296">
        <f t="shared" si="11"/>
        <v>428.98151100000001</v>
      </c>
      <c r="L101" s="295">
        <f>LOOKUP(B101,'1.2 EDU Factors'!$A$12:$A$36, '1.2 EDU Factors'!$J$12:$J$36)</f>
        <v>0</v>
      </c>
      <c r="M101" s="296">
        <f t="shared" si="12"/>
        <v>0</v>
      </c>
    </row>
    <row r="102" spans="1:13" x14ac:dyDescent="0.2">
      <c r="A102" s="281"/>
      <c r="B102" s="277" t="s">
        <v>257</v>
      </c>
      <c r="C102" s="278">
        <v>70.002771999999993</v>
      </c>
      <c r="D102" s="278"/>
      <c r="E102" s="298" t="str">
        <f>LOOKUP(B102,'1.2 EDU Factors'!$A$12:$A$36, '1.2 EDU Factors'!$C$12:$C$36)</f>
        <v>Acre</v>
      </c>
      <c r="F102" s="295">
        <f>LOOKUP(B102,'1.2 EDU Factors'!$A$12:$A$36, '1.2 EDU Factors'!$E$12:$E$36)</f>
        <v>1.4851485148514851</v>
      </c>
      <c r="G102" s="296">
        <f t="shared" si="10"/>
        <v>103.96451287128711</v>
      </c>
      <c r="I102" s="298" t="str">
        <f>LOOKUP(B102,'1.2 EDU Factors'!$A$12:$A$36, '1.2 EDU Factors'!$G$12:$G$36)</f>
        <v>Acre</v>
      </c>
      <c r="J102" s="295">
        <f>LOOKUP(B102,'1.2 EDU Factors'!$A$12:$A$36, '1.2 EDU Factors'!$H$12:$H$36)</f>
        <v>1</v>
      </c>
      <c r="K102" s="296">
        <f t="shared" si="11"/>
        <v>70.002771999999993</v>
      </c>
      <c r="L102" s="295">
        <f>LOOKUP(B102,'1.2 EDU Factors'!$A$12:$A$36, '1.2 EDU Factors'!$J$12:$J$36)</f>
        <v>7.5</v>
      </c>
      <c r="M102" s="296">
        <f t="shared" si="12"/>
        <v>525.02078999999992</v>
      </c>
    </row>
    <row r="103" spans="1:13" x14ac:dyDescent="0.2">
      <c r="A103" s="281"/>
      <c r="B103" s="277" t="s">
        <v>246</v>
      </c>
      <c r="C103" s="278">
        <v>98.809805999999995</v>
      </c>
      <c r="D103" s="278"/>
      <c r="E103" s="298" t="str">
        <f>LOOKUP(B103,'1.2 EDU Factors'!$A$12:$A$36, '1.2 EDU Factors'!$C$12:$C$36)</f>
        <v>Acre</v>
      </c>
      <c r="F103" s="295">
        <f>LOOKUP(B103,'1.2 EDU Factors'!$A$12:$A$36, '1.2 EDU Factors'!$E$12:$E$36)</f>
        <v>3.0606435643564356</v>
      </c>
      <c r="G103" s="296">
        <f t="shared" si="10"/>
        <v>302.42159682920789</v>
      </c>
      <c r="I103" s="298" t="str">
        <f>LOOKUP(B103,'1.2 EDU Factors'!$A$12:$A$36, '1.2 EDU Factors'!$G$12:$G$36)</f>
        <v>Acre</v>
      </c>
      <c r="J103" s="295">
        <f>LOOKUP(B103,'1.2 EDU Factors'!$A$12:$A$36, '1.2 EDU Factors'!$H$12:$H$36)</f>
        <v>1</v>
      </c>
      <c r="K103" s="296">
        <f t="shared" si="11"/>
        <v>98.809805999999995</v>
      </c>
      <c r="L103" s="295">
        <f>LOOKUP(B103,'1.2 EDU Factors'!$A$12:$A$36, '1.2 EDU Factors'!$J$12:$J$36)</f>
        <v>15.456250000000001</v>
      </c>
      <c r="M103" s="296">
        <f t="shared" si="12"/>
        <v>1527.2290639875</v>
      </c>
    </row>
    <row r="104" spans="1:13" x14ac:dyDescent="0.2">
      <c r="A104" s="281"/>
      <c r="B104" s="277" t="s">
        <v>248</v>
      </c>
      <c r="C104" s="278">
        <v>145.51939100000001</v>
      </c>
      <c r="D104" s="278"/>
      <c r="E104" s="298" t="str">
        <f>LOOKUP(B104,'1.2 EDU Factors'!$A$12:$A$36, '1.2 EDU Factors'!$C$12:$C$36)</f>
        <v>Acre</v>
      </c>
      <c r="F104" s="295">
        <f>LOOKUP(B104,'1.2 EDU Factors'!$A$12:$A$36, '1.2 EDU Factors'!$E$12:$E$36)</f>
        <v>1</v>
      </c>
      <c r="G104" s="296">
        <f t="shared" si="10"/>
        <v>145.51939100000001</v>
      </c>
      <c r="I104" s="298" t="str">
        <f>LOOKUP(B104,'1.2 EDU Factors'!$A$12:$A$36, '1.2 EDU Factors'!$G$12:$G$36)</f>
        <v>Dwelling Unit</v>
      </c>
      <c r="J104" s="295">
        <f>LOOKUP(B104,'1.2 EDU Factors'!$A$12:$A$36, '1.2 EDU Factors'!$H$12:$H$36)</f>
        <v>5.05</v>
      </c>
      <c r="K104" s="296">
        <f t="shared" si="11"/>
        <v>734.87292454999999</v>
      </c>
      <c r="L104" s="295">
        <f>LOOKUP(B104,'1.2 EDU Factors'!$A$12:$A$36, '1.2 EDU Factors'!$J$12:$J$36)</f>
        <v>1</v>
      </c>
      <c r="M104" s="296">
        <f t="shared" si="12"/>
        <v>734.87292454999999</v>
      </c>
    </row>
    <row r="105" spans="1:13" x14ac:dyDescent="0.2">
      <c r="A105" s="281"/>
      <c r="B105" s="277" t="s">
        <v>253</v>
      </c>
      <c r="C105" s="278">
        <v>195.96840499999999</v>
      </c>
      <c r="D105" s="278"/>
      <c r="E105" s="298" t="str">
        <f>LOOKUP(B105,'1.2 EDU Factors'!$A$12:$A$36, '1.2 EDU Factors'!$C$12:$C$36)</f>
        <v>Acre</v>
      </c>
      <c r="F105" s="295">
        <f>LOOKUP(B105,'1.2 EDU Factors'!$A$12:$A$36, '1.2 EDU Factors'!$E$12:$E$36)</f>
        <v>0.39603960396039606</v>
      </c>
      <c r="G105" s="296">
        <f t="shared" si="10"/>
        <v>77.611249504950493</v>
      </c>
      <c r="I105" s="298" t="str">
        <f>LOOKUP(B105,'1.2 EDU Factors'!$A$12:$A$36, '1.2 EDU Factors'!$G$12:$G$36)</f>
        <v>Dwelling Unit</v>
      </c>
      <c r="J105" s="295">
        <f>LOOKUP(B105,'1.2 EDU Factors'!$A$12:$A$36, '1.2 EDU Factors'!$H$12:$H$36)</f>
        <v>2</v>
      </c>
      <c r="K105" s="296">
        <f t="shared" si="11"/>
        <v>391.93680999999998</v>
      </c>
      <c r="L105" s="295">
        <f>LOOKUP(B105,'1.2 EDU Factors'!$A$12:$A$36, '1.2 EDU Factors'!$J$12:$J$36)</f>
        <v>1</v>
      </c>
      <c r="M105" s="296">
        <f t="shared" si="12"/>
        <v>391.93680999999998</v>
      </c>
    </row>
    <row r="106" spans="1:13" x14ac:dyDescent="0.2">
      <c r="A106" s="281"/>
      <c r="B106" s="277"/>
      <c r="C106" s="311"/>
      <c r="D106" s="278"/>
      <c r="E106" s="298"/>
      <c r="F106" s="295"/>
      <c r="G106" s="312"/>
      <c r="I106" s="298"/>
      <c r="J106" s="295"/>
      <c r="K106" s="296"/>
      <c r="L106" s="295"/>
      <c r="M106" s="312"/>
    </row>
    <row r="107" spans="1:13" x14ac:dyDescent="0.2">
      <c r="A107" s="281"/>
      <c r="B107" s="277"/>
      <c r="C107" s="278"/>
      <c r="D107" s="278"/>
      <c r="E107" s="298"/>
      <c r="F107" s="295"/>
      <c r="G107" s="296"/>
      <c r="I107" s="298"/>
      <c r="J107" s="295"/>
      <c r="K107" s="297"/>
      <c r="L107" s="295"/>
      <c r="M107" s="296"/>
    </row>
    <row r="108" spans="1:13" x14ac:dyDescent="0.2">
      <c r="A108" s="281" t="s">
        <v>472</v>
      </c>
      <c r="B108" s="277"/>
      <c r="C108" s="278">
        <f>SUM(C95:C106)</f>
        <v>1958.0873120000001</v>
      </c>
      <c r="D108" s="278"/>
      <c r="E108" s="298"/>
      <c r="F108" s="295"/>
      <c r="G108" s="278">
        <f>SUM(G95:G106)</f>
        <v>1584.9444807896041</v>
      </c>
      <c r="I108" s="298"/>
      <c r="J108" s="295"/>
      <c r="K108" s="297"/>
      <c r="L108" s="295"/>
      <c r="M108" s="278">
        <f>SUM(M95:M106)</f>
        <v>8003.9696279874997</v>
      </c>
    </row>
    <row r="109" spans="1:13" x14ac:dyDescent="0.2">
      <c r="A109" s="284" t="s">
        <v>467</v>
      </c>
      <c r="G109" s="296">
        <f>$G$125</f>
        <v>808</v>
      </c>
      <c r="H109" s="291"/>
      <c r="I109" s="298"/>
      <c r="J109" s="295"/>
      <c r="K109" s="297"/>
      <c r="L109" s="295"/>
      <c r="M109" s="296">
        <f>$M$125</f>
        <v>160</v>
      </c>
    </row>
    <row r="110" spans="1:13" x14ac:dyDescent="0.2">
      <c r="A110" s="284" t="s">
        <v>468</v>
      </c>
      <c r="G110" s="296">
        <f>G108*G109</f>
        <v>1280635.140478</v>
      </c>
      <c r="H110" s="291"/>
      <c r="I110" s="291"/>
      <c r="J110" s="291"/>
      <c r="K110" s="291"/>
      <c r="L110" s="291"/>
      <c r="M110" s="296">
        <f>M108*M109</f>
        <v>1280635.140478</v>
      </c>
    </row>
    <row r="111" spans="1:13" x14ac:dyDescent="0.2">
      <c r="G111" s="296"/>
      <c r="H111" s="291"/>
      <c r="I111" s="291"/>
      <c r="J111" s="291"/>
      <c r="K111" s="291"/>
      <c r="L111" s="291"/>
      <c r="M111" s="296"/>
    </row>
    <row r="112" spans="1:13" x14ac:dyDescent="0.2">
      <c r="G112" s="296"/>
      <c r="H112" s="291"/>
      <c r="I112" s="291"/>
      <c r="J112" s="291"/>
      <c r="K112" s="291"/>
      <c r="L112" s="291"/>
      <c r="M112" s="296"/>
    </row>
    <row r="113" spans="1:13" x14ac:dyDescent="0.2">
      <c r="A113" s="276" t="s">
        <v>485</v>
      </c>
      <c r="B113" s="277" t="s">
        <v>231</v>
      </c>
      <c r="C113" s="278">
        <v>57.88</v>
      </c>
      <c r="D113" s="278"/>
      <c r="E113" s="295">
        <v>0</v>
      </c>
      <c r="F113" s="295">
        <f>LOOKUP(B113,'1.2 EDU Factors'!$A$12:$A$36, '1.2 EDU Factors'!$E$12:$E$36)</f>
        <v>0.92821782178217827</v>
      </c>
      <c r="G113" s="296">
        <f t="shared" ref="G113:G114" si="13">F113*C113</f>
        <v>53.725247524752483</v>
      </c>
      <c r="I113" s="298" t="str">
        <f>LOOKUP(B113,'1.2 EDU Factors'!$A$12:$A$36, '1.2 EDU Factors'!$G$12:$G$36)</f>
        <v>Acre</v>
      </c>
      <c r="J113" s="295">
        <f>LOOKUP(B113,'1.2 EDU Factors'!$A$12:$A$36, '1.2 EDU Factors'!$H$12:$H$36)</f>
        <v>1</v>
      </c>
      <c r="K113" s="296">
        <f t="shared" ref="K113:K114" si="14">J113*C113</f>
        <v>57.88</v>
      </c>
      <c r="L113" s="295">
        <f>LOOKUP(B113,'1.2 EDU Factors'!$A$12:$A$36, '1.2 EDU Factors'!$J$12:$J$36)</f>
        <v>4.6875</v>
      </c>
      <c r="M113" s="296">
        <f t="shared" ref="M113:M114" si="15">L113*K113</f>
        <v>271.3125</v>
      </c>
    </row>
    <row r="114" spans="1:13" x14ac:dyDescent="0.2">
      <c r="A114" s="281"/>
      <c r="B114" s="277" t="s">
        <v>233</v>
      </c>
      <c r="C114" s="278">
        <v>275.07</v>
      </c>
      <c r="D114" s="278"/>
      <c r="E114" s="298" t="str">
        <f>LOOKUP(B114,'1.2 EDU Factors'!$A$12:$A$36, '1.2 EDU Factors'!$C$12:$C$36)</f>
        <v>Acre</v>
      </c>
      <c r="F114" s="295">
        <f>LOOKUP(B114,'1.2 EDU Factors'!$A$12:$A$36, '1.2 EDU Factors'!$E$12:$E$36)</f>
        <v>1</v>
      </c>
      <c r="G114" s="296">
        <f t="shared" si="13"/>
        <v>275.07</v>
      </c>
      <c r="I114" s="298" t="str">
        <f>LOOKUP(B114,'1.2 EDU Factors'!$A$12:$A$36, '1.2 EDU Factors'!$G$12:$G$36)</f>
        <v>Dwelling Unit</v>
      </c>
      <c r="J114" s="295">
        <f>LOOKUP(B114,'1.2 EDU Factors'!$A$12:$A$36, '1.2 EDU Factors'!$H$12:$H$36)</f>
        <v>5.05</v>
      </c>
      <c r="K114" s="296">
        <f t="shared" si="14"/>
        <v>1389.1034999999999</v>
      </c>
      <c r="L114" s="295">
        <f>LOOKUP(B114,'1.2 EDU Factors'!$A$12:$A$36, '1.2 EDU Factors'!$J$12:$J$36)</f>
        <v>1</v>
      </c>
      <c r="M114" s="296">
        <f t="shared" si="15"/>
        <v>1389.1034999999999</v>
      </c>
    </row>
    <row r="115" spans="1:13" x14ac:dyDescent="0.2">
      <c r="A115" s="281"/>
      <c r="B115" s="277"/>
      <c r="C115" s="311"/>
      <c r="D115" s="278"/>
      <c r="E115" s="298"/>
      <c r="F115" s="295"/>
      <c r="G115" s="312"/>
      <c r="I115" s="298"/>
      <c r="J115" s="295"/>
      <c r="K115" s="296"/>
      <c r="L115" s="295"/>
      <c r="M115" s="312"/>
    </row>
    <row r="116" spans="1:13" x14ac:dyDescent="0.2">
      <c r="A116" s="281"/>
      <c r="B116" s="277"/>
      <c r="C116" s="278"/>
      <c r="D116" s="278"/>
      <c r="E116" s="298"/>
      <c r="F116" s="295"/>
      <c r="G116" s="296"/>
      <c r="I116" s="298"/>
      <c r="J116" s="295"/>
      <c r="K116" s="297"/>
      <c r="L116" s="295"/>
      <c r="M116" s="296"/>
    </row>
    <row r="117" spans="1:13" x14ac:dyDescent="0.2">
      <c r="A117" s="281" t="s">
        <v>472</v>
      </c>
      <c r="B117" s="277"/>
      <c r="C117" s="278">
        <f>SUM(C113:C115)</f>
        <v>332.95</v>
      </c>
      <c r="D117" s="278"/>
      <c r="E117" s="298"/>
      <c r="F117" s="295"/>
      <c r="G117" s="278">
        <f>SUM(G113:G115)</f>
        <v>328.79524752475248</v>
      </c>
      <c r="I117" s="298"/>
      <c r="J117" s="295"/>
      <c r="K117" s="297"/>
      <c r="L117" s="295"/>
      <c r="M117" s="278">
        <f>SUM(M113:M115)</f>
        <v>1660.4159999999999</v>
      </c>
    </row>
    <row r="118" spans="1:13" x14ac:dyDescent="0.2">
      <c r="A118" s="284" t="s">
        <v>467</v>
      </c>
      <c r="G118" s="296">
        <f>$G$125</f>
        <v>808</v>
      </c>
      <c r="H118" s="291"/>
      <c r="I118" s="298"/>
      <c r="J118" s="295"/>
      <c r="K118" s="297"/>
      <c r="L118" s="295"/>
      <c r="M118" s="296">
        <f>$M$125</f>
        <v>160</v>
      </c>
    </row>
    <row r="119" spans="1:13" x14ac:dyDescent="0.2">
      <c r="A119" s="284" t="s">
        <v>468</v>
      </c>
      <c r="G119" s="296">
        <f>G117*G118</f>
        <v>265666.56</v>
      </c>
      <c r="H119" s="291"/>
      <c r="I119" s="291"/>
      <c r="J119" s="291"/>
      <c r="K119" s="291"/>
      <c r="L119" s="291"/>
      <c r="M119" s="296">
        <f>M117*M118</f>
        <v>265666.56</v>
      </c>
    </row>
    <row r="120" spans="1:13" x14ac:dyDescent="0.2">
      <c r="G120" s="296"/>
      <c r="H120" s="291"/>
      <c r="I120" s="291"/>
      <c r="J120" s="291"/>
      <c r="K120" s="291"/>
      <c r="L120" s="291"/>
      <c r="M120" s="296"/>
    </row>
    <row r="121" spans="1:13" x14ac:dyDescent="0.2">
      <c r="A121" s="281"/>
      <c r="B121" s="277"/>
      <c r="C121" s="278"/>
      <c r="D121" s="278"/>
      <c r="E121" s="298"/>
      <c r="F121" s="295"/>
      <c r="G121" s="296"/>
      <c r="I121" s="298"/>
      <c r="J121" s="295"/>
      <c r="K121" s="297"/>
      <c r="L121" s="295"/>
      <c r="M121" s="296"/>
    </row>
    <row r="122" spans="1:13" ht="13.5" thickBot="1" x14ac:dyDescent="0.25">
      <c r="B122" s="309"/>
      <c r="C122" s="310"/>
      <c r="D122" s="310"/>
      <c r="E122" s="310"/>
      <c r="F122" s="310"/>
      <c r="G122" s="310"/>
      <c r="H122" s="310"/>
      <c r="I122" s="310"/>
      <c r="J122" s="310"/>
      <c r="K122" s="310"/>
      <c r="L122" s="310"/>
      <c r="M122" s="310"/>
    </row>
    <row r="123" spans="1:13" ht="13.5" thickTop="1" x14ac:dyDescent="0.2">
      <c r="A123" s="282" t="s">
        <v>259</v>
      </c>
      <c r="B123" s="282" t="s">
        <v>259</v>
      </c>
      <c r="C123" s="313">
        <f>C108+C90+C63+C52+C22+C117</f>
        <v>18524.520960000002</v>
      </c>
      <c r="D123" s="285"/>
      <c r="E123" s="298"/>
      <c r="F123" s="295"/>
      <c r="G123" s="313">
        <f>G108+G90+G63+G52+G22+G117</f>
        <v>11996.035370450496</v>
      </c>
      <c r="I123" s="298"/>
      <c r="J123" s="295"/>
      <c r="K123" s="297"/>
      <c r="L123" s="295"/>
      <c r="M123" s="313">
        <f>M108+M90+M63+M52+M22+M117</f>
        <v>60579.978620774993</v>
      </c>
    </row>
    <row r="124" spans="1:13" x14ac:dyDescent="0.2">
      <c r="E124" s="298"/>
      <c r="I124" s="298"/>
      <c r="J124" s="295"/>
      <c r="K124" s="297"/>
      <c r="L124" s="295"/>
    </row>
    <row r="125" spans="1:13" x14ac:dyDescent="0.2">
      <c r="A125" s="284" t="s">
        <v>467</v>
      </c>
      <c r="G125" s="296">
        <f>'1.2 EDU Factors'!D18</f>
        <v>808</v>
      </c>
      <c r="H125" s="291"/>
      <c r="I125" s="298"/>
      <c r="J125" s="295"/>
      <c r="K125" s="297"/>
      <c r="L125" s="295"/>
      <c r="M125" s="296">
        <f>'1.2 EDU Factors'!I18</f>
        <v>160</v>
      </c>
    </row>
    <row r="126" spans="1:13" x14ac:dyDescent="0.2">
      <c r="A126" s="284" t="s">
        <v>468</v>
      </c>
      <c r="G126" s="296">
        <f>G125*G123</f>
        <v>9692796.5793240014</v>
      </c>
      <c r="H126" s="291"/>
      <c r="I126" s="291"/>
      <c r="J126" s="291"/>
      <c r="K126" s="291"/>
      <c r="L126" s="291"/>
      <c r="M126" s="296">
        <f>M125*M123</f>
        <v>9692796.5793239996</v>
      </c>
    </row>
    <row r="127" spans="1:13" x14ac:dyDescent="0.2">
      <c r="G127" s="291"/>
      <c r="H127" s="291"/>
      <c r="I127" s="291"/>
      <c r="J127" s="291"/>
      <c r="K127" s="291"/>
      <c r="L127" s="291"/>
      <c r="M127" s="291"/>
    </row>
    <row r="130" spans="1:31" x14ac:dyDescent="0.2">
      <c r="A130" s="308" t="s">
        <v>11</v>
      </c>
    </row>
    <row r="131" spans="1:31" s="279" customFormat="1" x14ac:dyDescent="0.2">
      <c r="A131" s="286"/>
      <c r="C131" s="287"/>
      <c r="D131" s="287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x14ac:dyDescent="0.2">
      <c r="A132" s="286" t="s">
        <v>457</v>
      </c>
    </row>
    <row r="133" spans="1:31" x14ac:dyDescent="0.2">
      <c r="A133" s="286"/>
    </row>
  </sheetData>
  <pageMargins left="0.75" right="0.75" top="0.5" bottom="0.5" header="0.5" footer="0.5"/>
  <pageSetup scale="43" orientation="portrait" r:id="rId1"/>
  <headerFooter alignWithMargins="0">
    <oddFooter>&amp;L&amp;Z&amp;F&amp;R&amp;T&amp;D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workbookViewId="0"/>
  </sheetViews>
  <sheetFormatPr defaultRowHeight="12.75" x14ac:dyDescent="0.2"/>
  <cols>
    <col min="1" max="1" width="6.140625" customWidth="1"/>
    <col min="2" max="2" width="30.7109375" customWidth="1"/>
    <col min="3" max="3" width="14.28515625" bestFit="1" customWidth="1"/>
    <col min="4" max="5" width="14.140625" bestFit="1" customWidth="1"/>
    <col min="6" max="6" width="14.28515625" bestFit="1" customWidth="1"/>
    <col min="7" max="9" width="14.140625" bestFit="1" customWidth="1"/>
    <col min="10" max="10" width="9" customWidth="1"/>
    <col min="11" max="11" width="14.140625" bestFit="1" customWidth="1"/>
    <col min="12" max="12" width="13.140625" customWidth="1"/>
    <col min="13" max="13" width="16.28515625" bestFit="1" customWidth="1"/>
    <col min="14" max="14" width="14.140625" bestFit="1" customWidth="1"/>
  </cols>
  <sheetData>
    <row r="1" spans="1:14" x14ac:dyDescent="0.2">
      <c r="A1" s="171" t="s">
        <v>77</v>
      </c>
      <c r="M1" s="51" t="str">
        <f>Assumptions!$B$12</f>
        <v>Internal</v>
      </c>
    </row>
    <row r="2" spans="1:14" x14ac:dyDescent="0.2">
      <c r="A2" s="171" t="str">
        <f>Assumptions!B10</f>
        <v>City of Manteca</v>
      </c>
      <c r="M2" s="52" t="str">
        <f>Assumptions!$B$13</f>
        <v>Working Draft - v4</v>
      </c>
    </row>
    <row r="3" spans="1:14" x14ac:dyDescent="0.2">
      <c r="A3" s="171" t="str">
        <f>Assumptions!B18</f>
        <v>PFF Sewer Collection Fee</v>
      </c>
      <c r="M3" s="53">
        <f>Assumptions!$B$14</f>
        <v>41113</v>
      </c>
    </row>
    <row r="4" spans="1:14" x14ac:dyDescent="0.2">
      <c r="A4" s="171" t="s">
        <v>397</v>
      </c>
    </row>
    <row r="7" spans="1:14" x14ac:dyDescent="0.2">
      <c r="C7" s="223" t="s">
        <v>47</v>
      </c>
      <c r="D7" s="223" t="s">
        <v>408</v>
      </c>
      <c r="E7" s="223" t="s">
        <v>0</v>
      </c>
      <c r="F7" s="223" t="s">
        <v>1</v>
      </c>
      <c r="G7" s="223" t="s">
        <v>2</v>
      </c>
      <c r="H7" s="223" t="s">
        <v>3</v>
      </c>
      <c r="I7" s="223" t="s">
        <v>4</v>
      </c>
      <c r="J7" s="223" t="s">
        <v>303</v>
      </c>
      <c r="K7" s="223" t="s">
        <v>339</v>
      </c>
      <c r="L7" s="223" t="s">
        <v>47</v>
      </c>
      <c r="M7" s="223"/>
    </row>
    <row r="8" spans="1:14" x14ac:dyDescent="0.2">
      <c r="C8" s="223" t="s">
        <v>305</v>
      </c>
      <c r="D8" s="223" t="s">
        <v>409</v>
      </c>
      <c r="E8" s="223" t="s">
        <v>5</v>
      </c>
      <c r="F8" s="223" t="s">
        <v>5</v>
      </c>
      <c r="G8" s="223" t="s">
        <v>5</v>
      </c>
      <c r="H8" s="223" t="s">
        <v>5</v>
      </c>
      <c r="I8" s="223" t="s">
        <v>5</v>
      </c>
      <c r="J8" s="223" t="s">
        <v>5</v>
      </c>
      <c r="K8" s="223" t="s">
        <v>5</v>
      </c>
      <c r="L8" s="223" t="s">
        <v>388</v>
      </c>
      <c r="M8" s="223"/>
    </row>
    <row r="9" spans="1:14" x14ac:dyDescent="0.2">
      <c r="B9" s="224" t="s">
        <v>306</v>
      </c>
      <c r="C9" s="225" t="s">
        <v>5</v>
      </c>
      <c r="D9" s="225" t="s">
        <v>389</v>
      </c>
      <c r="E9" s="225" t="s">
        <v>8</v>
      </c>
      <c r="F9" s="225" t="s">
        <v>8</v>
      </c>
      <c r="G9" s="225" t="s">
        <v>8</v>
      </c>
      <c r="H9" s="225" t="s">
        <v>8</v>
      </c>
      <c r="I9" s="225" t="s">
        <v>8</v>
      </c>
      <c r="J9" s="225" t="s">
        <v>8</v>
      </c>
      <c r="K9" s="225" t="s">
        <v>8</v>
      </c>
      <c r="L9" s="225" t="s">
        <v>389</v>
      </c>
      <c r="M9" s="225" t="s">
        <v>9</v>
      </c>
      <c r="N9" s="243" t="s">
        <v>61</v>
      </c>
    </row>
    <row r="13" spans="1:14" x14ac:dyDescent="0.2">
      <c r="A13" s="7" t="s">
        <v>406</v>
      </c>
      <c r="B13" s="171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1:14" x14ac:dyDescent="0.2">
      <c r="B14" s="171" t="s">
        <v>346</v>
      </c>
      <c r="C14" s="97">
        <v>286000</v>
      </c>
      <c r="D14" s="97"/>
      <c r="E14" s="97"/>
      <c r="F14" s="97"/>
      <c r="G14" s="97"/>
      <c r="H14" s="97">
        <v>286000</v>
      </c>
      <c r="I14" s="97"/>
      <c r="J14" s="97"/>
      <c r="K14" s="97"/>
      <c r="L14" s="97">
        <f t="shared" ref="L14:L20" si="0">SUM(E14:K14)</f>
        <v>286000</v>
      </c>
      <c r="M14" s="97">
        <f t="shared" ref="M14:M20" si="1">L14+D14</f>
        <v>286000</v>
      </c>
      <c r="N14" s="97">
        <f t="shared" ref="N14:N20" si="2">M14-C14</f>
        <v>0</v>
      </c>
    </row>
    <row r="15" spans="1:14" x14ac:dyDescent="0.2">
      <c r="B15" s="171" t="s">
        <v>351</v>
      </c>
      <c r="C15" s="97">
        <v>334000</v>
      </c>
      <c r="D15" s="97"/>
      <c r="E15" s="97"/>
      <c r="F15" s="97"/>
      <c r="G15" s="97"/>
      <c r="H15" s="97">
        <v>334000</v>
      </c>
      <c r="I15" s="97"/>
      <c r="J15" s="97"/>
      <c r="K15" s="97"/>
      <c r="L15" s="97">
        <f t="shared" si="0"/>
        <v>334000</v>
      </c>
      <c r="M15" s="97">
        <f t="shared" si="1"/>
        <v>334000</v>
      </c>
      <c r="N15" s="97">
        <f t="shared" si="2"/>
        <v>0</v>
      </c>
    </row>
    <row r="16" spans="1:14" x14ac:dyDescent="0.2">
      <c r="B16" s="171" t="s">
        <v>353</v>
      </c>
      <c r="C16" s="97">
        <v>206000</v>
      </c>
      <c r="D16" s="97"/>
      <c r="E16" s="97"/>
      <c r="F16" s="97"/>
      <c r="G16" s="97"/>
      <c r="H16" s="97">
        <v>183200</v>
      </c>
      <c r="I16" s="97"/>
      <c r="J16" s="97"/>
      <c r="K16" s="97">
        <v>22800</v>
      </c>
      <c r="L16" s="97">
        <f t="shared" si="0"/>
        <v>206000</v>
      </c>
      <c r="M16" s="97">
        <f t="shared" si="1"/>
        <v>206000</v>
      </c>
      <c r="N16" s="97">
        <f t="shared" si="2"/>
        <v>0</v>
      </c>
    </row>
    <row r="17" spans="1:14" x14ac:dyDescent="0.2">
      <c r="B17" s="171" t="s">
        <v>352</v>
      </c>
      <c r="C17" s="97">
        <v>238000</v>
      </c>
      <c r="D17" s="97"/>
      <c r="E17" s="97"/>
      <c r="F17" s="97"/>
      <c r="G17" s="97"/>
      <c r="H17" s="97">
        <v>211600</v>
      </c>
      <c r="I17" s="97"/>
      <c r="J17" s="97"/>
      <c r="K17" s="97">
        <v>26400</v>
      </c>
      <c r="L17" s="97">
        <f t="shared" si="0"/>
        <v>238000</v>
      </c>
      <c r="M17" s="97">
        <f t="shared" si="1"/>
        <v>238000</v>
      </c>
      <c r="N17" s="97">
        <f t="shared" si="2"/>
        <v>0</v>
      </c>
    </row>
    <row r="18" spans="1:14" x14ac:dyDescent="0.2">
      <c r="B18" s="171" t="s">
        <v>355</v>
      </c>
      <c r="C18" s="97">
        <v>1587000</v>
      </c>
      <c r="D18" s="97"/>
      <c r="E18" s="97"/>
      <c r="F18" s="97"/>
      <c r="G18" s="97"/>
      <c r="H18" s="97">
        <v>1494050</v>
      </c>
      <c r="I18" s="97"/>
      <c r="J18" s="97"/>
      <c r="K18" s="97">
        <v>92950</v>
      </c>
      <c r="L18" s="97">
        <f t="shared" si="0"/>
        <v>1587000</v>
      </c>
      <c r="M18" s="97">
        <f t="shared" si="1"/>
        <v>1587000</v>
      </c>
      <c r="N18" s="97">
        <f t="shared" si="2"/>
        <v>0</v>
      </c>
    </row>
    <row r="19" spans="1:14" x14ac:dyDescent="0.2">
      <c r="B19" s="171" t="s">
        <v>356</v>
      </c>
      <c r="C19" s="97">
        <v>831000</v>
      </c>
      <c r="D19" s="97"/>
      <c r="E19" s="97"/>
      <c r="F19" s="97"/>
      <c r="G19" s="97"/>
      <c r="H19" s="97">
        <v>831000</v>
      </c>
      <c r="I19" s="97"/>
      <c r="J19" s="97"/>
      <c r="K19" s="97"/>
      <c r="L19" s="97">
        <f t="shared" si="0"/>
        <v>831000</v>
      </c>
      <c r="M19" s="97">
        <f t="shared" si="1"/>
        <v>831000</v>
      </c>
      <c r="N19" s="97">
        <f t="shared" si="2"/>
        <v>0</v>
      </c>
    </row>
    <row r="20" spans="1:14" x14ac:dyDescent="0.2">
      <c r="B20" s="171" t="s">
        <v>337</v>
      </c>
      <c r="C20" s="97">
        <v>195000</v>
      </c>
      <c r="D20" s="97"/>
      <c r="E20" s="97"/>
      <c r="F20" s="97">
        <v>195000</v>
      </c>
      <c r="G20" s="97"/>
      <c r="H20" s="97"/>
      <c r="I20" s="97"/>
      <c r="J20" s="97"/>
      <c r="K20" s="97">
        <v>0</v>
      </c>
      <c r="L20" s="97">
        <f t="shared" si="0"/>
        <v>195000</v>
      </c>
      <c r="M20" s="97">
        <f t="shared" si="1"/>
        <v>195000</v>
      </c>
      <c r="N20" s="97">
        <f t="shared" si="2"/>
        <v>0</v>
      </c>
    </row>
    <row r="21" spans="1:14" x14ac:dyDescent="0.2">
      <c r="B21" s="171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</row>
    <row r="22" spans="1:14" x14ac:dyDescent="0.2">
      <c r="B22" s="171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</row>
    <row r="23" spans="1:14" x14ac:dyDescent="0.2">
      <c r="B23" s="171" t="s">
        <v>407</v>
      </c>
      <c r="C23" s="97">
        <f>SUM(C13:C22)</f>
        <v>3677000</v>
      </c>
      <c r="D23" s="97">
        <f t="shared" ref="D23:N23" si="3">SUM(D13:D22)</f>
        <v>0</v>
      </c>
      <c r="E23" s="97">
        <f t="shared" si="3"/>
        <v>0</v>
      </c>
      <c r="F23" s="97">
        <f t="shared" si="3"/>
        <v>195000</v>
      </c>
      <c r="G23" s="97">
        <f t="shared" si="3"/>
        <v>0</v>
      </c>
      <c r="H23" s="97">
        <f t="shared" si="3"/>
        <v>3339850</v>
      </c>
      <c r="I23" s="97">
        <f t="shared" si="3"/>
        <v>0</v>
      </c>
      <c r="J23" s="97">
        <f t="shared" si="3"/>
        <v>0</v>
      </c>
      <c r="K23" s="97">
        <f t="shared" si="3"/>
        <v>142150</v>
      </c>
      <c r="L23" s="97">
        <f t="shared" si="3"/>
        <v>3677000</v>
      </c>
      <c r="M23" s="97">
        <f t="shared" si="3"/>
        <v>3677000</v>
      </c>
      <c r="N23" s="97">
        <f t="shared" si="3"/>
        <v>0</v>
      </c>
    </row>
    <row r="24" spans="1:14" x14ac:dyDescent="0.2">
      <c r="B24" s="17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2">
      <c r="A25" s="7" t="s">
        <v>405</v>
      </c>
      <c r="B25" s="171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</row>
    <row r="26" spans="1:14" x14ac:dyDescent="0.2">
      <c r="B26" s="171" t="s">
        <v>370</v>
      </c>
      <c r="C26" s="97">
        <v>1428000</v>
      </c>
      <c r="D26" s="97"/>
      <c r="E26" s="97"/>
      <c r="F26" s="97"/>
      <c r="G26" s="97"/>
      <c r="H26" s="97">
        <v>1181960</v>
      </c>
      <c r="I26" s="97">
        <v>137437</v>
      </c>
      <c r="J26" s="97">
        <v>54975</v>
      </c>
      <c r="K26" s="97">
        <v>53628</v>
      </c>
      <c r="L26" s="97">
        <f t="shared" ref="L26:L57" si="4">SUM(E26:K26)</f>
        <v>1428000</v>
      </c>
      <c r="M26" s="97">
        <f t="shared" ref="M26:M57" si="5">L26+D26</f>
        <v>1428000</v>
      </c>
      <c r="N26" s="97">
        <f t="shared" ref="N26:N57" si="6">M26-C26</f>
        <v>0</v>
      </c>
    </row>
    <row r="27" spans="1:14" x14ac:dyDescent="0.2">
      <c r="B27" s="171" t="s">
        <v>358</v>
      </c>
      <c r="C27" s="97">
        <v>1730000</v>
      </c>
      <c r="D27" s="97"/>
      <c r="E27" s="97"/>
      <c r="F27" s="97"/>
      <c r="G27" s="97"/>
      <c r="H27" s="97">
        <v>1730000</v>
      </c>
      <c r="I27" s="97"/>
      <c r="J27" s="97"/>
      <c r="K27" s="97"/>
      <c r="L27" s="97">
        <f t="shared" si="4"/>
        <v>1730000</v>
      </c>
      <c r="M27" s="97">
        <f t="shared" si="5"/>
        <v>1730000</v>
      </c>
      <c r="N27" s="97">
        <f t="shared" si="6"/>
        <v>0</v>
      </c>
    </row>
    <row r="28" spans="1:14" x14ac:dyDescent="0.2">
      <c r="B28" s="171" t="s">
        <v>317</v>
      </c>
      <c r="C28" s="97">
        <v>519000</v>
      </c>
      <c r="D28" s="97">
        <v>470000</v>
      </c>
      <c r="E28" s="97">
        <v>49000</v>
      </c>
      <c r="F28" s="97"/>
      <c r="G28" s="97"/>
      <c r="H28" s="97"/>
      <c r="I28" s="97"/>
      <c r="J28" s="97"/>
      <c r="K28" s="97"/>
      <c r="L28" s="97">
        <f t="shared" si="4"/>
        <v>49000</v>
      </c>
      <c r="M28" s="97">
        <f t="shared" si="5"/>
        <v>519000</v>
      </c>
      <c r="N28" s="97">
        <f t="shared" si="6"/>
        <v>0</v>
      </c>
    </row>
    <row r="29" spans="1:14" x14ac:dyDescent="0.2">
      <c r="B29" s="171" t="s">
        <v>359</v>
      </c>
      <c r="C29" s="97">
        <v>1297000</v>
      </c>
      <c r="D29" s="97"/>
      <c r="E29" s="97"/>
      <c r="F29" s="97"/>
      <c r="G29" s="97"/>
      <c r="H29" s="97">
        <v>1297000</v>
      </c>
      <c r="I29" s="97"/>
      <c r="J29" s="97"/>
      <c r="K29" s="97"/>
      <c r="L29" s="97">
        <f t="shared" si="4"/>
        <v>1297000</v>
      </c>
      <c r="M29" s="97">
        <f t="shared" si="5"/>
        <v>1297000</v>
      </c>
      <c r="N29" s="97">
        <f t="shared" si="6"/>
        <v>0</v>
      </c>
    </row>
    <row r="30" spans="1:14" x14ac:dyDescent="0.2">
      <c r="B30" s="171" t="s">
        <v>357</v>
      </c>
      <c r="C30" s="97">
        <v>127000</v>
      </c>
      <c r="D30" s="97"/>
      <c r="E30" s="97"/>
      <c r="F30" s="97"/>
      <c r="G30" s="97"/>
      <c r="H30" s="97">
        <v>121528</v>
      </c>
      <c r="I30" s="97"/>
      <c r="J30" s="97"/>
      <c r="K30" s="97">
        <v>5472</v>
      </c>
      <c r="L30" s="97">
        <f t="shared" si="4"/>
        <v>127000</v>
      </c>
      <c r="M30" s="97">
        <f t="shared" si="5"/>
        <v>127000</v>
      </c>
      <c r="N30" s="97">
        <f t="shared" si="6"/>
        <v>0</v>
      </c>
    </row>
    <row r="31" spans="1:14" x14ac:dyDescent="0.2">
      <c r="B31" s="171" t="s">
        <v>347</v>
      </c>
      <c r="C31" s="97">
        <v>757000</v>
      </c>
      <c r="D31" s="97"/>
      <c r="E31" s="97"/>
      <c r="F31" s="97"/>
      <c r="G31" s="97"/>
      <c r="H31" s="97">
        <v>634501</v>
      </c>
      <c r="I31" s="97">
        <v>73779</v>
      </c>
      <c r="J31" s="97">
        <v>29512</v>
      </c>
      <c r="K31" s="97">
        <v>19208</v>
      </c>
      <c r="L31" s="97">
        <f t="shared" si="4"/>
        <v>757000</v>
      </c>
      <c r="M31" s="97">
        <f t="shared" si="5"/>
        <v>757000</v>
      </c>
      <c r="N31" s="97">
        <f t="shared" si="6"/>
        <v>0</v>
      </c>
    </row>
    <row r="32" spans="1:14" x14ac:dyDescent="0.2">
      <c r="B32" s="171" t="s">
        <v>348</v>
      </c>
      <c r="C32" s="97">
        <v>2348000</v>
      </c>
      <c r="D32" s="97"/>
      <c r="E32" s="97"/>
      <c r="F32" s="97"/>
      <c r="G32" s="97"/>
      <c r="H32" s="97">
        <v>2108000</v>
      </c>
      <c r="I32" s="97"/>
      <c r="J32" s="97"/>
      <c r="K32" s="97">
        <v>240000</v>
      </c>
      <c r="L32" s="97">
        <f t="shared" si="4"/>
        <v>2348000</v>
      </c>
      <c r="M32" s="97">
        <f t="shared" si="5"/>
        <v>2348000</v>
      </c>
      <c r="N32" s="97">
        <f t="shared" si="6"/>
        <v>0</v>
      </c>
    </row>
    <row r="33" spans="2:14" x14ac:dyDescent="0.2">
      <c r="B33" s="171" t="s">
        <v>348</v>
      </c>
      <c r="C33" s="97">
        <v>1993000</v>
      </c>
      <c r="D33" s="97"/>
      <c r="E33" s="97"/>
      <c r="F33" s="97"/>
      <c r="G33" s="97"/>
      <c r="H33" s="97">
        <v>1993000</v>
      </c>
      <c r="I33" s="97"/>
      <c r="J33" s="97"/>
      <c r="K33" s="97"/>
      <c r="L33" s="97">
        <f t="shared" si="4"/>
        <v>1993000</v>
      </c>
      <c r="M33" s="97">
        <f t="shared" si="5"/>
        <v>1993000</v>
      </c>
      <c r="N33" s="97">
        <f t="shared" si="6"/>
        <v>0</v>
      </c>
    </row>
    <row r="34" spans="2:14" x14ac:dyDescent="0.2">
      <c r="B34" s="171" t="s">
        <v>349</v>
      </c>
      <c r="C34" s="97">
        <v>703000</v>
      </c>
      <c r="D34" s="97"/>
      <c r="E34" s="97"/>
      <c r="F34" s="97"/>
      <c r="G34" s="97"/>
      <c r="H34" s="97">
        <v>703000</v>
      </c>
      <c r="I34" s="97"/>
      <c r="J34" s="97"/>
      <c r="K34" s="97"/>
      <c r="L34" s="97">
        <f t="shared" si="4"/>
        <v>703000</v>
      </c>
      <c r="M34" s="97">
        <f t="shared" si="5"/>
        <v>703000</v>
      </c>
      <c r="N34" s="97">
        <f t="shared" si="6"/>
        <v>0</v>
      </c>
    </row>
    <row r="35" spans="2:14" x14ac:dyDescent="0.2">
      <c r="B35" s="171" t="s">
        <v>367</v>
      </c>
      <c r="C35" s="97">
        <v>1446000</v>
      </c>
      <c r="D35" s="97"/>
      <c r="E35" s="97"/>
      <c r="F35" s="97"/>
      <c r="G35" s="97"/>
      <c r="H35" s="97">
        <v>1243560</v>
      </c>
      <c r="I35" s="97">
        <v>144600</v>
      </c>
      <c r="J35" s="97">
        <v>57840</v>
      </c>
      <c r="K35" s="97"/>
      <c r="L35" s="97">
        <f t="shared" si="4"/>
        <v>1446000</v>
      </c>
      <c r="M35" s="97">
        <f t="shared" si="5"/>
        <v>1446000</v>
      </c>
      <c r="N35" s="97">
        <f t="shared" si="6"/>
        <v>0</v>
      </c>
    </row>
    <row r="36" spans="2:14" x14ac:dyDescent="0.2">
      <c r="B36" s="171" t="s">
        <v>374</v>
      </c>
      <c r="C36" s="97">
        <v>880000</v>
      </c>
      <c r="D36" s="97"/>
      <c r="E36" s="97"/>
      <c r="F36" s="97"/>
      <c r="G36" s="97"/>
      <c r="H36" s="97"/>
      <c r="I36" s="97">
        <v>880000</v>
      </c>
      <c r="J36" s="97"/>
      <c r="K36" s="97"/>
      <c r="L36" s="97">
        <f t="shared" si="4"/>
        <v>880000</v>
      </c>
      <c r="M36" s="97">
        <f t="shared" si="5"/>
        <v>880000</v>
      </c>
      <c r="N36" s="97">
        <f t="shared" si="6"/>
        <v>0</v>
      </c>
    </row>
    <row r="37" spans="2:14" x14ac:dyDescent="0.2">
      <c r="B37" s="171" t="s">
        <v>368</v>
      </c>
      <c r="C37" s="97">
        <v>754000</v>
      </c>
      <c r="D37" s="97"/>
      <c r="E37" s="97"/>
      <c r="F37" s="97"/>
      <c r="G37" s="97"/>
      <c r="H37" s="97">
        <v>648440</v>
      </c>
      <c r="I37" s="97">
        <v>75400</v>
      </c>
      <c r="J37" s="97">
        <v>30160</v>
      </c>
      <c r="K37" s="97"/>
      <c r="L37" s="97">
        <f t="shared" si="4"/>
        <v>754000</v>
      </c>
      <c r="M37" s="97">
        <f t="shared" si="5"/>
        <v>754000</v>
      </c>
      <c r="N37" s="97">
        <f t="shared" si="6"/>
        <v>0</v>
      </c>
    </row>
    <row r="38" spans="2:14" x14ac:dyDescent="0.2">
      <c r="B38" s="171" t="s">
        <v>369</v>
      </c>
      <c r="C38" s="97">
        <v>1199000</v>
      </c>
      <c r="D38" s="97"/>
      <c r="E38" s="97"/>
      <c r="F38" s="97"/>
      <c r="G38" s="97"/>
      <c r="H38" s="97">
        <v>1006620</v>
      </c>
      <c r="I38" s="97">
        <v>117048</v>
      </c>
      <c r="J38" s="97">
        <v>46820</v>
      </c>
      <c r="K38" s="97">
        <v>28512</v>
      </c>
      <c r="L38" s="97">
        <f t="shared" si="4"/>
        <v>1199000</v>
      </c>
      <c r="M38" s="97">
        <f t="shared" si="5"/>
        <v>1199000</v>
      </c>
      <c r="N38" s="97">
        <f t="shared" si="6"/>
        <v>0</v>
      </c>
    </row>
    <row r="39" spans="2:14" x14ac:dyDescent="0.2">
      <c r="B39" s="171" t="s">
        <v>341</v>
      </c>
      <c r="C39" s="97">
        <v>1059000</v>
      </c>
      <c r="D39" s="97">
        <v>505000</v>
      </c>
      <c r="E39" s="97">
        <v>259224</v>
      </c>
      <c r="F39" s="97">
        <v>193863</v>
      </c>
      <c r="G39" s="97">
        <v>9813</v>
      </c>
      <c r="H39" s="97"/>
      <c r="I39" s="97"/>
      <c r="J39" s="97"/>
      <c r="K39" s="97">
        <v>91100</v>
      </c>
      <c r="L39" s="97">
        <f t="shared" si="4"/>
        <v>554000</v>
      </c>
      <c r="M39" s="97">
        <f t="shared" si="5"/>
        <v>1059000</v>
      </c>
      <c r="N39" s="97">
        <f t="shared" si="6"/>
        <v>0</v>
      </c>
    </row>
    <row r="40" spans="2:14" x14ac:dyDescent="0.2">
      <c r="B40" s="171" t="s">
        <v>342</v>
      </c>
      <c r="C40" s="97">
        <v>764000</v>
      </c>
      <c r="D40" s="97">
        <v>395000</v>
      </c>
      <c r="E40" s="97">
        <v>208485</v>
      </c>
      <c r="F40" s="97">
        <v>152618</v>
      </c>
      <c r="G40" s="97">
        <v>7897</v>
      </c>
      <c r="H40" s="97"/>
      <c r="I40" s="97"/>
      <c r="J40" s="97"/>
      <c r="K40" s="97"/>
      <c r="L40" s="97">
        <f t="shared" si="4"/>
        <v>369000</v>
      </c>
      <c r="M40" s="97">
        <f t="shared" si="5"/>
        <v>764000</v>
      </c>
      <c r="N40" s="97">
        <f t="shared" si="6"/>
        <v>0</v>
      </c>
    </row>
    <row r="41" spans="2:14" x14ac:dyDescent="0.2">
      <c r="B41" s="171" t="s">
        <v>343</v>
      </c>
      <c r="C41" s="97">
        <v>1252000</v>
      </c>
      <c r="D41" s="97">
        <v>665000</v>
      </c>
      <c r="E41" s="97">
        <v>333475</v>
      </c>
      <c r="F41" s="97">
        <v>240905</v>
      </c>
      <c r="G41" s="97">
        <v>12620</v>
      </c>
      <c r="H41" s="97"/>
      <c r="I41" s="97"/>
      <c r="J41" s="97"/>
      <c r="K41" s="97"/>
      <c r="L41" s="97">
        <f t="shared" si="4"/>
        <v>587000</v>
      </c>
      <c r="M41" s="97">
        <f t="shared" si="5"/>
        <v>1252000</v>
      </c>
      <c r="N41" s="97">
        <f t="shared" si="6"/>
        <v>0</v>
      </c>
    </row>
    <row r="42" spans="2:14" x14ac:dyDescent="0.2">
      <c r="B42" s="171" t="s">
        <v>338</v>
      </c>
      <c r="C42" s="97">
        <v>1295000</v>
      </c>
      <c r="D42" s="97"/>
      <c r="E42" s="97"/>
      <c r="F42" s="97">
        <v>1255310</v>
      </c>
      <c r="G42" s="97"/>
      <c r="H42" s="97"/>
      <c r="I42" s="97"/>
      <c r="J42" s="97"/>
      <c r="K42" s="97">
        <v>39690</v>
      </c>
      <c r="L42" s="97">
        <f t="shared" si="4"/>
        <v>1295000</v>
      </c>
      <c r="M42" s="97">
        <f t="shared" si="5"/>
        <v>1295000</v>
      </c>
      <c r="N42" s="97">
        <f t="shared" si="6"/>
        <v>0</v>
      </c>
    </row>
    <row r="43" spans="2:14" x14ac:dyDescent="0.2">
      <c r="B43" s="171" t="s">
        <v>340</v>
      </c>
      <c r="C43" s="97">
        <v>55000</v>
      </c>
      <c r="D43" s="97"/>
      <c r="E43" s="97"/>
      <c r="F43" s="97">
        <v>55000</v>
      </c>
      <c r="G43" s="97"/>
      <c r="H43" s="97"/>
      <c r="I43" s="97"/>
      <c r="J43" s="97"/>
      <c r="K43" s="97"/>
      <c r="L43" s="97">
        <f t="shared" si="4"/>
        <v>55000</v>
      </c>
      <c r="M43" s="97">
        <f t="shared" si="5"/>
        <v>55000</v>
      </c>
      <c r="N43" s="97">
        <f t="shared" si="6"/>
        <v>0</v>
      </c>
    </row>
    <row r="44" spans="2:14" x14ac:dyDescent="0.2">
      <c r="B44" s="171" t="s">
        <v>334</v>
      </c>
      <c r="C44" s="97">
        <v>799000</v>
      </c>
      <c r="D44" s="97"/>
      <c r="E44" s="97"/>
      <c r="F44" s="97">
        <v>758335</v>
      </c>
      <c r="G44" s="97"/>
      <c r="H44" s="97"/>
      <c r="I44" s="97"/>
      <c r="J44" s="97"/>
      <c r="K44" s="97">
        <v>40665</v>
      </c>
      <c r="L44" s="97">
        <f t="shared" si="4"/>
        <v>799000</v>
      </c>
      <c r="M44" s="97">
        <f t="shared" si="5"/>
        <v>799000</v>
      </c>
      <c r="N44" s="97">
        <f t="shared" si="6"/>
        <v>0</v>
      </c>
    </row>
    <row r="45" spans="2:14" x14ac:dyDescent="0.2">
      <c r="B45" s="171" t="s">
        <v>335</v>
      </c>
      <c r="C45" s="97">
        <v>794000</v>
      </c>
      <c r="D45" s="97"/>
      <c r="E45" s="97"/>
      <c r="F45" s="97">
        <v>753605</v>
      </c>
      <c r="G45" s="97"/>
      <c r="H45" s="97"/>
      <c r="I45" s="97"/>
      <c r="J45" s="97"/>
      <c r="K45" s="97">
        <v>40395</v>
      </c>
      <c r="L45" s="97">
        <f t="shared" si="4"/>
        <v>794000</v>
      </c>
      <c r="M45" s="97">
        <f t="shared" si="5"/>
        <v>794000</v>
      </c>
      <c r="N45" s="97">
        <f t="shared" si="6"/>
        <v>0</v>
      </c>
    </row>
    <row r="46" spans="2:14" x14ac:dyDescent="0.2">
      <c r="B46" s="171" t="s">
        <v>336</v>
      </c>
      <c r="C46" s="97">
        <v>123000</v>
      </c>
      <c r="D46" s="97"/>
      <c r="E46" s="97"/>
      <c r="F46" s="97">
        <v>107950</v>
      </c>
      <c r="G46" s="97"/>
      <c r="H46" s="97"/>
      <c r="I46" s="97"/>
      <c r="J46" s="97"/>
      <c r="K46" s="97">
        <v>15050</v>
      </c>
      <c r="L46" s="97">
        <f t="shared" si="4"/>
        <v>123000</v>
      </c>
      <c r="M46" s="97">
        <f t="shared" si="5"/>
        <v>123000</v>
      </c>
      <c r="N46" s="97">
        <f t="shared" si="6"/>
        <v>0</v>
      </c>
    </row>
    <row r="47" spans="2:14" x14ac:dyDescent="0.2">
      <c r="B47" s="171" t="s">
        <v>332</v>
      </c>
      <c r="C47" s="97">
        <v>1569000</v>
      </c>
      <c r="D47" s="97"/>
      <c r="E47" s="97"/>
      <c r="F47" s="97">
        <v>1409490</v>
      </c>
      <c r="G47" s="97"/>
      <c r="H47" s="97"/>
      <c r="I47" s="97"/>
      <c r="J47" s="97"/>
      <c r="K47" s="97">
        <v>159510</v>
      </c>
      <c r="L47" s="97">
        <f t="shared" si="4"/>
        <v>1569000</v>
      </c>
      <c r="M47" s="97">
        <f t="shared" si="5"/>
        <v>1569000</v>
      </c>
      <c r="N47" s="97">
        <f t="shared" si="6"/>
        <v>0</v>
      </c>
    </row>
    <row r="48" spans="2:14" x14ac:dyDescent="0.2">
      <c r="B48" s="171" t="s">
        <v>333</v>
      </c>
      <c r="C48" s="97">
        <v>345000</v>
      </c>
      <c r="D48" s="97"/>
      <c r="E48" s="97"/>
      <c r="F48" s="97">
        <v>345000</v>
      </c>
      <c r="G48" s="97"/>
      <c r="H48" s="97"/>
      <c r="I48" s="97"/>
      <c r="J48" s="97"/>
      <c r="K48" s="97"/>
      <c r="L48" s="97">
        <f t="shared" si="4"/>
        <v>345000</v>
      </c>
      <c r="M48" s="97">
        <f t="shared" si="5"/>
        <v>345000</v>
      </c>
      <c r="N48" s="97">
        <f t="shared" si="6"/>
        <v>0</v>
      </c>
    </row>
    <row r="49" spans="2:14" x14ac:dyDescent="0.2">
      <c r="B49" s="171" t="s">
        <v>366</v>
      </c>
      <c r="C49" s="97">
        <v>1011000</v>
      </c>
      <c r="D49" s="97"/>
      <c r="E49" s="97"/>
      <c r="F49" s="97"/>
      <c r="G49" s="97"/>
      <c r="H49" s="97">
        <v>1011000</v>
      </c>
      <c r="I49" s="97"/>
      <c r="J49" s="97"/>
      <c r="K49" s="97"/>
      <c r="L49" s="97">
        <f t="shared" si="4"/>
        <v>1011000</v>
      </c>
      <c r="M49" s="97">
        <f t="shared" si="5"/>
        <v>1011000</v>
      </c>
      <c r="N49" s="97">
        <f t="shared" si="6"/>
        <v>0</v>
      </c>
    </row>
    <row r="50" spans="2:14" x14ac:dyDescent="0.2">
      <c r="B50" s="171" t="s">
        <v>326</v>
      </c>
      <c r="C50" s="97">
        <v>136000</v>
      </c>
      <c r="D50" s="97"/>
      <c r="E50" s="97"/>
      <c r="F50" s="97">
        <v>99730</v>
      </c>
      <c r="G50" s="97"/>
      <c r="H50" s="97"/>
      <c r="I50" s="97"/>
      <c r="J50" s="97"/>
      <c r="K50" s="97">
        <v>36270</v>
      </c>
      <c r="L50" s="97">
        <f t="shared" si="4"/>
        <v>136000</v>
      </c>
      <c r="M50" s="97">
        <f t="shared" si="5"/>
        <v>136000</v>
      </c>
      <c r="N50" s="97">
        <f t="shared" si="6"/>
        <v>0</v>
      </c>
    </row>
    <row r="51" spans="2:14" x14ac:dyDescent="0.2">
      <c r="B51" s="171" t="s">
        <v>327</v>
      </c>
      <c r="C51" s="97">
        <v>348000</v>
      </c>
      <c r="D51" s="97"/>
      <c r="E51" s="97"/>
      <c r="F51" s="97">
        <v>254400</v>
      </c>
      <c r="G51" s="97"/>
      <c r="H51" s="97"/>
      <c r="I51" s="97"/>
      <c r="J51" s="97"/>
      <c r="K51" s="97">
        <v>93600</v>
      </c>
      <c r="L51" s="97">
        <f t="shared" si="4"/>
        <v>348000</v>
      </c>
      <c r="M51" s="97">
        <f t="shared" si="5"/>
        <v>348000</v>
      </c>
      <c r="N51" s="97">
        <f t="shared" si="6"/>
        <v>0</v>
      </c>
    </row>
    <row r="52" spans="2:14" x14ac:dyDescent="0.2">
      <c r="B52" s="171" t="s">
        <v>328</v>
      </c>
      <c r="C52" s="97">
        <v>1769000</v>
      </c>
      <c r="D52" s="97"/>
      <c r="E52" s="97"/>
      <c r="F52" s="97">
        <v>1769000</v>
      </c>
      <c r="G52" s="97"/>
      <c r="H52" s="97"/>
      <c r="I52" s="97"/>
      <c r="J52" s="97"/>
      <c r="K52" s="97"/>
      <c r="L52" s="97">
        <f t="shared" si="4"/>
        <v>1769000</v>
      </c>
      <c r="M52" s="97">
        <f t="shared" si="5"/>
        <v>1769000</v>
      </c>
      <c r="N52" s="97">
        <f t="shared" si="6"/>
        <v>0</v>
      </c>
    </row>
    <row r="53" spans="2:14" x14ac:dyDescent="0.2">
      <c r="B53" s="171" t="s">
        <v>329</v>
      </c>
      <c r="C53" s="97">
        <v>462000</v>
      </c>
      <c r="D53" s="97"/>
      <c r="E53" s="97"/>
      <c r="F53" s="97">
        <v>462000</v>
      </c>
      <c r="G53" s="97"/>
      <c r="H53" s="97"/>
      <c r="I53" s="97"/>
      <c r="J53" s="97"/>
      <c r="K53" s="97"/>
      <c r="L53" s="97">
        <f t="shared" si="4"/>
        <v>462000</v>
      </c>
      <c r="M53" s="97">
        <f t="shared" si="5"/>
        <v>462000</v>
      </c>
      <c r="N53" s="97">
        <f t="shared" si="6"/>
        <v>0</v>
      </c>
    </row>
    <row r="54" spans="2:14" x14ac:dyDescent="0.2">
      <c r="B54" s="171" t="s">
        <v>330</v>
      </c>
      <c r="C54" s="97">
        <v>97000</v>
      </c>
      <c r="D54" s="97"/>
      <c r="E54" s="97"/>
      <c r="F54" s="97">
        <v>97000</v>
      </c>
      <c r="G54" s="97"/>
      <c r="H54" s="97"/>
      <c r="I54" s="97"/>
      <c r="J54" s="97"/>
      <c r="K54" s="97"/>
      <c r="L54" s="97">
        <f t="shared" si="4"/>
        <v>97000</v>
      </c>
      <c r="M54" s="97">
        <f t="shared" si="5"/>
        <v>97000</v>
      </c>
      <c r="N54" s="97">
        <f t="shared" si="6"/>
        <v>0</v>
      </c>
    </row>
    <row r="55" spans="2:14" x14ac:dyDescent="0.2">
      <c r="B55" s="171" t="s">
        <v>323</v>
      </c>
      <c r="C55" s="97">
        <v>301000</v>
      </c>
      <c r="D55" s="97"/>
      <c r="E55" s="97"/>
      <c r="F55" s="97">
        <v>301000</v>
      </c>
      <c r="G55" s="97"/>
      <c r="H55" s="97"/>
      <c r="I55" s="97"/>
      <c r="J55" s="97"/>
      <c r="K55" s="97"/>
      <c r="L55" s="97">
        <f t="shared" si="4"/>
        <v>301000</v>
      </c>
      <c r="M55" s="97">
        <f t="shared" si="5"/>
        <v>301000</v>
      </c>
      <c r="N55" s="97">
        <f t="shared" si="6"/>
        <v>0</v>
      </c>
    </row>
    <row r="56" spans="2:14" x14ac:dyDescent="0.2">
      <c r="B56" s="171" t="s">
        <v>324</v>
      </c>
      <c r="C56" s="97">
        <v>585000</v>
      </c>
      <c r="D56" s="97"/>
      <c r="E56" s="97"/>
      <c r="F56" s="97">
        <v>585000</v>
      </c>
      <c r="G56" s="97"/>
      <c r="H56" s="97"/>
      <c r="I56" s="97"/>
      <c r="J56" s="97"/>
      <c r="K56" s="97"/>
      <c r="L56" s="97">
        <f t="shared" si="4"/>
        <v>585000</v>
      </c>
      <c r="M56" s="97">
        <f t="shared" si="5"/>
        <v>585000</v>
      </c>
      <c r="N56" s="97">
        <f t="shared" si="6"/>
        <v>0</v>
      </c>
    </row>
    <row r="57" spans="2:14" x14ac:dyDescent="0.2">
      <c r="B57" s="171" t="s">
        <v>325</v>
      </c>
      <c r="C57" s="97">
        <v>398000</v>
      </c>
      <c r="D57" s="97"/>
      <c r="E57" s="97"/>
      <c r="F57" s="97">
        <v>358160</v>
      </c>
      <c r="G57" s="97"/>
      <c r="H57" s="97"/>
      <c r="I57" s="97"/>
      <c r="J57" s="97"/>
      <c r="K57" s="97">
        <v>39840</v>
      </c>
      <c r="L57" s="97">
        <f t="shared" si="4"/>
        <v>398000</v>
      </c>
      <c r="M57" s="97">
        <f t="shared" si="5"/>
        <v>398000</v>
      </c>
      <c r="N57" s="97">
        <f t="shared" si="6"/>
        <v>0</v>
      </c>
    </row>
    <row r="58" spans="2:14" x14ac:dyDescent="0.2">
      <c r="B58" s="171" t="s">
        <v>321</v>
      </c>
      <c r="C58" s="97">
        <v>390000</v>
      </c>
      <c r="D58" s="97">
        <v>0</v>
      </c>
      <c r="E58" s="97">
        <v>0</v>
      </c>
      <c r="F58" s="97">
        <v>370500</v>
      </c>
      <c r="G58" s="97"/>
      <c r="H58" s="97"/>
      <c r="I58" s="97"/>
      <c r="J58" s="97"/>
      <c r="K58" s="97">
        <v>19500</v>
      </c>
      <c r="L58" s="97">
        <f t="shared" ref="L58:L76" si="7">SUM(E58:K58)</f>
        <v>390000</v>
      </c>
      <c r="M58" s="97">
        <f t="shared" ref="M58:M76" si="8">L58+D58</f>
        <v>390000</v>
      </c>
      <c r="N58" s="97">
        <f t="shared" ref="N58:N76" si="9">M58-C58</f>
        <v>0</v>
      </c>
    </row>
    <row r="59" spans="2:14" x14ac:dyDescent="0.2">
      <c r="B59" s="171" t="s">
        <v>322</v>
      </c>
      <c r="C59" s="97">
        <v>1173000</v>
      </c>
      <c r="D59" s="97"/>
      <c r="E59" s="97"/>
      <c r="F59" s="97">
        <v>1113060</v>
      </c>
      <c r="G59" s="97"/>
      <c r="H59" s="97"/>
      <c r="I59" s="97"/>
      <c r="J59" s="97"/>
      <c r="K59" s="97">
        <v>59940</v>
      </c>
      <c r="L59" s="97">
        <f t="shared" si="7"/>
        <v>1173000</v>
      </c>
      <c r="M59" s="97">
        <f t="shared" si="8"/>
        <v>1173000</v>
      </c>
      <c r="N59" s="97">
        <f t="shared" si="9"/>
        <v>0</v>
      </c>
    </row>
    <row r="60" spans="2:14" x14ac:dyDescent="0.2">
      <c r="B60" s="171" t="s">
        <v>363</v>
      </c>
      <c r="C60" s="97">
        <v>1053000</v>
      </c>
      <c r="D60" s="97"/>
      <c r="E60" s="97"/>
      <c r="F60" s="97"/>
      <c r="G60" s="97"/>
      <c r="H60" s="97">
        <v>1053000</v>
      </c>
      <c r="I60" s="97"/>
      <c r="J60" s="97"/>
      <c r="K60" s="97"/>
      <c r="L60" s="97">
        <f t="shared" si="7"/>
        <v>1053000</v>
      </c>
      <c r="M60" s="97">
        <f t="shared" si="8"/>
        <v>1053000</v>
      </c>
      <c r="N60" s="97">
        <f t="shared" si="9"/>
        <v>0</v>
      </c>
    </row>
    <row r="61" spans="2:14" x14ac:dyDescent="0.2">
      <c r="B61" s="171" t="s">
        <v>319</v>
      </c>
      <c r="C61" s="97">
        <v>373000</v>
      </c>
      <c r="D61" s="97">
        <v>0</v>
      </c>
      <c r="E61" s="97">
        <v>0</v>
      </c>
      <c r="F61" s="97">
        <v>354460</v>
      </c>
      <c r="G61" s="97"/>
      <c r="H61" s="97"/>
      <c r="I61" s="97"/>
      <c r="J61" s="97"/>
      <c r="K61" s="97">
        <v>18540</v>
      </c>
      <c r="L61" s="97">
        <f t="shared" si="7"/>
        <v>373000</v>
      </c>
      <c r="M61" s="97">
        <f t="shared" si="8"/>
        <v>373000</v>
      </c>
      <c r="N61" s="97">
        <f t="shared" si="9"/>
        <v>0</v>
      </c>
    </row>
    <row r="62" spans="2:14" x14ac:dyDescent="0.2">
      <c r="B62" s="171" t="s">
        <v>320</v>
      </c>
      <c r="C62" s="97">
        <v>1162000</v>
      </c>
      <c r="D62" s="97"/>
      <c r="E62" s="97"/>
      <c r="F62" s="97">
        <v>1102690</v>
      </c>
      <c r="G62" s="97"/>
      <c r="H62" s="97"/>
      <c r="I62" s="97"/>
      <c r="J62" s="97"/>
      <c r="K62" s="97">
        <v>59310</v>
      </c>
      <c r="L62" s="97">
        <f t="shared" si="7"/>
        <v>1162000</v>
      </c>
      <c r="M62" s="97">
        <f t="shared" si="8"/>
        <v>1162000</v>
      </c>
      <c r="N62" s="97">
        <f t="shared" si="9"/>
        <v>0</v>
      </c>
    </row>
    <row r="63" spans="2:14" x14ac:dyDescent="0.2">
      <c r="B63" s="171" t="s">
        <v>364</v>
      </c>
      <c r="C63" s="97">
        <v>1285000</v>
      </c>
      <c r="D63" s="97"/>
      <c r="E63" s="97"/>
      <c r="F63" s="97"/>
      <c r="G63" s="97"/>
      <c r="H63" s="97">
        <v>1285000</v>
      </c>
      <c r="I63" s="97"/>
      <c r="J63" s="97"/>
      <c r="K63" s="97"/>
      <c r="L63" s="97">
        <f t="shared" si="7"/>
        <v>1285000</v>
      </c>
      <c r="M63" s="97">
        <f t="shared" si="8"/>
        <v>1285000</v>
      </c>
      <c r="N63" s="97">
        <f t="shared" si="9"/>
        <v>0</v>
      </c>
    </row>
    <row r="64" spans="2:14" x14ac:dyDescent="0.2">
      <c r="B64" s="171" t="s">
        <v>361</v>
      </c>
      <c r="C64" s="97">
        <v>1253000</v>
      </c>
      <c r="D64" s="97"/>
      <c r="E64" s="97"/>
      <c r="F64" s="97"/>
      <c r="G64" s="97"/>
      <c r="H64" s="97">
        <v>1253000</v>
      </c>
      <c r="I64" s="97"/>
      <c r="J64" s="97"/>
      <c r="K64" s="97"/>
      <c r="L64" s="97">
        <f t="shared" si="7"/>
        <v>1253000</v>
      </c>
      <c r="M64" s="97">
        <f t="shared" si="8"/>
        <v>1253000</v>
      </c>
      <c r="N64" s="97">
        <f t="shared" si="9"/>
        <v>0</v>
      </c>
    </row>
    <row r="65" spans="2:14" x14ac:dyDescent="0.2">
      <c r="B65" s="171" t="s">
        <v>307</v>
      </c>
      <c r="C65" s="97">
        <v>1484000</v>
      </c>
      <c r="D65" s="97">
        <v>785000</v>
      </c>
      <c r="E65" s="97">
        <v>398430</v>
      </c>
      <c r="F65" s="97">
        <v>286590</v>
      </c>
      <c r="G65" s="97">
        <v>13980</v>
      </c>
      <c r="H65" s="97">
        <v>0</v>
      </c>
      <c r="I65" s="97">
        <v>0</v>
      </c>
      <c r="J65" s="97"/>
      <c r="K65" s="97">
        <v>0</v>
      </c>
      <c r="L65" s="97">
        <f t="shared" si="7"/>
        <v>699000</v>
      </c>
      <c r="M65" s="97">
        <f t="shared" si="8"/>
        <v>1484000</v>
      </c>
      <c r="N65" s="97">
        <f t="shared" si="9"/>
        <v>0</v>
      </c>
    </row>
    <row r="66" spans="2:14" x14ac:dyDescent="0.2">
      <c r="B66" s="171" t="s">
        <v>308</v>
      </c>
      <c r="C66" s="97">
        <v>768000</v>
      </c>
      <c r="D66" s="97">
        <v>405000</v>
      </c>
      <c r="E66" s="97">
        <v>206910</v>
      </c>
      <c r="F66" s="97">
        <v>148830</v>
      </c>
      <c r="G66" s="97">
        <v>7260</v>
      </c>
      <c r="H66" s="97"/>
      <c r="I66" s="97"/>
      <c r="J66" s="97"/>
      <c r="K66" s="97"/>
      <c r="L66" s="97">
        <f t="shared" si="7"/>
        <v>363000</v>
      </c>
      <c r="M66" s="97">
        <f t="shared" si="8"/>
        <v>768000</v>
      </c>
      <c r="N66" s="97">
        <f t="shared" si="9"/>
        <v>0</v>
      </c>
    </row>
    <row r="67" spans="2:14" x14ac:dyDescent="0.2">
      <c r="B67" s="171" t="s">
        <v>309</v>
      </c>
      <c r="C67" s="97">
        <v>592000</v>
      </c>
      <c r="D67" s="97">
        <v>525000</v>
      </c>
      <c r="E67" s="97">
        <v>64320</v>
      </c>
      <c r="F67" s="97">
        <v>0</v>
      </c>
      <c r="G67" s="97">
        <v>2680</v>
      </c>
      <c r="H67" s="97"/>
      <c r="I67" s="97"/>
      <c r="J67" s="97"/>
      <c r="K67" s="97"/>
      <c r="L67" s="97">
        <f t="shared" si="7"/>
        <v>67000</v>
      </c>
      <c r="M67" s="97">
        <f t="shared" si="8"/>
        <v>592000</v>
      </c>
      <c r="N67" s="97">
        <f t="shared" si="9"/>
        <v>0</v>
      </c>
    </row>
    <row r="68" spans="2:14" x14ac:dyDescent="0.2">
      <c r="B68" s="171" t="s">
        <v>310</v>
      </c>
      <c r="C68" s="97">
        <v>304000</v>
      </c>
      <c r="D68" s="97">
        <v>270000</v>
      </c>
      <c r="E68" s="97">
        <v>32640</v>
      </c>
      <c r="F68" s="97">
        <v>0</v>
      </c>
      <c r="G68" s="97">
        <v>1360</v>
      </c>
      <c r="H68" s="97"/>
      <c r="I68" s="97"/>
      <c r="J68" s="97"/>
      <c r="K68" s="97"/>
      <c r="L68" s="97">
        <f t="shared" si="7"/>
        <v>34000</v>
      </c>
      <c r="M68" s="97">
        <f t="shared" si="8"/>
        <v>304000</v>
      </c>
      <c r="N68" s="97">
        <f t="shared" si="9"/>
        <v>0</v>
      </c>
    </row>
    <row r="69" spans="2:14" x14ac:dyDescent="0.2">
      <c r="B69" s="171" t="s">
        <v>318</v>
      </c>
      <c r="C69" s="97">
        <v>290000</v>
      </c>
      <c r="D69" s="97">
        <v>85000</v>
      </c>
      <c r="E69" s="97">
        <v>0</v>
      </c>
      <c r="F69" s="97">
        <v>0</v>
      </c>
      <c r="G69" s="97">
        <v>205000</v>
      </c>
      <c r="H69" s="97"/>
      <c r="I69" s="97"/>
      <c r="J69" s="97"/>
      <c r="K69" s="97"/>
      <c r="L69" s="97">
        <f t="shared" si="7"/>
        <v>205000</v>
      </c>
      <c r="M69" s="97">
        <f t="shared" si="8"/>
        <v>290000</v>
      </c>
      <c r="N69" s="97">
        <f t="shared" si="9"/>
        <v>0</v>
      </c>
    </row>
    <row r="70" spans="2:14" x14ac:dyDescent="0.2">
      <c r="B70" s="171" t="s">
        <v>311</v>
      </c>
      <c r="C70" s="97">
        <v>305000</v>
      </c>
      <c r="D70" s="97">
        <v>280000</v>
      </c>
      <c r="E70" s="97">
        <v>25000</v>
      </c>
      <c r="F70" s="97"/>
      <c r="G70" s="97"/>
      <c r="H70" s="97"/>
      <c r="I70" s="97"/>
      <c r="J70" s="97"/>
      <c r="K70" s="97"/>
      <c r="L70" s="97">
        <f t="shared" si="7"/>
        <v>25000</v>
      </c>
      <c r="M70" s="97">
        <f t="shared" si="8"/>
        <v>305000</v>
      </c>
      <c r="N70" s="97">
        <f t="shared" si="9"/>
        <v>0</v>
      </c>
    </row>
    <row r="71" spans="2:14" x14ac:dyDescent="0.2">
      <c r="B71" s="171" t="s">
        <v>312</v>
      </c>
      <c r="C71" s="97">
        <v>295000</v>
      </c>
      <c r="D71" s="97">
        <v>270000</v>
      </c>
      <c r="E71" s="97">
        <v>25000</v>
      </c>
      <c r="F71" s="97"/>
      <c r="G71" s="97"/>
      <c r="H71" s="97"/>
      <c r="I71" s="97"/>
      <c r="J71" s="97"/>
      <c r="K71" s="97"/>
      <c r="L71" s="97">
        <f t="shared" si="7"/>
        <v>25000</v>
      </c>
      <c r="M71" s="97">
        <f t="shared" si="8"/>
        <v>295000</v>
      </c>
      <c r="N71" s="97">
        <f t="shared" si="9"/>
        <v>0</v>
      </c>
    </row>
    <row r="72" spans="2:14" x14ac:dyDescent="0.2">
      <c r="B72" s="171" t="s">
        <v>313</v>
      </c>
      <c r="C72" s="97">
        <v>420000</v>
      </c>
      <c r="D72" s="97">
        <v>380000</v>
      </c>
      <c r="E72" s="97">
        <v>40000</v>
      </c>
      <c r="F72" s="97"/>
      <c r="G72" s="97"/>
      <c r="H72" s="97"/>
      <c r="I72" s="97"/>
      <c r="J72" s="97"/>
      <c r="K72" s="97"/>
      <c r="L72" s="97">
        <f t="shared" si="7"/>
        <v>40000</v>
      </c>
      <c r="M72" s="97">
        <f t="shared" si="8"/>
        <v>420000</v>
      </c>
      <c r="N72" s="97">
        <f t="shared" si="9"/>
        <v>0</v>
      </c>
    </row>
    <row r="73" spans="2:14" x14ac:dyDescent="0.2">
      <c r="B73" s="171" t="s">
        <v>314</v>
      </c>
      <c r="C73" s="97">
        <v>326000</v>
      </c>
      <c r="D73" s="97">
        <v>295000</v>
      </c>
      <c r="E73" s="97">
        <v>31000</v>
      </c>
      <c r="F73" s="97"/>
      <c r="G73" s="97"/>
      <c r="H73" s="97"/>
      <c r="I73" s="97"/>
      <c r="J73" s="97"/>
      <c r="K73" s="97"/>
      <c r="L73" s="97">
        <f t="shared" si="7"/>
        <v>31000</v>
      </c>
      <c r="M73" s="97">
        <f t="shared" si="8"/>
        <v>326000</v>
      </c>
      <c r="N73" s="97">
        <f t="shared" si="9"/>
        <v>0</v>
      </c>
    </row>
    <row r="74" spans="2:14" x14ac:dyDescent="0.2">
      <c r="B74" s="171" t="s">
        <v>315</v>
      </c>
      <c r="C74" s="97">
        <v>354000</v>
      </c>
      <c r="D74" s="97">
        <v>320000</v>
      </c>
      <c r="E74" s="97">
        <v>34000</v>
      </c>
      <c r="F74" s="97"/>
      <c r="G74" s="97"/>
      <c r="H74" s="97"/>
      <c r="I74" s="97"/>
      <c r="J74" s="97"/>
      <c r="K74" s="97"/>
      <c r="L74" s="97">
        <f t="shared" si="7"/>
        <v>34000</v>
      </c>
      <c r="M74" s="97">
        <f t="shared" si="8"/>
        <v>354000</v>
      </c>
      <c r="N74" s="97">
        <f t="shared" si="9"/>
        <v>0</v>
      </c>
    </row>
    <row r="75" spans="2:14" x14ac:dyDescent="0.2">
      <c r="B75" s="171" t="s">
        <v>316</v>
      </c>
      <c r="C75" s="97">
        <v>353000</v>
      </c>
      <c r="D75" s="97">
        <v>320000</v>
      </c>
      <c r="E75" s="97">
        <v>33000</v>
      </c>
      <c r="F75" s="97"/>
      <c r="G75" s="97"/>
      <c r="H75" s="97"/>
      <c r="I75" s="97"/>
      <c r="J75" s="97"/>
      <c r="K75" s="97"/>
      <c r="L75" s="97">
        <f t="shared" si="7"/>
        <v>33000</v>
      </c>
      <c r="M75" s="97">
        <f t="shared" si="8"/>
        <v>353000</v>
      </c>
      <c r="N75" s="97">
        <f t="shared" si="9"/>
        <v>0</v>
      </c>
    </row>
    <row r="76" spans="2:14" x14ac:dyDescent="0.2">
      <c r="B76" s="171" t="s">
        <v>362</v>
      </c>
      <c r="C76" s="97">
        <v>1009000</v>
      </c>
      <c r="D76" s="97"/>
      <c r="E76" s="97"/>
      <c r="F76" s="97"/>
      <c r="G76" s="97"/>
      <c r="H76" s="97">
        <v>1009000</v>
      </c>
      <c r="I76" s="97"/>
      <c r="J76" s="97"/>
      <c r="K76" s="97"/>
      <c r="L76" s="97">
        <f t="shared" si="7"/>
        <v>1009000</v>
      </c>
      <c r="M76" s="97">
        <f t="shared" si="8"/>
        <v>1009000</v>
      </c>
      <c r="N76" s="97">
        <f t="shared" si="9"/>
        <v>0</v>
      </c>
    </row>
    <row r="77" spans="2:14" x14ac:dyDescent="0.2">
      <c r="B77" s="171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</row>
    <row r="78" spans="2:14" x14ac:dyDescent="0.2">
      <c r="B78" s="171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</row>
    <row r="79" spans="2:14" x14ac:dyDescent="0.2">
      <c r="B79" s="171" t="s">
        <v>410</v>
      </c>
      <c r="C79" s="97">
        <f>SUM(C25:C78)</f>
        <v>41532000</v>
      </c>
      <c r="D79" s="97">
        <f t="shared" ref="D79:N79" si="10">SUM(D25:D78)</f>
        <v>5970000</v>
      </c>
      <c r="E79" s="97">
        <f t="shared" si="10"/>
        <v>1740484</v>
      </c>
      <c r="F79" s="97">
        <f t="shared" si="10"/>
        <v>12574496</v>
      </c>
      <c r="G79" s="97">
        <f t="shared" si="10"/>
        <v>260610</v>
      </c>
      <c r="H79" s="97">
        <f t="shared" si="10"/>
        <v>18278609</v>
      </c>
      <c r="I79" s="97">
        <f t="shared" si="10"/>
        <v>1428264</v>
      </c>
      <c r="J79" s="97">
        <f t="shared" si="10"/>
        <v>219307</v>
      </c>
      <c r="K79" s="97">
        <f t="shared" si="10"/>
        <v>1060230</v>
      </c>
      <c r="L79" s="97">
        <f t="shared" si="10"/>
        <v>35562000</v>
      </c>
      <c r="M79" s="97">
        <f t="shared" si="10"/>
        <v>41532000</v>
      </c>
      <c r="N79" s="97">
        <f t="shared" si="10"/>
        <v>0</v>
      </c>
    </row>
    <row r="80" spans="2:14" x14ac:dyDescent="0.2">
      <c r="B80" s="171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</row>
    <row r="81" spans="1:14" x14ac:dyDescent="0.2">
      <c r="A81" s="7" t="s">
        <v>411</v>
      </c>
      <c r="B81" s="171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</row>
    <row r="82" spans="1:14" x14ac:dyDescent="0.2">
      <c r="B82" s="171" t="s">
        <v>365</v>
      </c>
      <c r="C82" s="97">
        <v>755000</v>
      </c>
      <c r="D82" s="97"/>
      <c r="E82" s="97"/>
      <c r="F82" s="97"/>
      <c r="G82" s="97"/>
      <c r="H82" s="97">
        <v>755000</v>
      </c>
      <c r="I82" s="97"/>
      <c r="J82" s="97"/>
      <c r="K82" s="97"/>
      <c r="L82" s="97">
        <f t="shared" ref="L82:L92" si="11">SUM(E82:K82)</f>
        <v>755000</v>
      </c>
      <c r="M82" s="97">
        <f t="shared" ref="M82:M92" si="12">L82+D82</f>
        <v>755000</v>
      </c>
      <c r="N82" s="97">
        <f t="shared" ref="N82:N92" si="13">M82-C82</f>
        <v>0</v>
      </c>
    </row>
    <row r="83" spans="1:14" x14ac:dyDescent="0.2">
      <c r="B83" s="171" t="s">
        <v>345</v>
      </c>
      <c r="C83" s="97">
        <v>1110000</v>
      </c>
      <c r="D83" s="97"/>
      <c r="E83" s="97"/>
      <c r="F83" s="97"/>
      <c r="G83" s="97"/>
      <c r="H83" s="97">
        <v>1110000</v>
      </c>
      <c r="I83" s="97"/>
      <c r="J83" s="97"/>
      <c r="K83" s="97"/>
      <c r="L83" s="97">
        <f t="shared" si="11"/>
        <v>1110000</v>
      </c>
      <c r="M83" s="97">
        <f t="shared" si="12"/>
        <v>1110000</v>
      </c>
      <c r="N83" s="97">
        <f t="shared" si="13"/>
        <v>0</v>
      </c>
    </row>
    <row r="84" spans="1:14" x14ac:dyDescent="0.2">
      <c r="B84" s="171" t="s">
        <v>360</v>
      </c>
      <c r="C84" s="97">
        <v>755000</v>
      </c>
      <c r="D84" s="97"/>
      <c r="E84" s="97"/>
      <c r="F84" s="97"/>
      <c r="G84" s="97"/>
      <c r="H84" s="97">
        <v>755000</v>
      </c>
      <c r="I84" s="97"/>
      <c r="J84" s="97"/>
      <c r="K84" s="97"/>
      <c r="L84" s="97">
        <f t="shared" si="11"/>
        <v>755000</v>
      </c>
      <c r="M84" s="97">
        <f t="shared" si="12"/>
        <v>755000</v>
      </c>
      <c r="N84" s="97">
        <f t="shared" si="13"/>
        <v>0</v>
      </c>
    </row>
    <row r="85" spans="1:14" x14ac:dyDescent="0.2">
      <c r="B85" s="171" t="s">
        <v>331</v>
      </c>
      <c r="C85" s="97">
        <v>755000</v>
      </c>
      <c r="D85" s="97"/>
      <c r="E85" s="97"/>
      <c r="F85" s="97">
        <v>755000</v>
      </c>
      <c r="G85" s="97"/>
      <c r="H85" s="97"/>
      <c r="I85" s="97"/>
      <c r="J85" s="97"/>
      <c r="K85" s="97"/>
      <c r="L85" s="97">
        <f t="shared" si="11"/>
        <v>755000</v>
      </c>
      <c r="M85" s="97">
        <f t="shared" si="12"/>
        <v>755000</v>
      </c>
      <c r="N85" s="97">
        <f t="shared" si="13"/>
        <v>0</v>
      </c>
    </row>
    <row r="86" spans="1:14" x14ac:dyDescent="0.2">
      <c r="B86" s="171" t="s">
        <v>375</v>
      </c>
      <c r="C86" s="97">
        <v>755000</v>
      </c>
      <c r="D86" s="97"/>
      <c r="E86" s="97"/>
      <c r="F86" s="97"/>
      <c r="G86" s="97"/>
      <c r="H86" s="97"/>
      <c r="I86" s="97">
        <v>536000</v>
      </c>
      <c r="J86" s="97">
        <v>219000</v>
      </c>
      <c r="K86" s="97"/>
      <c r="L86" s="97">
        <f t="shared" si="11"/>
        <v>755000</v>
      </c>
      <c r="M86" s="97">
        <f t="shared" si="12"/>
        <v>755000</v>
      </c>
      <c r="N86" s="97">
        <f t="shared" si="13"/>
        <v>0</v>
      </c>
    </row>
    <row r="87" spans="1:14" x14ac:dyDescent="0.2">
      <c r="B87" s="171" t="s">
        <v>354</v>
      </c>
      <c r="C87" s="97">
        <v>755000</v>
      </c>
      <c r="D87" s="97"/>
      <c r="E87" s="97"/>
      <c r="F87" s="97"/>
      <c r="G87" s="97"/>
      <c r="H87" s="97">
        <v>755000</v>
      </c>
      <c r="I87" s="97"/>
      <c r="J87" s="97"/>
      <c r="K87" s="97"/>
      <c r="L87" s="97">
        <f t="shared" si="11"/>
        <v>755000</v>
      </c>
      <c r="M87" s="97">
        <f t="shared" si="12"/>
        <v>755000</v>
      </c>
      <c r="N87" s="97">
        <f t="shared" si="13"/>
        <v>0</v>
      </c>
    </row>
    <row r="88" spans="1:14" x14ac:dyDescent="0.2">
      <c r="B88" s="171" t="s">
        <v>350</v>
      </c>
      <c r="C88" s="97">
        <v>755000</v>
      </c>
      <c r="D88" s="97"/>
      <c r="E88" s="97"/>
      <c r="F88" s="97"/>
      <c r="G88" s="97"/>
      <c r="H88" s="97">
        <v>755000</v>
      </c>
      <c r="I88" s="97"/>
      <c r="J88" s="97"/>
      <c r="K88" s="97"/>
      <c r="L88" s="97">
        <f t="shared" si="11"/>
        <v>755000</v>
      </c>
      <c r="M88" s="97">
        <f t="shared" si="12"/>
        <v>755000</v>
      </c>
      <c r="N88" s="97">
        <f t="shared" si="13"/>
        <v>0</v>
      </c>
    </row>
    <row r="89" spans="1:14" x14ac:dyDescent="0.2">
      <c r="B89" s="171" t="s">
        <v>344</v>
      </c>
      <c r="C89" s="97">
        <v>755000</v>
      </c>
      <c r="D89" s="97"/>
      <c r="E89" s="97"/>
      <c r="F89" s="97">
        <v>755000</v>
      </c>
      <c r="G89" s="97"/>
      <c r="H89" s="97"/>
      <c r="I89" s="97"/>
      <c r="J89" s="97"/>
      <c r="K89" s="97"/>
      <c r="L89" s="97">
        <f t="shared" si="11"/>
        <v>755000</v>
      </c>
      <c r="M89" s="97">
        <f t="shared" si="12"/>
        <v>755000</v>
      </c>
      <c r="N89" s="97">
        <f t="shared" si="13"/>
        <v>0</v>
      </c>
    </row>
    <row r="90" spans="1:14" x14ac:dyDescent="0.2">
      <c r="B90" s="171" t="s">
        <v>372</v>
      </c>
      <c r="C90" s="97">
        <v>100000</v>
      </c>
      <c r="D90" s="97"/>
      <c r="E90" s="97"/>
      <c r="F90" s="97"/>
      <c r="G90" s="97"/>
      <c r="H90" s="97">
        <v>100000</v>
      </c>
      <c r="I90" s="97"/>
      <c r="J90" s="97"/>
      <c r="K90" s="97"/>
      <c r="L90" s="97">
        <f t="shared" si="11"/>
        <v>100000</v>
      </c>
      <c r="M90" s="97">
        <f t="shared" si="12"/>
        <v>100000</v>
      </c>
      <c r="N90" s="97">
        <f t="shared" si="13"/>
        <v>0</v>
      </c>
    </row>
    <row r="91" spans="1:14" x14ac:dyDescent="0.2">
      <c r="B91" s="171" t="s">
        <v>373</v>
      </c>
      <c r="C91" s="97">
        <v>100000</v>
      </c>
      <c r="D91" s="97"/>
      <c r="E91" s="97"/>
      <c r="F91" s="97"/>
      <c r="G91" s="97"/>
      <c r="H91" s="97">
        <v>100000</v>
      </c>
      <c r="I91" s="97"/>
      <c r="J91" s="97"/>
      <c r="K91" s="97"/>
      <c r="L91" s="97">
        <f t="shared" si="11"/>
        <v>100000</v>
      </c>
      <c r="M91" s="97">
        <f t="shared" si="12"/>
        <v>100000</v>
      </c>
      <c r="N91" s="97">
        <f t="shared" si="13"/>
        <v>0</v>
      </c>
    </row>
    <row r="92" spans="1:14" x14ac:dyDescent="0.2">
      <c r="B92" s="171" t="s">
        <v>371</v>
      </c>
      <c r="C92" s="97">
        <v>100000</v>
      </c>
      <c r="D92" s="97"/>
      <c r="E92" s="97"/>
      <c r="F92" s="97"/>
      <c r="G92" s="97"/>
      <c r="H92" s="97">
        <v>100000</v>
      </c>
      <c r="I92" s="97"/>
      <c r="J92" s="97"/>
      <c r="K92" s="97"/>
      <c r="L92" s="97">
        <f t="shared" si="11"/>
        <v>100000</v>
      </c>
      <c r="M92" s="97">
        <f t="shared" si="12"/>
        <v>100000</v>
      </c>
      <c r="N92" s="97">
        <f t="shared" si="13"/>
        <v>0</v>
      </c>
    </row>
    <row r="93" spans="1:14" x14ac:dyDescent="0.2">
      <c r="B93" s="171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</row>
    <row r="94" spans="1:14" x14ac:dyDescent="0.2">
      <c r="B94" s="171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</row>
    <row r="95" spans="1:14" x14ac:dyDescent="0.2">
      <c r="B95" s="171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</row>
    <row r="96" spans="1:14" x14ac:dyDescent="0.2">
      <c r="B96" s="171" t="s">
        <v>413</v>
      </c>
      <c r="C96" s="97">
        <f t="shared" ref="C96:N96" si="14">SUM(C81:C95)</f>
        <v>6695000</v>
      </c>
      <c r="D96" s="97">
        <f t="shared" si="14"/>
        <v>0</v>
      </c>
      <c r="E96" s="97">
        <f t="shared" si="14"/>
        <v>0</v>
      </c>
      <c r="F96" s="97">
        <f t="shared" si="14"/>
        <v>1510000</v>
      </c>
      <c r="G96" s="97">
        <f t="shared" si="14"/>
        <v>0</v>
      </c>
      <c r="H96" s="97">
        <f t="shared" si="14"/>
        <v>4430000</v>
      </c>
      <c r="I96" s="97">
        <f t="shared" si="14"/>
        <v>536000</v>
      </c>
      <c r="J96" s="97">
        <f t="shared" si="14"/>
        <v>219000</v>
      </c>
      <c r="K96" s="97">
        <f t="shared" si="14"/>
        <v>0</v>
      </c>
      <c r="L96" s="97">
        <f t="shared" si="14"/>
        <v>6695000</v>
      </c>
      <c r="M96" s="97">
        <f t="shared" si="14"/>
        <v>6695000</v>
      </c>
      <c r="N96" s="97">
        <f t="shared" si="14"/>
        <v>0</v>
      </c>
    </row>
    <row r="97" spans="1:14" x14ac:dyDescent="0.2"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</row>
    <row r="98" spans="1:14" x14ac:dyDescent="0.2"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</row>
    <row r="99" spans="1:14" x14ac:dyDescent="0.2">
      <c r="A99" s="7" t="s">
        <v>412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</row>
    <row r="100" spans="1:14" x14ac:dyDescent="0.2">
      <c r="B100" s="171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</row>
    <row r="101" spans="1:14" x14ac:dyDescent="0.2">
      <c r="B101" s="171"/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</row>
    <row r="102" spans="1:14" x14ac:dyDescent="0.2">
      <c r="B102" s="171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</row>
    <row r="103" spans="1:14" x14ac:dyDescent="0.2">
      <c r="B103" s="171" t="s">
        <v>414</v>
      </c>
      <c r="C103" s="97">
        <f t="shared" ref="C103:N103" si="15">SUM(C99:C102)</f>
        <v>0</v>
      </c>
      <c r="D103" s="97">
        <f t="shared" si="15"/>
        <v>0</v>
      </c>
      <c r="E103" s="97">
        <f t="shared" si="15"/>
        <v>0</v>
      </c>
      <c r="F103" s="97">
        <f t="shared" si="15"/>
        <v>0</v>
      </c>
      <c r="G103" s="97">
        <f t="shared" si="15"/>
        <v>0</v>
      </c>
      <c r="H103" s="97">
        <f t="shared" si="15"/>
        <v>0</v>
      </c>
      <c r="I103" s="97">
        <f t="shared" si="15"/>
        <v>0</v>
      </c>
      <c r="J103" s="97">
        <f t="shared" si="15"/>
        <v>0</v>
      </c>
      <c r="K103" s="97">
        <f t="shared" si="15"/>
        <v>0</v>
      </c>
      <c r="L103" s="97">
        <f t="shared" si="15"/>
        <v>0</v>
      </c>
      <c r="M103" s="97">
        <f t="shared" si="15"/>
        <v>0</v>
      </c>
      <c r="N103" s="97">
        <f t="shared" si="15"/>
        <v>0</v>
      </c>
    </row>
    <row r="104" spans="1:14" x14ac:dyDescent="0.2"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</row>
    <row r="105" spans="1:14" ht="13.5" thickBot="1" x14ac:dyDescent="0.25"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</row>
    <row r="106" spans="1:14" x14ac:dyDescent="0.2">
      <c r="C106" s="97"/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</row>
    <row r="107" spans="1:14" x14ac:dyDescent="0.2">
      <c r="A107" s="7" t="s">
        <v>376</v>
      </c>
      <c r="C107" s="251">
        <f t="shared" ref="C107:N107" si="16">C103+C96+C79+C23</f>
        <v>51904000</v>
      </c>
      <c r="D107" s="251">
        <f t="shared" si="16"/>
        <v>5970000</v>
      </c>
      <c r="E107" s="251">
        <f t="shared" si="16"/>
        <v>1740484</v>
      </c>
      <c r="F107" s="251">
        <f t="shared" si="16"/>
        <v>14279496</v>
      </c>
      <c r="G107" s="251">
        <f t="shared" si="16"/>
        <v>260610</v>
      </c>
      <c r="H107" s="251">
        <f t="shared" si="16"/>
        <v>26048459</v>
      </c>
      <c r="I107" s="251">
        <f t="shared" si="16"/>
        <v>1964264</v>
      </c>
      <c r="J107" s="251">
        <f t="shared" si="16"/>
        <v>438307</v>
      </c>
      <c r="K107" s="251">
        <f t="shared" si="16"/>
        <v>1202380</v>
      </c>
      <c r="L107" s="251">
        <f t="shared" si="16"/>
        <v>45934000</v>
      </c>
      <c r="M107" s="251">
        <f t="shared" si="16"/>
        <v>51904000</v>
      </c>
      <c r="N107" s="251">
        <f t="shared" si="16"/>
        <v>0</v>
      </c>
    </row>
    <row r="108" spans="1:14" x14ac:dyDescent="0.2"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</row>
    <row r="109" spans="1:14" x14ac:dyDescent="0.2"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1:14" x14ac:dyDescent="0.2"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</row>
    <row r="111" spans="1:14" x14ac:dyDescent="0.2">
      <c r="A111" s="7" t="s">
        <v>377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1:14" x14ac:dyDescent="0.2"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2:14" x14ac:dyDescent="0.2">
      <c r="B113" s="171" t="s">
        <v>378</v>
      </c>
      <c r="C113" s="97">
        <v>7245000</v>
      </c>
      <c r="D113" s="97"/>
      <c r="E113" s="97"/>
      <c r="F113" s="97"/>
      <c r="G113" s="97"/>
      <c r="H113" s="97">
        <v>7245000</v>
      </c>
      <c r="I113" s="97"/>
      <c r="J113" s="97"/>
      <c r="K113" s="97"/>
      <c r="L113" s="97">
        <f t="shared" ref="L113" si="17">SUM(E113:K113)</f>
        <v>7245000</v>
      </c>
      <c r="M113" s="97">
        <f t="shared" ref="M113" si="18">L113+D113</f>
        <v>7245000</v>
      </c>
      <c r="N113" s="97">
        <f t="shared" ref="N113" si="19">M113-C113</f>
        <v>0</v>
      </c>
    </row>
    <row r="114" spans="2:14" x14ac:dyDescent="0.2">
      <c r="B114" s="171" t="s">
        <v>379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2:14" x14ac:dyDescent="0.2">
      <c r="B115" s="171" t="s">
        <v>380</v>
      </c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2:14" x14ac:dyDescent="0.2"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</row>
    <row r="117" spans="2:14" x14ac:dyDescent="0.2"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2:14" x14ac:dyDescent="0.2">
      <c r="B118" s="171" t="s">
        <v>381</v>
      </c>
      <c r="C118" s="97">
        <v>416000</v>
      </c>
      <c r="D118" s="97"/>
      <c r="E118" s="97"/>
      <c r="F118" s="97"/>
      <c r="G118" s="97"/>
      <c r="H118" s="97">
        <f>C118</f>
        <v>416000</v>
      </c>
      <c r="I118" s="97"/>
      <c r="J118" s="97"/>
      <c r="K118" s="97"/>
      <c r="L118" s="97">
        <f t="shared" ref="L118" si="20">SUM(E118:K118)</f>
        <v>416000</v>
      </c>
      <c r="M118" s="97">
        <f t="shared" ref="M118" si="21">L118+D118</f>
        <v>416000</v>
      </c>
      <c r="N118" s="97">
        <f t="shared" ref="N118" si="22">M118-C118</f>
        <v>0</v>
      </c>
    </row>
    <row r="119" spans="2:14" x14ac:dyDescent="0.2">
      <c r="B119" s="171" t="s">
        <v>382</v>
      </c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2:14" x14ac:dyDescent="0.2">
      <c r="B120" s="171" t="s">
        <v>383</v>
      </c>
      <c r="C120" s="97"/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</row>
    <row r="121" spans="2:14" x14ac:dyDescent="0.2"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</row>
    <row r="122" spans="2:14" x14ac:dyDescent="0.2"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</row>
    <row r="123" spans="2:14" x14ac:dyDescent="0.2">
      <c r="B123" s="171" t="s">
        <v>384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</row>
    <row r="124" spans="2:14" x14ac:dyDescent="0.2">
      <c r="B124" s="171" t="s">
        <v>385</v>
      </c>
      <c r="C124" s="252">
        <f>C107+C113</f>
        <v>59149000</v>
      </c>
      <c r="D124" s="253">
        <f t="shared" ref="D124:N124" si="23">D107+D113</f>
        <v>5970000</v>
      </c>
      <c r="E124" s="253">
        <f t="shared" si="23"/>
        <v>1740484</v>
      </c>
      <c r="F124" s="253">
        <f t="shared" si="23"/>
        <v>14279496</v>
      </c>
      <c r="G124" s="253">
        <f t="shared" si="23"/>
        <v>260610</v>
      </c>
      <c r="H124" s="253">
        <f t="shared" si="23"/>
        <v>33293459</v>
      </c>
      <c r="I124" s="253">
        <f t="shared" si="23"/>
        <v>1964264</v>
      </c>
      <c r="J124" s="253">
        <f t="shared" si="23"/>
        <v>438307</v>
      </c>
      <c r="K124" s="253">
        <f t="shared" si="23"/>
        <v>1202380</v>
      </c>
      <c r="L124" s="253">
        <f t="shared" ref="L124" si="24">L107+L113</f>
        <v>53179000</v>
      </c>
      <c r="M124" s="253">
        <f t="shared" si="23"/>
        <v>59149000</v>
      </c>
      <c r="N124" s="254">
        <f t="shared" si="23"/>
        <v>0</v>
      </c>
    </row>
    <row r="125" spans="2:14" x14ac:dyDescent="0.2">
      <c r="B125" s="171" t="s">
        <v>386</v>
      </c>
      <c r="C125" s="97">
        <f>C107+C118</f>
        <v>52320000</v>
      </c>
      <c r="D125" s="97">
        <f t="shared" ref="D125:N125" si="25">D107+D118</f>
        <v>5970000</v>
      </c>
      <c r="E125" s="97">
        <f t="shared" si="25"/>
        <v>1740484</v>
      </c>
      <c r="F125" s="97">
        <f t="shared" si="25"/>
        <v>14279496</v>
      </c>
      <c r="G125" s="97">
        <f t="shared" si="25"/>
        <v>260610</v>
      </c>
      <c r="H125" s="97">
        <f t="shared" si="25"/>
        <v>26464459</v>
      </c>
      <c r="I125" s="97">
        <f t="shared" si="25"/>
        <v>1964264</v>
      </c>
      <c r="J125" s="97">
        <f t="shared" si="25"/>
        <v>438307</v>
      </c>
      <c r="K125" s="97">
        <f t="shared" si="25"/>
        <v>1202380</v>
      </c>
      <c r="L125" s="97">
        <f t="shared" ref="L125" si="26">L107+L118</f>
        <v>46350000</v>
      </c>
      <c r="M125" s="97">
        <f t="shared" si="25"/>
        <v>52320000</v>
      </c>
      <c r="N125" s="97">
        <f t="shared" si="25"/>
        <v>0</v>
      </c>
    </row>
    <row r="126" spans="2:14" x14ac:dyDescent="0.2">
      <c r="C126" s="97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</row>
    <row r="131" spans="2:2" x14ac:dyDescent="0.2">
      <c r="B131" s="171" t="s">
        <v>396</v>
      </c>
    </row>
  </sheetData>
  <sortState ref="A11:XFD79">
    <sortCondition ref="B11:B79"/>
  </sortState>
  <pageMargins left="0.25" right="0.25" top="0.75" bottom="0.75" header="0.3" footer="0.3"/>
  <pageSetup scale="52" fitToHeight="2" orientation="landscape" r:id="rId1"/>
  <headerFooter>
    <oddFooter>&amp;L&amp;Z&amp;F&amp;CPage &amp;P of &amp;N&amp;R&amp;T&amp;D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2.75" x14ac:dyDescent="0.2"/>
  <cols>
    <col min="1" max="1" width="2.140625" customWidth="1"/>
    <col min="2" max="2" width="3.28515625" customWidth="1"/>
    <col min="3" max="3" width="42.140625" customWidth="1"/>
    <col min="4" max="4" width="5.5703125" customWidth="1"/>
    <col min="5" max="5" width="15.7109375" bestFit="1" customWidth="1"/>
    <col min="6" max="6" width="16.140625" bestFit="1" customWidth="1"/>
    <col min="12" max="12" width="30" customWidth="1"/>
    <col min="13" max="13" width="14.5703125" customWidth="1"/>
    <col min="14" max="14" width="15.28515625" customWidth="1"/>
  </cols>
  <sheetData>
    <row r="1" spans="1:6" x14ac:dyDescent="0.2">
      <c r="A1" s="7" t="s">
        <v>77</v>
      </c>
      <c r="F1" s="1" t="str">
        <f>Assumptions!$B$12</f>
        <v>Internal</v>
      </c>
    </row>
    <row r="2" spans="1:6" x14ac:dyDescent="0.2">
      <c r="A2" s="7" t="str">
        <f>Assumptions!$B$10</f>
        <v>City of Manteca</v>
      </c>
      <c r="F2" s="2" t="str">
        <f>Assumptions!$B$13</f>
        <v>Working Draft - v4</v>
      </c>
    </row>
    <row r="3" spans="1:6" x14ac:dyDescent="0.2">
      <c r="A3" s="7" t="str">
        <f>Assumptions!$B$18</f>
        <v>PFF Sewer Collection Fee</v>
      </c>
      <c r="F3" s="3">
        <f>Assumptions!$B$14</f>
        <v>41113</v>
      </c>
    </row>
    <row r="4" spans="1:6" x14ac:dyDescent="0.2">
      <c r="A4" s="7" t="s">
        <v>83</v>
      </c>
    </row>
    <row r="8" spans="1:6" x14ac:dyDescent="0.2">
      <c r="A8" s="8"/>
      <c r="B8" s="8"/>
      <c r="C8" s="8"/>
      <c r="D8" s="8"/>
      <c r="E8" s="329" t="s">
        <v>14</v>
      </c>
      <c r="F8" s="329"/>
    </row>
    <row r="9" spans="1:6" x14ac:dyDescent="0.2">
      <c r="A9" s="9"/>
      <c r="B9" s="9"/>
      <c r="C9" s="9"/>
      <c r="D9" s="9"/>
      <c r="E9" s="9" t="s">
        <v>15</v>
      </c>
      <c r="F9" s="10" t="s">
        <v>16</v>
      </c>
    </row>
    <row r="10" spans="1:6" x14ac:dyDescent="0.2">
      <c r="A10" s="48"/>
      <c r="B10" s="48"/>
      <c r="C10" s="48"/>
      <c r="D10" s="48"/>
      <c r="E10" s="48"/>
      <c r="F10" s="49"/>
    </row>
    <row r="11" spans="1:6" x14ac:dyDescent="0.2">
      <c r="A11" s="7" t="s">
        <v>81</v>
      </c>
      <c r="B11" s="11"/>
      <c r="C11" s="11"/>
      <c r="D11" s="11"/>
      <c r="E11" s="11"/>
      <c r="F11" s="12"/>
    </row>
    <row r="12" spans="1:6" x14ac:dyDescent="0.2">
      <c r="A12" s="7"/>
      <c r="B12" s="11" t="s">
        <v>17</v>
      </c>
      <c r="C12" s="11"/>
      <c r="D12" s="11"/>
      <c r="E12" s="11"/>
      <c r="F12" s="13"/>
    </row>
    <row r="13" spans="1:6" x14ac:dyDescent="0.2">
      <c r="A13" s="7"/>
      <c r="B13" s="11"/>
      <c r="C13" s="11" t="s">
        <v>18</v>
      </c>
      <c r="D13" s="11"/>
      <c r="E13" s="14">
        <f>'Fund Alloc'!D18</f>
        <v>4766282.7501152651</v>
      </c>
    </row>
    <row r="14" spans="1:6" x14ac:dyDescent="0.2">
      <c r="A14" s="7"/>
      <c r="B14" s="11"/>
      <c r="C14" s="11" t="s">
        <v>19</v>
      </c>
      <c r="D14" s="11"/>
      <c r="E14" s="11"/>
      <c r="F14" s="14">
        <v>1128000</v>
      </c>
    </row>
    <row r="15" spans="1:6" x14ac:dyDescent="0.2">
      <c r="A15" s="7"/>
      <c r="B15" s="11"/>
      <c r="C15" s="11" t="s">
        <v>20</v>
      </c>
      <c r="D15" s="11"/>
      <c r="E15" s="11"/>
      <c r="F15" s="14">
        <v>1192800</v>
      </c>
    </row>
    <row r="16" spans="1:6" x14ac:dyDescent="0.2">
      <c r="A16" s="7"/>
      <c r="B16" s="11"/>
      <c r="C16" s="11" t="s">
        <v>21</v>
      </c>
      <c r="D16" s="11"/>
      <c r="E16" s="11"/>
      <c r="F16" s="14">
        <v>1128000</v>
      </c>
    </row>
    <row r="17" spans="1:6" x14ac:dyDescent="0.2">
      <c r="A17" s="7"/>
      <c r="B17" s="11"/>
      <c r="C17" s="11" t="s">
        <v>22</v>
      </c>
      <c r="D17" s="11"/>
      <c r="E17" s="11"/>
      <c r="F17" s="14">
        <v>2975106</v>
      </c>
    </row>
    <row r="18" spans="1:6" x14ac:dyDescent="0.2">
      <c r="A18" s="7"/>
      <c r="B18" s="11"/>
      <c r="C18" s="11"/>
      <c r="D18" s="11"/>
      <c r="E18" s="11"/>
      <c r="F18" s="14"/>
    </row>
    <row r="19" spans="1:6" x14ac:dyDescent="0.2">
      <c r="A19" s="7"/>
      <c r="B19" s="11" t="s">
        <v>23</v>
      </c>
      <c r="C19" s="11"/>
      <c r="D19" s="11"/>
      <c r="E19" s="11"/>
      <c r="F19" s="14"/>
    </row>
    <row r="20" spans="1:6" x14ac:dyDescent="0.2">
      <c r="A20" s="7"/>
      <c r="B20" s="11"/>
      <c r="C20" s="11" t="s">
        <v>24</v>
      </c>
      <c r="D20" s="11"/>
      <c r="E20" s="11"/>
      <c r="F20" s="14">
        <v>369600</v>
      </c>
    </row>
    <row r="21" spans="1:6" x14ac:dyDescent="0.2">
      <c r="A21" s="7"/>
      <c r="B21" s="11"/>
      <c r="C21" s="11" t="s">
        <v>25</v>
      </c>
      <c r="D21" s="11"/>
      <c r="E21" s="11"/>
      <c r="F21" s="14">
        <v>385000</v>
      </c>
    </row>
    <row r="22" spans="1:6" x14ac:dyDescent="0.2">
      <c r="A22" s="7"/>
      <c r="B22" s="11"/>
      <c r="C22" s="11" t="s">
        <v>26</v>
      </c>
      <c r="D22" s="11"/>
      <c r="E22" s="11"/>
      <c r="F22" s="14">
        <v>185500</v>
      </c>
    </row>
    <row r="23" spans="1:6" x14ac:dyDescent="0.2">
      <c r="A23" s="7"/>
      <c r="B23" s="11"/>
      <c r="C23" s="11" t="s">
        <v>27</v>
      </c>
      <c r="D23" s="11"/>
      <c r="E23" s="11"/>
      <c r="F23" s="14">
        <v>185500</v>
      </c>
    </row>
    <row r="24" spans="1:6" x14ac:dyDescent="0.2">
      <c r="A24" s="7"/>
      <c r="B24" s="11"/>
      <c r="C24" s="11" t="s">
        <v>28</v>
      </c>
      <c r="D24" s="11"/>
      <c r="E24" s="11"/>
      <c r="F24" s="14">
        <v>369600</v>
      </c>
    </row>
    <row r="25" spans="1:6" x14ac:dyDescent="0.2">
      <c r="A25" s="7"/>
      <c r="B25" s="11"/>
      <c r="C25" s="11" t="s">
        <v>29</v>
      </c>
      <c r="D25" s="11"/>
      <c r="E25" s="11"/>
      <c r="F25" s="14">
        <v>420000</v>
      </c>
    </row>
    <row r="26" spans="1:6" x14ac:dyDescent="0.2">
      <c r="A26" s="7"/>
      <c r="B26" s="11"/>
      <c r="C26" s="11" t="s">
        <v>30</v>
      </c>
      <c r="D26" s="11"/>
      <c r="E26" s="11"/>
      <c r="F26" s="14">
        <v>273000</v>
      </c>
    </row>
    <row r="27" spans="1:6" x14ac:dyDescent="0.2">
      <c r="A27" s="7"/>
      <c r="B27" s="11"/>
      <c r="C27" s="11" t="s">
        <v>31</v>
      </c>
      <c r="D27" s="11"/>
      <c r="E27" s="28"/>
      <c r="F27" s="29">
        <v>500000</v>
      </c>
    </row>
    <row r="28" spans="1:6" x14ac:dyDescent="0.2">
      <c r="A28" s="7"/>
      <c r="B28" s="11"/>
      <c r="C28" s="11" t="s">
        <v>68</v>
      </c>
      <c r="D28" s="11"/>
      <c r="E28" s="14">
        <f>SUM(E12:E27)</f>
        <v>4766282.7501152651</v>
      </c>
      <c r="F28" s="14">
        <f>SUM(F12:F27)</f>
        <v>9112106</v>
      </c>
    </row>
    <row r="29" spans="1:6" x14ac:dyDescent="0.2">
      <c r="A29" s="7"/>
      <c r="B29" s="11"/>
      <c r="C29" s="11"/>
      <c r="D29" s="11"/>
      <c r="E29" s="14"/>
      <c r="F29" s="14"/>
    </row>
    <row r="30" spans="1:6" x14ac:dyDescent="0.2">
      <c r="A30" s="7" t="s">
        <v>82</v>
      </c>
      <c r="B30" s="11"/>
      <c r="C30" s="11"/>
      <c r="D30" s="11"/>
      <c r="E30" s="11"/>
      <c r="F30" s="14"/>
    </row>
    <row r="31" spans="1:6" x14ac:dyDescent="0.2">
      <c r="A31" s="7"/>
      <c r="B31" s="11" t="s">
        <v>32</v>
      </c>
      <c r="C31" s="11"/>
      <c r="D31" s="11"/>
      <c r="E31" s="11"/>
      <c r="F31" s="14"/>
    </row>
    <row r="32" spans="1:6" x14ac:dyDescent="0.2">
      <c r="A32" s="7"/>
      <c r="C32" s="11" t="s">
        <v>33</v>
      </c>
      <c r="D32" s="11"/>
      <c r="E32" s="11"/>
      <c r="F32" s="14">
        <v>750000</v>
      </c>
    </row>
    <row r="33" spans="1:6" x14ac:dyDescent="0.2">
      <c r="A33" s="7"/>
      <c r="B33" s="11"/>
      <c r="C33" s="11" t="s">
        <v>34</v>
      </c>
      <c r="D33" s="11"/>
      <c r="E33" s="11"/>
      <c r="F33" s="14">
        <v>453000</v>
      </c>
    </row>
    <row r="34" spans="1:6" x14ac:dyDescent="0.2">
      <c r="A34" s="7"/>
      <c r="B34" s="11"/>
      <c r="C34" s="11" t="s">
        <v>35</v>
      </c>
      <c r="D34" s="11"/>
      <c r="E34" s="11"/>
      <c r="F34" s="14">
        <v>453000</v>
      </c>
    </row>
    <row r="35" spans="1:6" x14ac:dyDescent="0.2">
      <c r="A35" s="7"/>
      <c r="B35" s="11"/>
      <c r="C35" s="11" t="s">
        <v>36</v>
      </c>
      <c r="D35" s="11"/>
      <c r="E35" s="11"/>
      <c r="F35" s="14">
        <v>453000</v>
      </c>
    </row>
    <row r="36" spans="1:6" x14ac:dyDescent="0.2">
      <c r="A36" s="7"/>
      <c r="B36" s="11"/>
      <c r="C36" s="11"/>
      <c r="D36" s="11"/>
      <c r="E36" s="11"/>
      <c r="F36" s="14"/>
    </row>
    <row r="37" spans="1:6" x14ac:dyDescent="0.2">
      <c r="A37" s="7"/>
      <c r="B37" s="11" t="s">
        <v>37</v>
      </c>
      <c r="C37" s="11"/>
      <c r="D37" s="11"/>
      <c r="E37" s="11"/>
      <c r="F37" s="14"/>
    </row>
    <row r="38" spans="1:6" x14ac:dyDescent="0.2">
      <c r="A38" s="7"/>
      <c r="B38" s="11"/>
      <c r="C38" s="11" t="s">
        <v>38</v>
      </c>
      <c r="D38" s="11"/>
      <c r="E38" s="11"/>
      <c r="F38" s="14">
        <v>1118000</v>
      </c>
    </row>
    <row r="39" spans="1:6" x14ac:dyDescent="0.2">
      <c r="A39" s="7"/>
      <c r="B39" s="11"/>
      <c r="C39" s="11" t="s">
        <v>39</v>
      </c>
      <c r="D39" s="11"/>
      <c r="E39" s="11"/>
      <c r="F39" s="14">
        <v>453000</v>
      </c>
    </row>
    <row r="40" spans="1:6" x14ac:dyDescent="0.2">
      <c r="A40" s="7"/>
      <c r="B40" s="11"/>
      <c r="C40" s="11" t="s">
        <v>40</v>
      </c>
      <c r="D40" s="11"/>
      <c r="E40" s="30"/>
      <c r="F40" s="31">
        <v>666000</v>
      </c>
    </row>
    <row r="41" spans="1:6" x14ac:dyDescent="0.2">
      <c r="A41" s="7"/>
      <c r="B41" s="11"/>
      <c r="C41" s="11" t="s">
        <v>41</v>
      </c>
      <c r="D41" s="11"/>
      <c r="E41" s="28"/>
      <c r="F41" s="29">
        <v>453000</v>
      </c>
    </row>
    <row r="42" spans="1:6" x14ac:dyDescent="0.2">
      <c r="A42" s="7"/>
      <c r="B42" s="11"/>
      <c r="C42" s="11" t="s">
        <v>69</v>
      </c>
      <c r="D42" s="11"/>
      <c r="E42" s="14">
        <f>SUM(E31:E41)</f>
        <v>0</v>
      </c>
      <c r="F42" s="14">
        <f>SUM(F31:F41)</f>
        <v>4799000</v>
      </c>
    </row>
    <row r="43" spans="1:6" x14ac:dyDescent="0.2">
      <c r="A43" s="11"/>
      <c r="B43" s="11"/>
      <c r="C43" s="11"/>
      <c r="D43" s="11"/>
      <c r="E43" s="28"/>
      <c r="F43" s="28"/>
    </row>
    <row r="44" spans="1:6" x14ac:dyDescent="0.2">
      <c r="A44" s="11"/>
      <c r="B44" s="34" t="s">
        <v>70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 x14ac:dyDescent="0.2">
      <c r="A45" s="11"/>
      <c r="B45" s="7"/>
      <c r="C45" s="7"/>
      <c r="D45" s="7"/>
      <c r="E45" s="15"/>
      <c r="F45" s="15"/>
    </row>
    <row r="46" spans="1:6" x14ac:dyDescent="0.2">
      <c r="A46" s="11"/>
      <c r="B46" s="7"/>
      <c r="C46" s="7"/>
      <c r="D46" s="7"/>
      <c r="E46" s="15"/>
      <c r="F46" s="15"/>
    </row>
    <row r="47" spans="1:6" x14ac:dyDescent="0.2">
      <c r="A47" s="7" t="s">
        <v>71</v>
      </c>
      <c r="B47" s="11"/>
      <c r="C47" s="11"/>
      <c r="D47" s="11"/>
      <c r="E47" s="11"/>
      <c r="F47" s="11"/>
    </row>
    <row r="48" spans="1:6" x14ac:dyDescent="0.2">
      <c r="A48" s="11"/>
      <c r="B48" s="11"/>
      <c r="C48" s="11" t="s">
        <v>42</v>
      </c>
      <c r="D48" s="16">
        <v>0.14000000000000001</v>
      </c>
      <c r="E48" s="16"/>
      <c r="F48" s="14">
        <f>F28*D48</f>
        <v>1275694.8400000001</v>
      </c>
    </row>
    <row r="49" spans="1:6" x14ac:dyDescent="0.2">
      <c r="A49" s="11"/>
      <c r="B49" s="11"/>
      <c r="C49" s="11" t="s">
        <v>43</v>
      </c>
      <c r="D49" s="16">
        <v>0.19</v>
      </c>
      <c r="E49" s="32"/>
      <c r="F49" s="33">
        <f>(F42-F32)*D49</f>
        <v>769310</v>
      </c>
    </row>
    <row r="50" spans="1:6" x14ac:dyDescent="0.2">
      <c r="A50" s="11"/>
      <c r="B50" s="34" t="s">
        <v>67</v>
      </c>
      <c r="C50" s="36"/>
      <c r="D50" s="37"/>
      <c r="E50" s="38">
        <f>SUM(E48:E49)</f>
        <v>0</v>
      </c>
      <c r="F50" s="38">
        <f>SUM(F48:F49)</f>
        <v>2045004.84</v>
      </c>
    </row>
    <row r="51" spans="1:6" x14ac:dyDescent="0.2">
      <c r="A51" s="11"/>
      <c r="B51" s="7"/>
      <c r="C51" s="11"/>
      <c r="D51" s="16"/>
      <c r="E51" s="17"/>
      <c r="F51" s="17"/>
    </row>
    <row r="52" spans="1:6" x14ac:dyDescent="0.2">
      <c r="A52" s="11"/>
      <c r="B52" s="11"/>
      <c r="C52" s="11"/>
      <c r="D52" s="11"/>
      <c r="E52" s="11"/>
      <c r="F52" s="11"/>
    </row>
    <row r="53" spans="1:6" ht="23.25" customHeight="1" x14ac:dyDescent="0.2">
      <c r="A53" s="40"/>
      <c r="B53" s="18" t="s">
        <v>44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 x14ac:dyDescent="0.2"/>
    <row r="55" spans="1:6" x14ac:dyDescent="0.2">
      <c r="A55" s="20" t="s">
        <v>45</v>
      </c>
    </row>
    <row r="58" spans="1:6" x14ac:dyDescent="0.2">
      <c r="B58" t="s">
        <v>11</v>
      </c>
    </row>
    <row r="59" spans="1:6" x14ac:dyDescent="0.2">
      <c r="B59" t="s">
        <v>78</v>
      </c>
    </row>
    <row r="61" spans="1:6" x14ac:dyDescent="0.2">
      <c r="B61" s="171" t="s">
        <v>224</v>
      </c>
    </row>
    <row r="69" ht="18.75" customHeight="1" x14ac:dyDescent="0.2"/>
    <row r="72" ht="4.5" customHeight="1" x14ac:dyDescent="0.2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52" activePane="bottomRight" state="frozen"/>
      <selection pane="topRight" activeCell="B1" sqref="B1"/>
      <selection pane="bottomLeft" activeCell="A13" sqref="A13"/>
      <selection pane="bottomRight" activeCell="R52" sqref="R52"/>
    </sheetView>
  </sheetViews>
  <sheetFormatPr defaultColWidth="8.85546875" defaultRowHeight="12.75" x14ac:dyDescent="0.2"/>
  <cols>
    <col min="1" max="1" width="38.42578125" style="50" bestFit="1" customWidth="1"/>
    <col min="2" max="2" width="2.7109375" style="50" customWidth="1"/>
    <col min="3" max="3" width="10.5703125" style="50" bestFit="1" customWidth="1"/>
    <col min="4" max="4" width="9.42578125" style="50" bestFit="1" customWidth="1"/>
    <col min="5" max="5" width="12.7109375" style="50" bestFit="1" customWidth="1"/>
    <col min="6" max="6" width="12" style="50" bestFit="1" customWidth="1"/>
    <col min="7" max="8" width="12.28515625" style="50" bestFit="1" customWidth="1"/>
    <col min="9" max="10" width="12.7109375" style="50" bestFit="1" customWidth="1"/>
    <col min="11" max="11" width="8.85546875" style="50"/>
    <col min="12" max="12" width="6.28515625" style="50" bestFit="1" customWidth="1"/>
    <col min="13" max="13" width="12.7109375" style="50" hidden="1" customWidth="1"/>
    <col min="14" max="14" width="16.140625" style="50" bestFit="1" customWidth="1"/>
    <col min="15" max="15" width="8.85546875" style="50"/>
    <col min="16" max="16" width="12.7109375" style="50" hidden="1" customWidth="1"/>
    <col min="17" max="17" width="10.85546875" style="50" bestFit="1" customWidth="1"/>
    <col min="18" max="16384" width="8.85546875" style="50"/>
  </cols>
  <sheetData>
    <row r="1" spans="1:16" x14ac:dyDescent="0.2">
      <c r="A1" s="209" t="s">
        <v>88</v>
      </c>
      <c r="N1" s="51" t="str">
        <f>Assumptions!$B$12</f>
        <v>Internal</v>
      </c>
    </row>
    <row r="2" spans="1:16" x14ac:dyDescent="0.2">
      <c r="A2" s="50" t="str">
        <f>Assumptions!B10</f>
        <v>City of Manteca</v>
      </c>
      <c r="N2" s="52" t="str">
        <f>Assumptions!$B$13</f>
        <v>Working Draft - v4</v>
      </c>
    </row>
    <row r="3" spans="1:16" x14ac:dyDescent="0.2">
      <c r="A3" s="50" t="str">
        <f>Assumptions!B18</f>
        <v>PFF Sewer Collection Fee</v>
      </c>
      <c r="N3" s="53">
        <f>Assumptions!$B$14</f>
        <v>41113</v>
      </c>
    </row>
    <row r="4" spans="1:16" x14ac:dyDescent="0.2">
      <c r="A4" s="50" t="s">
        <v>133</v>
      </c>
      <c r="N4" s="95"/>
    </row>
    <row r="5" spans="1:16" x14ac:dyDescent="0.2">
      <c r="N5" s="95"/>
    </row>
    <row r="6" spans="1:16" x14ac:dyDescent="0.2">
      <c r="N6" s="95"/>
    </row>
    <row r="9" spans="1:16" x14ac:dyDescent="0.2">
      <c r="C9" s="330" t="s">
        <v>89</v>
      </c>
      <c r="D9" s="331"/>
      <c r="E9" s="331"/>
      <c r="F9" s="331"/>
      <c r="G9" s="331"/>
      <c r="H9" s="331"/>
      <c r="I9" s="331"/>
      <c r="J9" s="331"/>
      <c r="K9" s="331"/>
      <c r="L9" s="332"/>
      <c r="M9" s="54"/>
    </row>
    <row r="10" spans="1:16" x14ac:dyDescent="0.2">
      <c r="C10" s="55" t="s">
        <v>90</v>
      </c>
      <c r="D10" s="54"/>
      <c r="E10" s="54"/>
      <c r="F10" s="54"/>
      <c r="G10" s="54"/>
      <c r="H10" s="54"/>
      <c r="I10" s="54"/>
      <c r="J10" s="54" t="s">
        <v>91</v>
      </c>
      <c r="K10" s="54"/>
      <c r="L10" s="56"/>
      <c r="M10" s="57" t="s">
        <v>85</v>
      </c>
    </row>
    <row r="11" spans="1:16" x14ac:dyDescent="0.2">
      <c r="C11" s="55" t="s">
        <v>92</v>
      </c>
      <c r="D11" s="54" t="s">
        <v>84</v>
      </c>
      <c r="E11" s="54" t="s">
        <v>84</v>
      </c>
      <c r="F11" s="54" t="s">
        <v>84</v>
      </c>
      <c r="G11" s="54" t="s">
        <v>84</v>
      </c>
      <c r="H11" s="54" t="s">
        <v>84</v>
      </c>
      <c r="I11" s="54" t="s">
        <v>93</v>
      </c>
      <c r="J11" s="54" t="s">
        <v>94</v>
      </c>
      <c r="K11" s="54" t="s">
        <v>84</v>
      </c>
      <c r="L11" s="56" t="s">
        <v>84</v>
      </c>
      <c r="M11" s="57"/>
    </row>
    <row r="12" spans="1:16" x14ac:dyDescent="0.2">
      <c r="C12" s="58" t="s">
        <v>95</v>
      </c>
      <c r="D12" s="59">
        <v>21</v>
      </c>
      <c r="E12" s="59">
        <v>22</v>
      </c>
      <c r="F12" s="59">
        <v>23</v>
      </c>
      <c r="G12" s="59">
        <v>24</v>
      </c>
      <c r="H12" s="59" t="s">
        <v>96</v>
      </c>
      <c r="I12" s="59" t="s">
        <v>97</v>
      </c>
      <c r="J12" s="59">
        <v>24</v>
      </c>
      <c r="K12" s="59">
        <v>25</v>
      </c>
      <c r="L12" s="60">
        <v>51</v>
      </c>
      <c r="M12" s="57" t="s">
        <v>86</v>
      </c>
      <c r="N12" s="57" t="s">
        <v>9</v>
      </c>
    </row>
    <row r="13" spans="1:16" x14ac:dyDescent="0.2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 x14ac:dyDescent="0.2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 x14ac:dyDescent="0.2">
      <c r="A15" s="66" t="s">
        <v>98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 x14ac:dyDescent="0.2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 x14ac:dyDescent="0.2">
      <c r="A17" s="70" t="s">
        <v>99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 x14ac:dyDescent="0.2">
      <c r="A18" s="74" t="s">
        <v>100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 x14ac:dyDescent="0.2">
      <c r="A19" s="76" t="s">
        <v>87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 x14ac:dyDescent="0.2">
      <c r="A20" s="76" t="s">
        <v>101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 x14ac:dyDescent="0.2">
      <c r="A21" s="76" t="s">
        <v>102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 x14ac:dyDescent="0.2">
      <c r="A22" s="76" t="s">
        <v>103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 x14ac:dyDescent="0.2">
      <c r="A23" s="76" t="s">
        <v>104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 x14ac:dyDescent="0.2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 x14ac:dyDescent="0.2">
      <c r="A25" s="78" t="s">
        <v>105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 x14ac:dyDescent="0.2">
      <c r="A26" s="81" t="s">
        <v>106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 x14ac:dyDescent="0.2">
      <c r="A27" s="70" t="s">
        <v>107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 x14ac:dyDescent="0.2">
      <c r="A28" s="81" t="s">
        <v>33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 x14ac:dyDescent="0.2">
      <c r="A29" s="81" t="s">
        <v>108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 x14ac:dyDescent="0.2">
      <c r="A30" s="81" t="s">
        <v>109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 x14ac:dyDescent="0.2">
      <c r="A31" s="83" t="s">
        <v>110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 x14ac:dyDescent="0.2">
      <c r="A32" s="70" t="s">
        <v>111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 x14ac:dyDescent="0.2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 x14ac:dyDescent="0.2">
      <c r="A34" s="70" t="s">
        <v>112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 x14ac:dyDescent="0.2">
      <c r="A35" s="81" t="s">
        <v>113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 x14ac:dyDescent="0.2">
      <c r="A36" s="81" t="s">
        <v>114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 x14ac:dyDescent="0.2">
      <c r="A37" s="70" t="s">
        <v>115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 x14ac:dyDescent="0.2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 x14ac:dyDescent="0.2">
      <c r="A39" s="70" t="s">
        <v>116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 x14ac:dyDescent="0.2">
      <c r="A40" s="74" t="s">
        <v>117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 x14ac:dyDescent="0.2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 x14ac:dyDescent="0.2">
      <c r="A42" s="70" t="s">
        <v>118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 x14ac:dyDescent="0.2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 x14ac:dyDescent="0.2">
      <c r="A44" s="70" t="s">
        <v>119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 x14ac:dyDescent="0.2">
      <c r="A45" s="74" t="s">
        <v>120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 x14ac:dyDescent="0.2">
      <c r="A46" s="74" t="s">
        <v>121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 x14ac:dyDescent="0.2">
      <c r="A47" s="70" t="s">
        <v>122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 x14ac:dyDescent="0.2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5" thickBot="1" x14ac:dyDescent="0.25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5" thickTop="1" x14ac:dyDescent="0.2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 x14ac:dyDescent="0.2">
      <c r="A51" s="66" t="s">
        <v>123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 x14ac:dyDescent="0.2">
      <c r="N53" s="61"/>
    </row>
    <row r="54" spans="1:16" x14ac:dyDescent="0.2">
      <c r="A54" s="92" t="s">
        <v>124</v>
      </c>
      <c r="N54" s="61"/>
    </row>
    <row r="55" spans="1:16" x14ac:dyDescent="0.2">
      <c r="A55" s="50" t="s">
        <v>125</v>
      </c>
      <c r="N55" s="61">
        <f t="shared" ref="N55:N65" si="8">SUM(C55:M55)</f>
        <v>0</v>
      </c>
    </row>
    <row r="56" spans="1:16" x14ac:dyDescent="0.2">
      <c r="A56" s="50" t="s">
        <v>0</v>
      </c>
      <c r="D56" s="62">
        <f>D51</f>
        <v>47999</v>
      </c>
      <c r="N56" s="61">
        <f t="shared" si="8"/>
        <v>47999</v>
      </c>
    </row>
    <row r="57" spans="1:16" x14ac:dyDescent="0.2">
      <c r="A57" s="50" t="s">
        <v>1</v>
      </c>
      <c r="E57" s="62">
        <f>E51</f>
        <v>-2755991</v>
      </c>
      <c r="N57" s="61">
        <f t="shared" si="8"/>
        <v>-2755991</v>
      </c>
    </row>
    <row r="58" spans="1:16" x14ac:dyDescent="0.2">
      <c r="A58" s="50" t="s">
        <v>2</v>
      </c>
      <c r="F58" s="62">
        <f>F51</f>
        <v>1055339</v>
      </c>
      <c r="N58" s="61">
        <f t="shared" si="8"/>
        <v>1055339</v>
      </c>
    </row>
    <row r="59" spans="1:16" x14ac:dyDescent="0.2">
      <c r="A59" s="50" t="s">
        <v>3</v>
      </c>
      <c r="G59" s="62">
        <f>G51</f>
        <v>-1683551</v>
      </c>
      <c r="N59" s="61">
        <f t="shared" si="8"/>
        <v>-1683551</v>
      </c>
    </row>
    <row r="60" spans="1:16" x14ac:dyDescent="0.2">
      <c r="A60" s="50" t="s">
        <v>126</v>
      </c>
      <c r="G60" s="62">
        <f>H51</f>
        <v>-1581488</v>
      </c>
      <c r="N60" s="61">
        <f t="shared" si="8"/>
        <v>-1581488</v>
      </c>
    </row>
    <row r="61" spans="1:16" x14ac:dyDescent="0.2">
      <c r="A61" s="50" t="s">
        <v>127</v>
      </c>
      <c r="N61" s="61">
        <f t="shared" si="8"/>
        <v>0</v>
      </c>
    </row>
    <row r="62" spans="1:16" x14ac:dyDescent="0.2">
      <c r="A62" s="50" t="s">
        <v>128</v>
      </c>
      <c r="G62" s="62">
        <f>J51</f>
        <v>40590</v>
      </c>
      <c r="N62" s="61">
        <f t="shared" si="8"/>
        <v>40590</v>
      </c>
    </row>
    <row r="63" spans="1:16" x14ac:dyDescent="0.2">
      <c r="A63" s="50" t="s">
        <v>4</v>
      </c>
      <c r="K63" s="62">
        <f>K51</f>
        <v>-8920</v>
      </c>
      <c r="N63" s="61">
        <f t="shared" si="8"/>
        <v>-8920</v>
      </c>
    </row>
    <row r="64" spans="1:16" x14ac:dyDescent="0.2">
      <c r="A64" s="50" t="s">
        <v>129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 x14ac:dyDescent="0.2">
      <c r="A65" s="50" t="s">
        <v>130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 x14ac:dyDescent="0.2">
      <c r="A67" s="92" t="s">
        <v>131</v>
      </c>
      <c r="N67" s="61"/>
    </row>
    <row r="68" spans="1:14" x14ac:dyDescent="0.2">
      <c r="A68" s="50" t="s">
        <v>125</v>
      </c>
      <c r="C68" s="62">
        <f>C51</f>
        <v>15781</v>
      </c>
      <c r="N68" s="61">
        <f t="shared" ref="N68:N78" si="10">SUM(C68:M68)</f>
        <v>15781</v>
      </c>
    </row>
    <row r="69" spans="1:14" x14ac:dyDescent="0.2">
      <c r="A69" s="50" t="s">
        <v>0</v>
      </c>
      <c r="D69" s="62"/>
      <c r="N69" s="61">
        <f t="shared" si="10"/>
        <v>0</v>
      </c>
    </row>
    <row r="70" spans="1:14" x14ac:dyDescent="0.2">
      <c r="A70" s="50" t="s">
        <v>1</v>
      </c>
      <c r="E70" s="62"/>
      <c r="N70" s="61">
        <f t="shared" si="10"/>
        <v>0</v>
      </c>
    </row>
    <row r="71" spans="1:14" x14ac:dyDescent="0.2">
      <c r="A71" s="50" t="s">
        <v>2</v>
      </c>
      <c r="F71" s="62"/>
      <c r="N71" s="61">
        <f t="shared" si="10"/>
        <v>0</v>
      </c>
    </row>
    <row r="72" spans="1:14" x14ac:dyDescent="0.2">
      <c r="A72" s="50" t="s">
        <v>3</v>
      </c>
      <c r="G72" s="62"/>
      <c r="N72" s="61">
        <f t="shared" si="10"/>
        <v>0</v>
      </c>
    </row>
    <row r="73" spans="1:14" x14ac:dyDescent="0.2">
      <c r="A73" s="50" t="s">
        <v>126</v>
      </c>
      <c r="G73" s="62"/>
      <c r="N73" s="61">
        <f t="shared" si="10"/>
        <v>0</v>
      </c>
    </row>
    <row r="74" spans="1:14" x14ac:dyDescent="0.2">
      <c r="A74" s="50" t="s">
        <v>127</v>
      </c>
      <c r="I74" s="62">
        <f>I51</f>
        <v>427959</v>
      </c>
      <c r="N74" s="61">
        <f t="shared" si="10"/>
        <v>427959</v>
      </c>
    </row>
    <row r="75" spans="1:14" x14ac:dyDescent="0.2">
      <c r="A75" s="50" t="s">
        <v>128</v>
      </c>
      <c r="G75" s="62"/>
      <c r="N75" s="61">
        <f t="shared" si="10"/>
        <v>0</v>
      </c>
    </row>
    <row r="76" spans="1:14" x14ac:dyDescent="0.2">
      <c r="A76" s="50" t="s">
        <v>4</v>
      </c>
      <c r="K76" s="62">
        <f>K64</f>
        <v>0</v>
      </c>
      <c r="N76" s="61">
        <f t="shared" si="10"/>
        <v>0</v>
      </c>
    </row>
    <row r="77" spans="1:14" x14ac:dyDescent="0.2">
      <c r="A77" s="50" t="s">
        <v>129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 x14ac:dyDescent="0.2">
      <c r="A78" s="50" t="s">
        <v>130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 x14ac:dyDescent="0.2">
      <c r="A80" s="50" t="s">
        <v>130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5" orientation="landscape" r:id="rId1"/>
  <headerFooter alignWithMargins="0">
    <oddFooter>&amp;L&amp;8&amp;F  (&amp;A)&amp;R&amp;T&amp;D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" activePane="bottomLeft" state="frozen"/>
      <selection pane="bottomLeft" activeCell="A7" sqref="A7"/>
    </sheetView>
  </sheetViews>
  <sheetFormatPr defaultColWidth="8.85546875" defaultRowHeight="12.75" x14ac:dyDescent="0.2"/>
  <cols>
    <col min="1" max="1" width="13.7109375" style="181" customWidth="1"/>
    <col min="2" max="2" width="8.85546875" style="182"/>
    <col min="3" max="3" width="13.7109375" style="183" customWidth="1"/>
    <col min="4" max="4" width="9.5703125" style="175" bestFit="1" customWidth="1"/>
    <col min="5" max="5" width="13.140625" style="175" bestFit="1" customWidth="1"/>
    <col min="6" max="6" width="10.42578125" style="175" bestFit="1" customWidth="1"/>
    <col min="7" max="7" width="10.5703125" style="180" bestFit="1" customWidth="1"/>
    <col min="8" max="16384" width="8.85546875" style="175"/>
  </cols>
  <sheetData>
    <row r="1" spans="1:4" x14ac:dyDescent="0.2">
      <c r="A1" s="209" t="s">
        <v>88</v>
      </c>
    </row>
    <row r="2" spans="1:4" x14ac:dyDescent="0.2">
      <c r="A2" s="50" t="str">
        <f>Assumptions!B10</f>
        <v>City of Manteca</v>
      </c>
    </row>
    <row r="3" spans="1:4" x14ac:dyDescent="0.2">
      <c r="A3" s="50" t="str">
        <f>Assumptions!B18</f>
        <v>PFF Sewer Collection Fee</v>
      </c>
    </row>
    <row r="4" spans="1:4" x14ac:dyDescent="0.2">
      <c r="A4" s="209" t="s">
        <v>398</v>
      </c>
    </row>
    <row r="5" spans="1:4" x14ac:dyDescent="0.2">
      <c r="A5" s="50"/>
    </row>
    <row r="6" spans="1:4" ht="43.15" customHeight="1" x14ac:dyDescent="0.2">
      <c r="A6" s="173" t="s">
        <v>225</v>
      </c>
      <c r="B6" s="173" t="s">
        <v>226</v>
      </c>
      <c r="C6" s="174" t="s">
        <v>227</v>
      </c>
      <c r="D6" s="184"/>
    </row>
    <row r="7" spans="1:4" x14ac:dyDescent="0.2">
      <c r="A7" s="176" t="s">
        <v>228</v>
      </c>
      <c r="B7" s="177" t="s">
        <v>229</v>
      </c>
      <c r="C7" s="178">
        <v>0.999977</v>
      </c>
    </row>
    <row r="8" spans="1:4" x14ac:dyDescent="0.2">
      <c r="A8" s="179"/>
      <c r="B8" s="177" t="s">
        <v>230</v>
      </c>
      <c r="C8" s="178">
        <v>76.184443999999999</v>
      </c>
    </row>
    <row r="9" spans="1:4" x14ac:dyDescent="0.2">
      <c r="A9" s="179"/>
      <c r="B9" s="177" t="s">
        <v>231</v>
      </c>
      <c r="C9" s="178">
        <v>36.631224000000003</v>
      </c>
    </row>
    <row r="10" spans="1:4" x14ac:dyDescent="0.2">
      <c r="A10" s="179"/>
      <c r="B10" s="177" t="s">
        <v>232</v>
      </c>
      <c r="C10" s="178">
        <v>34.912390000000002</v>
      </c>
    </row>
    <row r="11" spans="1:4" x14ac:dyDescent="0.2">
      <c r="A11" s="179"/>
      <c r="B11" s="177" t="s">
        <v>233</v>
      </c>
      <c r="C11" s="178">
        <v>155.287542</v>
      </c>
    </row>
    <row r="12" spans="1:4" x14ac:dyDescent="0.2">
      <c r="A12" s="179"/>
      <c r="B12" s="177" t="s">
        <v>234</v>
      </c>
      <c r="C12" s="178">
        <v>7.910844</v>
      </c>
    </row>
    <row r="13" spans="1:4" x14ac:dyDescent="0.2">
      <c r="A13" s="179"/>
      <c r="B13" s="177" t="s">
        <v>235</v>
      </c>
      <c r="C13" s="178">
        <v>55.914966</v>
      </c>
    </row>
    <row r="14" spans="1:4" x14ac:dyDescent="0.2">
      <c r="A14" s="179"/>
      <c r="B14" s="177" t="s">
        <v>236</v>
      </c>
      <c r="C14" s="178">
        <v>13.091668</v>
      </c>
    </row>
    <row r="15" spans="1:4" x14ac:dyDescent="0.2">
      <c r="A15" s="179"/>
      <c r="B15" s="177" t="s">
        <v>237</v>
      </c>
      <c r="C15" s="178">
        <v>8.6079319999999999</v>
      </c>
    </row>
    <row r="16" spans="1:4" x14ac:dyDescent="0.2">
      <c r="A16" s="179"/>
      <c r="B16" s="177" t="s">
        <v>238</v>
      </c>
      <c r="C16" s="178">
        <v>6.7649600000000003</v>
      </c>
    </row>
    <row r="17" spans="1:3" x14ac:dyDescent="0.2">
      <c r="A17" s="179"/>
      <c r="B17" s="177"/>
      <c r="C17" s="178"/>
    </row>
    <row r="18" spans="1:3" x14ac:dyDescent="0.2">
      <c r="A18" s="176" t="s">
        <v>239</v>
      </c>
      <c r="B18" s="177" t="s">
        <v>240</v>
      </c>
      <c r="C18" s="178">
        <v>3385.3006839999998</v>
      </c>
    </row>
    <row r="19" spans="1:3" x14ac:dyDescent="0.2">
      <c r="A19" s="179"/>
      <c r="B19" s="177" t="s">
        <v>230</v>
      </c>
      <c r="C19" s="178">
        <v>29.292310000000001</v>
      </c>
    </row>
    <row r="20" spans="1:3" x14ac:dyDescent="0.2">
      <c r="A20" s="179"/>
      <c r="B20" s="177" t="s">
        <v>231</v>
      </c>
      <c r="C20" s="178">
        <v>18.761132</v>
      </c>
    </row>
    <row r="21" spans="1:3" x14ac:dyDescent="0.2">
      <c r="A21" s="179"/>
      <c r="B21" s="177" t="s">
        <v>232</v>
      </c>
      <c r="C21" s="178">
        <v>25.666180000000001</v>
      </c>
    </row>
    <row r="22" spans="1:3" x14ac:dyDescent="0.2">
      <c r="A22" s="179"/>
      <c r="B22" s="177" t="s">
        <v>241</v>
      </c>
      <c r="C22" s="178">
        <v>175.12787800000001</v>
      </c>
    </row>
    <row r="23" spans="1:3" x14ac:dyDescent="0.2">
      <c r="A23" s="179"/>
      <c r="B23" s="177" t="s">
        <v>233</v>
      </c>
      <c r="C23" s="178">
        <v>1033.033453</v>
      </c>
    </row>
    <row r="24" spans="1:3" x14ac:dyDescent="0.2">
      <c r="A24" s="179"/>
      <c r="B24" s="177" t="s">
        <v>234</v>
      </c>
      <c r="C24" s="178">
        <v>527.84235899999999</v>
      </c>
    </row>
    <row r="25" spans="1:3" x14ac:dyDescent="0.2">
      <c r="A25" s="179"/>
      <c r="B25" s="177" t="s">
        <v>235</v>
      </c>
      <c r="C25" s="178">
        <v>19.097294000000002</v>
      </c>
    </row>
    <row r="26" spans="1:3" x14ac:dyDescent="0.2">
      <c r="A26" s="179"/>
      <c r="B26" s="177" t="s">
        <v>236</v>
      </c>
      <c r="C26" s="178">
        <v>22.485962000000001</v>
      </c>
    </row>
    <row r="27" spans="1:3" x14ac:dyDescent="0.2">
      <c r="A27" s="179"/>
      <c r="B27" s="177" t="s">
        <v>242</v>
      </c>
      <c r="C27" s="178">
        <v>15.368535</v>
      </c>
    </row>
    <row r="28" spans="1:3" x14ac:dyDescent="0.2">
      <c r="A28" s="179"/>
      <c r="B28" s="177" t="s">
        <v>237</v>
      </c>
      <c r="C28" s="178">
        <v>44.270046000000001</v>
      </c>
    </row>
    <row r="29" spans="1:3" x14ac:dyDescent="0.2">
      <c r="A29" s="179"/>
      <c r="B29" s="177" t="s">
        <v>243</v>
      </c>
      <c r="C29" s="178">
        <v>157.17575600000001</v>
      </c>
    </row>
    <row r="30" spans="1:3" x14ac:dyDescent="0.2">
      <c r="A30" s="179"/>
      <c r="B30" s="177" t="s">
        <v>244</v>
      </c>
      <c r="C30" s="178">
        <v>578.53751799999998</v>
      </c>
    </row>
    <row r="31" spans="1:3" x14ac:dyDescent="0.2">
      <c r="A31" s="179"/>
      <c r="B31" s="177" t="s">
        <v>245</v>
      </c>
      <c r="C31" s="178">
        <v>1152.6550749999999</v>
      </c>
    </row>
    <row r="32" spans="1:3" x14ac:dyDescent="0.2">
      <c r="A32" s="179"/>
      <c r="B32" s="177" t="s">
        <v>246</v>
      </c>
      <c r="C32" s="178">
        <v>43.057797000000001</v>
      </c>
    </row>
    <row r="33" spans="1:5" x14ac:dyDescent="0.2">
      <c r="A33" s="179"/>
      <c r="B33" s="177" t="s">
        <v>247</v>
      </c>
      <c r="C33" s="178">
        <v>40.434798000000001</v>
      </c>
    </row>
    <row r="34" spans="1:5" x14ac:dyDescent="0.2">
      <c r="A34" s="179"/>
      <c r="B34" s="177" t="s">
        <v>248</v>
      </c>
      <c r="C34" s="178">
        <v>754.374683</v>
      </c>
    </row>
    <row r="35" spans="1:5" x14ac:dyDescent="0.2">
      <c r="A35" s="179"/>
      <c r="B35" s="177" t="s">
        <v>249</v>
      </c>
      <c r="C35" s="178">
        <v>114.44947000000001</v>
      </c>
    </row>
    <row r="36" spans="1:5" x14ac:dyDescent="0.2">
      <c r="A36" s="179"/>
      <c r="B36" s="177" t="s">
        <v>250</v>
      </c>
      <c r="C36" s="178">
        <v>19.736191999999999</v>
      </c>
    </row>
    <row r="37" spans="1:5" x14ac:dyDescent="0.2">
      <c r="A37" s="179"/>
      <c r="B37" s="177" t="s">
        <v>251</v>
      </c>
      <c r="C37" s="178">
        <v>37.560957999999999</v>
      </c>
    </row>
    <row r="38" spans="1:5" x14ac:dyDescent="0.2">
      <c r="A38" s="179"/>
      <c r="B38" s="177" t="s">
        <v>252</v>
      </c>
      <c r="C38" s="178">
        <v>11.652851999999999</v>
      </c>
    </row>
    <row r="39" spans="1:5" x14ac:dyDescent="0.2">
      <c r="A39" s="179"/>
      <c r="B39" s="177" t="s">
        <v>253</v>
      </c>
      <c r="C39" s="178">
        <v>352.59333099999998</v>
      </c>
    </row>
    <row r="40" spans="1:5" x14ac:dyDescent="0.2">
      <c r="A40" s="179"/>
      <c r="B40" s="177" t="s">
        <v>238</v>
      </c>
      <c r="C40" s="178">
        <v>127.986069</v>
      </c>
      <c r="E40" s="180"/>
    </row>
    <row r="41" spans="1:5" x14ac:dyDescent="0.2">
      <c r="A41" s="179"/>
      <c r="B41" s="177"/>
      <c r="C41" s="178"/>
    </row>
    <row r="42" spans="1:5" x14ac:dyDescent="0.2">
      <c r="A42" s="176" t="s">
        <v>254</v>
      </c>
      <c r="B42" s="177" t="s">
        <v>230</v>
      </c>
      <c r="C42" s="178">
        <v>50.457075000000003</v>
      </c>
    </row>
    <row r="43" spans="1:5" x14ac:dyDescent="0.2">
      <c r="A43" s="179"/>
      <c r="B43" s="177" t="s">
        <v>231</v>
      </c>
      <c r="C43" s="178">
        <v>10.055574999999999</v>
      </c>
    </row>
    <row r="44" spans="1:5" x14ac:dyDescent="0.2">
      <c r="A44" s="179"/>
      <c r="B44" s="177" t="s">
        <v>233</v>
      </c>
      <c r="C44" s="178">
        <v>6.8119079999999999</v>
      </c>
    </row>
    <row r="45" spans="1:5" x14ac:dyDescent="0.2">
      <c r="A45" s="179"/>
      <c r="B45" s="177" t="s">
        <v>234</v>
      </c>
      <c r="C45" s="178">
        <v>34.600757000000002</v>
      </c>
    </row>
    <row r="46" spans="1:5" x14ac:dyDescent="0.2">
      <c r="A46" s="179"/>
      <c r="B46" s="177"/>
      <c r="C46" s="178"/>
    </row>
    <row r="47" spans="1:5" x14ac:dyDescent="0.2">
      <c r="A47" s="176" t="s">
        <v>255</v>
      </c>
      <c r="B47" s="177" t="s">
        <v>240</v>
      </c>
      <c r="C47" s="178">
        <v>111.47872099999999</v>
      </c>
    </row>
    <row r="48" spans="1:5" x14ac:dyDescent="0.2">
      <c r="A48" s="179"/>
      <c r="B48" s="177" t="s">
        <v>256</v>
      </c>
      <c r="C48" s="178">
        <v>44.659910000000004</v>
      </c>
    </row>
    <row r="49" spans="1:3" x14ac:dyDescent="0.2">
      <c r="A49" s="179"/>
      <c r="B49" s="177" t="s">
        <v>230</v>
      </c>
      <c r="C49" s="178">
        <v>162.75238300000001</v>
      </c>
    </row>
    <row r="50" spans="1:3" x14ac:dyDescent="0.2">
      <c r="A50" s="179"/>
      <c r="B50" s="177" t="s">
        <v>231</v>
      </c>
      <c r="C50" s="178">
        <v>320.10928699999999</v>
      </c>
    </row>
    <row r="51" spans="1:3" x14ac:dyDescent="0.2">
      <c r="A51" s="179"/>
      <c r="B51" s="177" t="s">
        <v>232</v>
      </c>
      <c r="C51" s="178">
        <v>68.273225999999994</v>
      </c>
    </row>
    <row r="52" spans="1:3" x14ac:dyDescent="0.2">
      <c r="A52" s="179"/>
      <c r="B52" s="177" t="s">
        <v>241</v>
      </c>
      <c r="C52" s="178">
        <v>563.79220399999997</v>
      </c>
    </row>
    <row r="53" spans="1:3" x14ac:dyDescent="0.2">
      <c r="A53" s="179"/>
      <c r="B53" s="177" t="s">
        <v>233</v>
      </c>
      <c r="C53" s="178">
        <v>1934.059522</v>
      </c>
    </row>
    <row r="54" spans="1:3" x14ac:dyDescent="0.2">
      <c r="A54" s="179"/>
      <c r="B54" s="177" t="s">
        <v>234</v>
      </c>
      <c r="C54" s="178">
        <v>180.02126100000001</v>
      </c>
    </row>
    <row r="55" spans="1:3" x14ac:dyDescent="0.2">
      <c r="A55" s="179"/>
      <c r="B55" s="177" t="s">
        <v>235</v>
      </c>
      <c r="C55" s="178">
        <v>113.576701</v>
      </c>
    </row>
    <row r="56" spans="1:3" x14ac:dyDescent="0.2">
      <c r="A56" s="179"/>
      <c r="B56" s="177" t="s">
        <v>236</v>
      </c>
      <c r="C56" s="178">
        <v>20.52543</v>
      </c>
    </row>
    <row r="57" spans="1:3" x14ac:dyDescent="0.2">
      <c r="A57" s="179"/>
      <c r="B57" s="177" t="s">
        <v>237</v>
      </c>
      <c r="C57" s="178">
        <v>108.351705</v>
      </c>
    </row>
    <row r="58" spans="1:3" x14ac:dyDescent="0.2">
      <c r="A58" s="179"/>
      <c r="B58" s="177" t="s">
        <v>243</v>
      </c>
      <c r="C58" s="178">
        <v>85.042383999999998</v>
      </c>
    </row>
    <row r="59" spans="1:3" x14ac:dyDescent="0.2">
      <c r="A59" s="179"/>
      <c r="B59" s="177" t="s">
        <v>244</v>
      </c>
      <c r="C59" s="178">
        <v>1130.5527509999999</v>
      </c>
    </row>
    <row r="60" spans="1:3" x14ac:dyDescent="0.2">
      <c r="A60" s="179"/>
      <c r="B60" s="177" t="s">
        <v>245</v>
      </c>
      <c r="C60" s="178">
        <v>459.19615099999999</v>
      </c>
    </row>
    <row r="61" spans="1:3" x14ac:dyDescent="0.2">
      <c r="A61" s="179"/>
      <c r="B61" s="177" t="s">
        <v>257</v>
      </c>
      <c r="C61" s="178">
        <v>338.69793499999997</v>
      </c>
    </row>
    <row r="62" spans="1:3" x14ac:dyDescent="0.2">
      <c r="A62" s="179"/>
      <c r="B62" s="177" t="s">
        <v>246</v>
      </c>
      <c r="C62" s="178">
        <v>293.76250499999998</v>
      </c>
    </row>
    <row r="63" spans="1:3" x14ac:dyDescent="0.2">
      <c r="A63" s="179"/>
      <c r="B63" s="177" t="s">
        <v>248</v>
      </c>
      <c r="C63" s="178">
        <v>481.46015399999999</v>
      </c>
    </row>
    <row r="64" spans="1:3" x14ac:dyDescent="0.2">
      <c r="A64" s="179"/>
      <c r="B64" s="177" t="s">
        <v>251</v>
      </c>
      <c r="C64" s="178">
        <v>29.960425000000001</v>
      </c>
    </row>
    <row r="65" spans="1:3" x14ac:dyDescent="0.2">
      <c r="A65" s="179"/>
      <c r="B65" s="177" t="s">
        <v>253</v>
      </c>
      <c r="C65" s="178">
        <v>78.736902000000001</v>
      </c>
    </row>
    <row r="66" spans="1:3" x14ac:dyDescent="0.2">
      <c r="A66" s="179"/>
      <c r="B66" s="177" t="s">
        <v>238</v>
      </c>
      <c r="C66" s="178">
        <v>524.78247399999998</v>
      </c>
    </row>
    <row r="67" spans="1:3" x14ac:dyDescent="0.2">
      <c r="A67" s="179"/>
      <c r="B67" s="177"/>
      <c r="C67" s="178"/>
    </row>
    <row r="68" spans="1:3" x14ac:dyDescent="0.2">
      <c r="A68" s="176" t="s">
        <v>258</v>
      </c>
      <c r="B68" s="177" t="s">
        <v>240</v>
      </c>
      <c r="C68" s="178">
        <v>191.42892800000001</v>
      </c>
    </row>
    <row r="69" spans="1:3" x14ac:dyDescent="0.2">
      <c r="A69" s="179"/>
      <c r="B69" s="177" t="s">
        <v>256</v>
      </c>
      <c r="C69" s="178">
        <v>135.32440500000001</v>
      </c>
    </row>
    <row r="70" spans="1:3" x14ac:dyDescent="0.2">
      <c r="A70" s="179"/>
      <c r="B70" s="177" t="s">
        <v>231</v>
      </c>
      <c r="C70" s="178">
        <v>78.564483999999993</v>
      </c>
    </row>
    <row r="71" spans="1:3" x14ac:dyDescent="0.2">
      <c r="A71" s="179"/>
      <c r="B71" s="177" t="s">
        <v>232</v>
      </c>
      <c r="C71" s="178">
        <v>18.722038000000001</v>
      </c>
    </row>
    <row r="72" spans="1:3" x14ac:dyDescent="0.2">
      <c r="A72" s="179"/>
      <c r="B72" s="177" t="s">
        <v>233</v>
      </c>
      <c r="C72" s="178">
        <v>545.78978700000005</v>
      </c>
    </row>
    <row r="73" spans="1:3" x14ac:dyDescent="0.2">
      <c r="A73" s="179"/>
      <c r="B73" s="177" t="s">
        <v>235</v>
      </c>
      <c r="C73" s="178">
        <v>48.975785000000002</v>
      </c>
    </row>
    <row r="74" spans="1:3" x14ac:dyDescent="0.2">
      <c r="A74" s="179"/>
      <c r="B74" s="177" t="s">
        <v>242</v>
      </c>
      <c r="C74" s="178">
        <v>428.98151100000001</v>
      </c>
    </row>
    <row r="75" spans="1:3" x14ac:dyDescent="0.2">
      <c r="A75" s="179"/>
      <c r="B75" s="177" t="s">
        <v>257</v>
      </c>
      <c r="C75" s="178">
        <v>70.002771999999993</v>
      </c>
    </row>
    <row r="76" spans="1:3" x14ac:dyDescent="0.2">
      <c r="A76" s="179"/>
      <c r="B76" s="177" t="s">
        <v>246</v>
      </c>
      <c r="C76" s="178">
        <v>98.809805999999995</v>
      </c>
    </row>
    <row r="77" spans="1:3" x14ac:dyDescent="0.2">
      <c r="A77" s="179"/>
      <c r="B77" s="177" t="s">
        <v>248</v>
      </c>
      <c r="C77" s="178">
        <v>145.51939100000001</v>
      </c>
    </row>
    <row r="78" spans="1:3" x14ac:dyDescent="0.2">
      <c r="A78" s="179"/>
      <c r="B78" s="177" t="s">
        <v>253</v>
      </c>
      <c r="C78" s="178">
        <v>195.96840499999999</v>
      </c>
    </row>
    <row r="80" spans="1:3" x14ac:dyDescent="0.2">
      <c r="B80" s="182" t="s">
        <v>259</v>
      </c>
      <c r="C80" s="183">
        <f>SUM(C7:C78)</f>
        <v>18192.570937</v>
      </c>
    </row>
  </sheetData>
  <pageMargins left="0.75" right="0.75" top="0.5" bottom="0.5" header="0.5" footer="0.5"/>
  <pageSetup scale="70" orientation="portrait" r:id="rId1"/>
  <headerFooter alignWithMargins="0">
    <oddFooter>&amp;L&amp;Z&amp;F&amp;R&amp;T&amp;D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QD2UCF5UJE4V-699202894-348</_dlc_DocId>
    <_dlc_DocIdUrl xmlns="7184055b-e5ea-4162-8b19-ace5c644b73a">
      <Url>http://intranet2/pw/_layouts/15/DocIdRedir.aspx?ID=QD2UCF5UJE4V-699202894-348</Url>
      <Description>QD2UCF5UJE4V-699202894-348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0BEA27-4603-4EAE-A0BF-D5A69C353370}"/>
</file>

<file path=customXml/itemProps2.xml><?xml version="1.0" encoding="utf-8"?>
<ds:datastoreItem xmlns:ds="http://schemas.openxmlformats.org/officeDocument/2006/customXml" ds:itemID="{3030CF32-92E9-43EB-A85E-FF57CF53FB15}"/>
</file>

<file path=customXml/itemProps3.xml><?xml version="1.0" encoding="utf-8"?>
<ds:datastoreItem xmlns:ds="http://schemas.openxmlformats.org/officeDocument/2006/customXml" ds:itemID="{316CD887-C875-432E-8255-ECC0C21BCEB4}"/>
</file>

<file path=customXml/itemProps4.xml><?xml version="1.0" encoding="utf-8"?>
<ds:datastoreItem xmlns:ds="http://schemas.openxmlformats.org/officeDocument/2006/customXml" ds:itemID="{82C39521-D66A-4B34-817C-3BEC158D627F}"/>
</file>

<file path=customXml/itemProps5.xml><?xml version="1.0" encoding="utf-8"?>
<ds:datastoreItem xmlns:ds="http://schemas.openxmlformats.org/officeDocument/2006/customXml" ds:itemID="{3855728C-E4B5-4770-9736-B0175E8427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Assumptions</vt:lpstr>
      <vt:lpstr>1. Wastewater Fee Calc Sum</vt:lpstr>
      <vt:lpstr>1.1 Fee Summary By Land use</vt:lpstr>
      <vt:lpstr>1.2 EDU Factors</vt:lpstr>
      <vt:lpstr>1.3 Total EDUs Developed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 Summary</vt:lpstr>
      <vt:lpstr>Sum 2. City Admin Costs Ongoing</vt:lpstr>
      <vt:lpstr>DEBT_SERVICE_V</vt:lpstr>
      <vt:lpstr>Sum 3.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'2. CIP From Master Plan'!Print_Titles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Stryder</cp:lastModifiedBy>
  <cp:lastPrinted>2012-08-21T18:37:18Z</cp:lastPrinted>
  <dcterms:created xsi:type="dcterms:W3CDTF">2012-01-03T01:48:06Z</dcterms:created>
  <dcterms:modified xsi:type="dcterms:W3CDTF">2012-08-21T18:37:22Z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894fd6e7-f1fc-40c1-a02f-05856d28b0ab</vt:lpwstr>
  </property>
  <property fmtid="{D5CDD505-2E9C-101B-9397-08002B2CF9AE}" pid="4" name="Order">
    <vt:r8>7700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http://intranet:12013/_layouts/DocIdRedir.aspx?ID=DS6S4WKU732Q-3-77, DS6S4WKU732Q-3-77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DS6S4WKU732Q-3-77</vt:lpwstr>
  </property>
</Properties>
</file>