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tabRatio="817" activeTab="1"/>
  </bookViews>
  <sheets>
    <sheet name="Assumptions" sheetId="4" r:id="rId1"/>
    <sheet name="1. Wastewater Fee Calc Sum" sheetId="1" r:id="rId2"/>
    <sheet name="2. CIP From Master Plan" sheetId="12" r:id="rId3"/>
    <sheet name="2. Zone 24 CIP Costs" sheetId="2" state="hidden" r:id="rId4"/>
    <sheet name="3. Fund Balance Sewer" sheetId="6" r:id="rId5"/>
    <sheet name="4. Und Land Sewer Zones" sheetId="9" r:id="rId6"/>
    <sheet name="5. Financing Assumptions" sheetId="8" r:id="rId7"/>
    <sheet name="Sum 1. City Admin Costs" sheetId="10" r:id="rId8"/>
    <sheet name="DEBT_SERVICE_V" sheetId="7" state="hidden" r:id="rId9"/>
    <sheet name="Sum 2. PFF Update Costs" sheetId="11" r:id="rId10"/>
    <sheet name="Fund Alloc" sheetId="3" r:id="rId11"/>
  </sheets>
  <externalReferences>
    <externalReference r:id="rId12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I36" i="1" l="1"/>
  <c r="F80" i="11"/>
  <c r="F81" i="11"/>
  <c r="F74" i="11"/>
  <c r="F75" i="11" s="1"/>
  <c r="F66" i="11"/>
  <c r="F67" i="11" s="1"/>
  <c r="F58" i="11"/>
  <c r="F59" i="11" s="1"/>
  <c r="F50" i="11"/>
  <c r="F51" i="11" s="1"/>
  <c r="I37" i="1" l="1"/>
  <c r="I38" i="1" l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H36" i="1"/>
  <c r="G36" i="1"/>
  <c r="F36" i="1"/>
  <c r="E36" i="1"/>
  <c r="D36" i="1"/>
  <c r="C36" i="1"/>
  <c r="B36" i="1"/>
  <c r="E17" i="11"/>
  <c r="E34" i="11"/>
  <c r="E73" i="11"/>
  <c r="D72" i="11"/>
  <c r="F72" i="11" s="1"/>
  <c r="D71" i="11"/>
  <c r="F71" i="11" s="1"/>
  <c r="F73" i="11" s="1"/>
  <c r="E65" i="11"/>
  <c r="F64" i="11"/>
  <c r="D64" i="11"/>
  <c r="F63" i="11"/>
  <c r="F65" i="11" s="1"/>
  <c r="D63" i="11"/>
  <c r="E57" i="11"/>
  <c r="D56" i="11"/>
  <c r="F56" i="11" s="1"/>
  <c r="D55" i="11"/>
  <c r="F55" i="11" s="1"/>
  <c r="F57" i="11" s="1"/>
  <c r="D48" i="11"/>
  <c r="F48" i="11" s="1"/>
  <c r="D47" i="11"/>
  <c r="F47" i="11" s="1"/>
  <c r="F49" i="11" s="1"/>
  <c r="F31" i="11"/>
  <c r="D14" i="11"/>
  <c r="F14" i="11" s="1"/>
  <c r="F30" i="11"/>
  <c r="F34" i="11" s="1"/>
  <c r="D13" i="11"/>
  <c r="F13" i="11" s="1"/>
  <c r="F17" i="11" s="1"/>
  <c r="L95" i="12"/>
  <c r="M95" i="12" s="1"/>
  <c r="N95" i="12" s="1"/>
  <c r="L94" i="12"/>
  <c r="M94" i="12" s="1"/>
  <c r="N94" i="12" s="1"/>
  <c r="L93" i="12"/>
  <c r="M93" i="12" s="1"/>
  <c r="N93" i="12" s="1"/>
  <c r="F79" i="11" l="1"/>
  <c r="D106" i="12"/>
  <c r="E106" i="12"/>
  <c r="F106" i="12"/>
  <c r="G106" i="12"/>
  <c r="H106" i="12"/>
  <c r="I106" i="12"/>
  <c r="J106" i="12"/>
  <c r="K106" i="12"/>
  <c r="C106" i="12"/>
  <c r="D99" i="12"/>
  <c r="E99" i="12"/>
  <c r="F99" i="12"/>
  <c r="G99" i="12"/>
  <c r="H99" i="12"/>
  <c r="I99" i="12"/>
  <c r="J99" i="12"/>
  <c r="K99" i="12"/>
  <c r="C99" i="12"/>
  <c r="D82" i="12"/>
  <c r="E82" i="12"/>
  <c r="F82" i="12"/>
  <c r="G82" i="12"/>
  <c r="H82" i="12"/>
  <c r="I82" i="12"/>
  <c r="J82" i="12"/>
  <c r="K82" i="12"/>
  <c r="C82" i="12"/>
  <c r="D26" i="12"/>
  <c r="E26" i="12"/>
  <c r="F26" i="12"/>
  <c r="G26" i="12"/>
  <c r="H26" i="12"/>
  <c r="I26" i="12"/>
  <c r="J26" i="12"/>
  <c r="K26" i="12"/>
  <c r="C26" i="12"/>
  <c r="C110" i="12" l="1"/>
  <c r="F110" i="12"/>
  <c r="J110" i="12"/>
  <c r="H110" i="12"/>
  <c r="D110" i="12"/>
  <c r="K110" i="12"/>
  <c r="I110" i="12"/>
  <c r="G110" i="12"/>
  <c r="E110" i="12"/>
  <c r="E11" i="10"/>
  <c r="E10" i="10"/>
  <c r="E55" i="7"/>
  <c r="E57" i="7"/>
  <c r="E56" i="7"/>
  <c r="B3" i="8" l="1"/>
  <c r="A3" i="8"/>
  <c r="B2" i="8"/>
  <c r="A2" i="8"/>
  <c r="B1" i="8"/>
  <c r="A3" i="9"/>
  <c r="A2" i="9"/>
  <c r="M3" i="12"/>
  <c r="M2" i="12"/>
  <c r="M1" i="12"/>
  <c r="A3" i="12"/>
  <c r="A2" i="12"/>
  <c r="L116" i="12" l="1"/>
  <c r="M116" i="12" s="1"/>
  <c r="N116" i="12" s="1"/>
  <c r="L69" i="12"/>
  <c r="M69" i="12" s="1"/>
  <c r="L70" i="12"/>
  <c r="M70" i="12" s="1"/>
  <c r="L71" i="12"/>
  <c r="M71" i="12" s="1"/>
  <c r="L72" i="12"/>
  <c r="M72" i="12" s="1"/>
  <c r="L73" i="12"/>
  <c r="M73" i="12" s="1"/>
  <c r="L74" i="12"/>
  <c r="M74" i="12" s="1"/>
  <c r="L75" i="12"/>
  <c r="M75" i="12" s="1"/>
  <c r="L76" i="12"/>
  <c r="M76" i="12" s="1"/>
  <c r="L77" i="12"/>
  <c r="M77" i="12" s="1"/>
  <c r="L78" i="12"/>
  <c r="M78" i="12" s="1"/>
  <c r="L31" i="12"/>
  <c r="M31" i="12" s="1"/>
  <c r="L64" i="12"/>
  <c r="M64" i="12" s="1"/>
  <c r="L65" i="12"/>
  <c r="M65" i="12" s="1"/>
  <c r="L61" i="12"/>
  <c r="M61" i="12" s="1"/>
  <c r="L62" i="12"/>
  <c r="M62" i="12" s="1"/>
  <c r="L58" i="12"/>
  <c r="M58" i="12" s="1"/>
  <c r="L59" i="12"/>
  <c r="M59" i="12" s="1"/>
  <c r="L60" i="12"/>
  <c r="M60" i="12" s="1"/>
  <c r="L53" i="12"/>
  <c r="M53" i="12" s="1"/>
  <c r="L54" i="12"/>
  <c r="M54" i="12" s="1"/>
  <c r="L55" i="12"/>
  <c r="M55" i="12" s="1"/>
  <c r="L56" i="12"/>
  <c r="M56" i="12" s="1"/>
  <c r="L57" i="12"/>
  <c r="M57" i="12" s="1"/>
  <c r="L88" i="12"/>
  <c r="M88" i="12" s="1"/>
  <c r="L50" i="12"/>
  <c r="M50" i="12" s="1"/>
  <c r="L51" i="12"/>
  <c r="M51" i="12" s="1"/>
  <c r="L47" i="12"/>
  <c r="M47" i="12" s="1"/>
  <c r="L48" i="12"/>
  <c r="M48" i="12" s="1"/>
  <c r="L49" i="12"/>
  <c r="M49" i="12" s="1"/>
  <c r="L23" i="12"/>
  <c r="M23" i="12" s="1"/>
  <c r="L45" i="12"/>
  <c r="M45" i="12" s="1"/>
  <c r="L46" i="12"/>
  <c r="M46" i="12" s="1"/>
  <c r="L42" i="12"/>
  <c r="M42" i="12" s="1"/>
  <c r="L43" i="12"/>
  <c r="M43" i="12" s="1"/>
  <c r="L44" i="12"/>
  <c r="M44" i="12" s="1"/>
  <c r="L92" i="12"/>
  <c r="M92" i="12" s="1"/>
  <c r="L86" i="12"/>
  <c r="M86" i="12" s="1"/>
  <c r="L17" i="12"/>
  <c r="L37" i="12"/>
  <c r="M37" i="12" s="1"/>
  <c r="N37" i="12" s="1"/>
  <c r="L35" i="12"/>
  <c r="M35" i="12" s="1"/>
  <c r="L91" i="12"/>
  <c r="M91" i="12" s="1"/>
  <c r="N91" i="12" s="1"/>
  <c r="L18" i="12"/>
  <c r="M18" i="12" s="1"/>
  <c r="L20" i="12"/>
  <c r="M20" i="12" s="1"/>
  <c r="N20" i="12" s="1"/>
  <c r="L19" i="12"/>
  <c r="M19" i="12" s="1"/>
  <c r="L90" i="12"/>
  <c r="M90" i="12" s="1"/>
  <c r="N90" i="12" s="1"/>
  <c r="L21" i="12"/>
  <c r="M21" i="12" s="1"/>
  <c r="N21" i="12" s="1"/>
  <c r="L22" i="12"/>
  <c r="M22" i="12" s="1"/>
  <c r="N22" i="12" s="1"/>
  <c r="L33" i="12"/>
  <c r="M33" i="12" s="1"/>
  <c r="L36" i="12"/>
  <c r="M36" i="12" s="1"/>
  <c r="N36" i="12" s="1"/>
  <c r="L30" i="12"/>
  <c r="M30" i="12" s="1"/>
  <c r="N30" i="12" s="1"/>
  <c r="L32" i="12"/>
  <c r="M32" i="12" s="1"/>
  <c r="N32" i="12" s="1"/>
  <c r="L87" i="12"/>
  <c r="M87" i="12" s="1"/>
  <c r="N87" i="12" s="1"/>
  <c r="L67" i="12"/>
  <c r="M67" i="12" s="1"/>
  <c r="N67" i="12" s="1"/>
  <c r="L79" i="12"/>
  <c r="M79" i="12" s="1"/>
  <c r="N79" i="12" s="1"/>
  <c r="L63" i="12"/>
  <c r="M63" i="12" s="1"/>
  <c r="N63" i="12" s="1"/>
  <c r="L66" i="12"/>
  <c r="M66" i="12" s="1"/>
  <c r="L85" i="12"/>
  <c r="L52" i="12"/>
  <c r="M52" i="12" s="1"/>
  <c r="N52" i="12" s="1"/>
  <c r="L38" i="12"/>
  <c r="M38" i="12" s="1"/>
  <c r="N38" i="12" s="1"/>
  <c r="L40" i="12"/>
  <c r="M40" i="12" s="1"/>
  <c r="L41" i="12"/>
  <c r="M41" i="12" s="1"/>
  <c r="N41" i="12" s="1"/>
  <c r="L29" i="12"/>
  <c r="L34" i="12"/>
  <c r="M34" i="12" s="1"/>
  <c r="N34" i="12" s="1"/>
  <c r="L39" i="12"/>
  <c r="M39" i="12" s="1"/>
  <c r="N39" i="12" s="1"/>
  <c r="L89" i="12"/>
  <c r="M89" i="12" s="1"/>
  <c r="N89" i="12" s="1"/>
  <c r="L68" i="12"/>
  <c r="G48" i="1"/>
  <c r="G54" i="1" s="1"/>
  <c r="H121" i="12"/>
  <c r="L121" i="12" s="1"/>
  <c r="M121" i="12" s="1"/>
  <c r="D127" i="12"/>
  <c r="E127" i="12"/>
  <c r="B18" i="1" s="1"/>
  <c r="F127" i="12"/>
  <c r="C18" i="1" s="1"/>
  <c r="G127" i="12"/>
  <c r="D18" i="1" s="1"/>
  <c r="H127" i="12"/>
  <c r="E18" i="1" s="1"/>
  <c r="I127" i="12"/>
  <c r="F18" i="1" s="1"/>
  <c r="F19" i="1" s="1"/>
  <c r="J127" i="12"/>
  <c r="G18" i="1" s="1"/>
  <c r="G19" i="1" s="1"/>
  <c r="G21" i="1" s="1"/>
  <c r="K127" i="12"/>
  <c r="H18" i="1" s="1"/>
  <c r="C128" i="12"/>
  <c r="N40" i="12"/>
  <c r="N66" i="12"/>
  <c r="N33" i="12"/>
  <c r="N19" i="12"/>
  <c r="N18" i="12"/>
  <c r="N35" i="12"/>
  <c r="N86" i="12"/>
  <c r="N92" i="12"/>
  <c r="N44" i="12"/>
  <c r="N43" i="12"/>
  <c r="N42" i="12"/>
  <c r="N46" i="12"/>
  <c r="N69" i="12"/>
  <c r="N70" i="12"/>
  <c r="N71" i="12"/>
  <c r="N72" i="12"/>
  <c r="N73" i="12"/>
  <c r="N74" i="12"/>
  <c r="N75" i="12"/>
  <c r="N76" i="12"/>
  <c r="N77" i="12"/>
  <c r="N78" i="12"/>
  <c r="N31" i="12"/>
  <c r="N64" i="12"/>
  <c r="N65" i="12"/>
  <c r="N61" i="12"/>
  <c r="N62" i="12"/>
  <c r="N58" i="12"/>
  <c r="N59" i="12"/>
  <c r="N60" i="12"/>
  <c r="N53" i="12"/>
  <c r="N54" i="12"/>
  <c r="N55" i="12"/>
  <c r="N56" i="12"/>
  <c r="N57" i="12"/>
  <c r="N88" i="12"/>
  <c r="N50" i="12"/>
  <c r="N51" i="12"/>
  <c r="N47" i="12"/>
  <c r="N48" i="12"/>
  <c r="N49" i="12"/>
  <c r="N23" i="12"/>
  <c r="N45" i="12"/>
  <c r="F44" i="1"/>
  <c r="F48" i="1" s="1"/>
  <c r="F54" i="1" s="1"/>
  <c r="B17" i="8"/>
  <c r="B19" i="8" s="1"/>
  <c r="L106" i="12" l="1"/>
  <c r="M85" i="12"/>
  <c r="L99" i="12"/>
  <c r="M29" i="12"/>
  <c r="L82" i="12"/>
  <c r="M17" i="12"/>
  <c r="L26" i="12"/>
  <c r="C127" i="12"/>
  <c r="M68" i="12"/>
  <c r="N68" i="12" s="1"/>
  <c r="N121" i="12"/>
  <c r="G26" i="1"/>
  <c r="G39" i="1" s="1"/>
  <c r="F21" i="1"/>
  <c r="F26" i="1" s="1"/>
  <c r="F39" i="1" s="1"/>
  <c r="K128" i="12"/>
  <c r="I128" i="12"/>
  <c r="G128" i="12"/>
  <c r="E128" i="12"/>
  <c r="J128" i="12"/>
  <c r="H128" i="12"/>
  <c r="F128" i="12"/>
  <c r="D128" i="12"/>
  <c r="F31" i="1"/>
  <c r="G31" i="1"/>
  <c r="G32" i="1" s="1"/>
  <c r="G33" i="1" s="1"/>
  <c r="L110" i="12" l="1"/>
  <c r="L128" i="12" s="1"/>
  <c r="N106" i="12"/>
  <c r="M106" i="12"/>
  <c r="M82" i="12"/>
  <c r="N29" i="12"/>
  <c r="N82" i="12" s="1"/>
  <c r="N85" i="12"/>
  <c r="N99" i="12" s="1"/>
  <c r="M99" i="12"/>
  <c r="M26" i="12"/>
  <c r="N17" i="12"/>
  <c r="L127" i="12" l="1"/>
  <c r="M110" i="12"/>
  <c r="M127" i="12" s="1"/>
  <c r="M128" i="12"/>
  <c r="N26" i="12"/>
  <c r="N110" i="12" s="1"/>
  <c r="F3" i="11"/>
  <c r="F2" i="11"/>
  <c r="F1" i="11"/>
  <c r="A2" i="11"/>
  <c r="E3" i="10"/>
  <c r="E2" i="10"/>
  <c r="E1" i="10"/>
  <c r="A3" i="10"/>
  <c r="A2" i="10"/>
  <c r="E22" i="11"/>
  <c r="N127" i="12" l="1"/>
  <c r="N128" i="12"/>
  <c r="E13" i="10"/>
  <c r="C13" i="10"/>
  <c r="E21" i="11"/>
  <c r="E23" i="11"/>
  <c r="E20" i="11"/>
  <c r="C80" i="9"/>
  <c r="F22" i="11" l="1"/>
  <c r="F20" i="11"/>
  <c r="F21" i="11"/>
  <c r="F23" i="11"/>
  <c r="E26" i="11"/>
  <c r="E49" i="11"/>
  <c r="E79" i="11" s="1"/>
  <c r="E18" i="10"/>
  <c r="E16" i="10"/>
  <c r="E17" i="10"/>
  <c r="E15" i="10"/>
  <c r="E40" i="11" l="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8" i="1"/>
  <c r="C44" i="1"/>
  <c r="C48" i="1" s="1"/>
  <c r="D44" i="1"/>
  <c r="D48" i="1" s="1"/>
  <c r="E44" i="1"/>
  <c r="E48" i="1" s="1"/>
  <c r="B44" i="1"/>
  <c r="B48" i="1" s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5" i="1"/>
  <c r="I23" i="1"/>
  <c r="H19" i="1"/>
  <c r="D19" i="1"/>
  <c r="C19" i="1"/>
  <c r="E43" i="11" l="1"/>
  <c r="E83" i="11" s="1"/>
  <c r="F26" i="11"/>
  <c r="C21" i="1"/>
  <c r="C26" i="1" s="1"/>
  <c r="C39" i="1" s="1"/>
  <c r="H21" i="1"/>
  <c r="H26" i="1" s="1"/>
  <c r="H39" i="1" s="1"/>
  <c r="D21" i="1"/>
  <c r="D26" i="1" s="1"/>
  <c r="D39" i="1" s="1"/>
  <c r="H31" i="1"/>
  <c r="D31" i="1"/>
  <c r="C31" i="1"/>
  <c r="I44" i="1"/>
  <c r="I48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I18" i="1"/>
  <c r="D15" i="3"/>
  <c r="F15" i="3"/>
  <c r="E17" i="3"/>
  <c r="C17" i="3" s="1"/>
  <c r="C14" i="3"/>
  <c r="D16" i="3" s="1"/>
  <c r="B19" i="1"/>
  <c r="I52" i="1"/>
  <c r="F38" i="11" l="1"/>
  <c r="F40" i="11"/>
  <c r="F39" i="11"/>
  <c r="F37" i="11"/>
  <c r="B21" i="1"/>
  <c r="B26" i="1" s="1"/>
  <c r="B39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F43" i="11" l="1"/>
  <c r="F83" i="11" s="1"/>
  <c r="D18" i="3"/>
  <c r="G13" i="3"/>
  <c r="G16" i="3"/>
  <c r="N78" i="6"/>
  <c r="N80" i="6" s="1"/>
  <c r="C80" i="6"/>
  <c r="E18" i="3"/>
  <c r="E11" i="3" s="1"/>
  <c r="F18" i="3"/>
  <c r="F11" i="3" s="1"/>
  <c r="D11" i="3"/>
  <c r="E13" i="2" l="1"/>
  <c r="G18" i="3"/>
  <c r="B21" i="8" l="1"/>
  <c r="B23" i="8" s="1"/>
  <c r="E28" i="2"/>
  <c r="E44" i="2" s="1"/>
  <c r="E53" i="2" s="1"/>
  <c r="I17" i="1" l="1"/>
  <c r="E19" i="1"/>
  <c r="B77" i="8"/>
  <c r="B35" i="8"/>
  <c r="H54" i="1"/>
  <c r="C54" i="1"/>
  <c r="D54" i="1"/>
  <c r="B54" i="1"/>
  <c r="E21" i="1" l="1"/>
  <c r="I21" i="1" s="1"/>
  <c r="E31" i="1"/>
  <c r="B79" i="8"/>
  <c r="B30" i="8"/>
  <c r="B27" i="8"/>
  <c r="C27" i="8" s="1"/>
  <c r="B39" i="8"/>
  <c r="B29" i="8"/>
  <c r="D9" i="7"/>
  <c r="B28" i="8"/>
  <c r="B31" i="8"/>
  <c r="B26" i="8"/>
  <c r="I19" i="1"/>
  <c r="C23" i="8"/>
  <c r="B80" i="8"/>
  <c r="I26" i="1" l="1"/>
  <c r="E26" i="1"/>
  <c r="E39" i="1" s="1"/>
  <c r="I39" i="1" s="1"/>
  <c r="I40" i="1" s="1"/>
  <c r="B33" i="8"/>
  <c r="C33" i="8" s="1"/>
  <c r="C35" i="8" s="1"/>
  <c r="C79" i="8"/>
  <c r="C78" i="8"/>
  <c r="B37" i="8"/>
  <c r="B18" i="8" s="1"/>
  <c r="C77" i="8"/>
  <c r="D12" i="7"/>
  <c r="D13" i="7" s="1"/>
  <c r="C23" i="7"/>
  <c r="F27" i="1" l="1"/>
  <c r="G27" i="1"/>
  <c r="F32" i="1"/>
  <c r="F33" i="1" s="1"/>
  <c r="B27" i="1"/>
  <c r="C27" i="1"/>
  <c r="C32" i="1" s="1"/>
  <c r="C33" i="1" s="1"/>
  <c r="D27" i="1"/>
  <c r="D32" i="1" s="1"/>
  <c r="D33" i="1" s="1"/>
  <c r="I27" i="1"/>
  <c r="H27" i="1"/>
  <c r="H32" i="1" s="1"/>
  <c r="H33" i="1" s="1"/>
  <c r="D23" i="7"/>
  <c r="E23" i="7"/>
  <c r="E27" i="1"/>
  <c r="C80" i="8"/>
  <c r="F40" i="1" l="1"/>
  <c r="F50" i="1" s="1"/>
  <c r="I31" i="1"/>
  <c r="B32" i="1"/>
  <c r="B33" i="1" s="1"/>
  <c r="F23" i="7"/>
  <c r="G23" i="7" s="1"/>
  <c r="C24" i="7" s="1"/>
  <c r="D24" i="7" s="1"/>
  <c r="G40" i="1" l="1"/>
  <c r="G50" i="1" s="1"/>
  <c r="B40" i="1"/>
  <c r="B50" i="1" s="1"/>
  <c r="C40" i="1"/>
  <c r="C50" i="1" s="1"/>
  <c r="E24" i="7"/>
  <c r="F24" i="7"/>
  <c r="G24" i="7" s="1"/>
  <c r="C25" i="7" s="1"/>
  <c r="E25" i="7" s="1"/>
  <c r="D40" i="1"/>
  <c r="D50" i="1" s="1"/>
  <c r="H40" i="1"/>
  <c r="H50" i="1" s="1"/>
  <c r="E40" i="1"/>
  <c r="D25" i="7" l="1"/>
  <c r="F25" i="7" s="1"/>
  <c r="G25" i="7" s="1"/>
  <c r="C26" i="7" s="1"/>
  <c r="D26" i="7" l="1"/>
  <c r="E26" i="7"/>
  <c r="F26" i="7" l="1"/>
  <c r="G26" i="7" l="1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50" i="1" s="1"/>
  <c r="E50" i="1"/>
  <c r="E54" i="1" s="1"/>
  <c r="G52" i="7"/>
</calcChain>
</file>

<file path=xl/sharedStrings.xml><?xml version="1.0" encoding="utf-8"?>
<sst xmlns="http://schemas.openxmlformats.org/spreadsheetml/2006/main" count="614" uniqueCount="445">
  <si>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</si>
  <si>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</si>
  <si>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</si>
  <si>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</si>
  <si>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</si>
  <si>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</si>
  <si>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</si>
  <si>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</si>
  <si>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</si>
  <si>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</si>
  <si>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</si>
  <si>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</si>
  <si>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</si>
  <si>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</si>
  <si>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</si>
  <si>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</si>
  <si>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</si>
  <si>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</si>
  <si>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</si>
  <si>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</si>
  <si>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</si>
  <si>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</si>
  <si>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</si>
  <si>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</si>
  <si>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</si>
  <si>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</si>
  <si>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</si>
  <si>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</si>
  <si>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</si>
  <si>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</si>
  <si>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</si>
  <si>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</si>
  <si>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</si>
  <si>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</si>
  <si>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</si>
  <si>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</si>
  <si>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</si>
  <si>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</si>
  <si>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</si>
  <si>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</si>
  <si>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</si>
  <si>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</si>
  <si>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</si>
  <si>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</si>
  <si>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</si>
  <si>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</si>
  <si>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</si>
  <si>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</si>
  <si>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</si>
  <si>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</si>
  <si>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</si>
  <si>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</si>
  <si>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</si>
  <si>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</si>
  <si>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</si>
  <si>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</si>
  <si>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</si>
  <si>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</si>
  <si>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</si>
  <si>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</si>
  <si>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</si>
  <si>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</si>
  <si>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</si>
  <si>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</si>
  <si>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</si>
  <si>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</si>
  <si>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</si>
  <si>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</si>
  <si>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</si>
  <si>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</si>
  <si>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</si>
  <si>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</si>
  <si>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</si>
  <si>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</si>
  <si>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</si>
  <si>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</si>
  <si>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</si>
  <si>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</si>
  <si>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</si>
  <si>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</si>
  <si>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</si>
  <si>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</si>
  <si>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</si>
  <si>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</si>
  <si>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</si>
  <si>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</si>
  <si>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</si>
  <si>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</si>
  <si>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</si>
  <si>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</si>
  <si>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</si>
  <si>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</si>
  <si>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</si>
  <si>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</si>
  <si>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</si>
  <si>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</si>
  <si>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</si>
  <si>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</si>
  <si>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</si>
  <si>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</si>
  <si>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</si>
  <si>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</si>
  <si>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</si>
  <si>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</si>
  <si>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</si>
  <si>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</si>
  <si>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</si>
  <si>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</si>
  <si>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</si>
  <si>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</si>
  <si>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</si>
  <si>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</si>
  <si>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</si>
  <si>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</si>
  <si>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</si>
  <si>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</si>
  <si>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</si>
  <si>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</si>
  <si>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</si>
  <si>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</si>
  <si>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</si>
  <si>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</si>
  <si>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</si>
  <si>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</si>
  <si>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</si>
  <si>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</si>
  <si>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</si>
  <si>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</si>
  <si>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</si>
  <si>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</si>
  <si>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</si>
  <si>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</si>
  <si>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Out of date 2007 balances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</si>
  <si>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</si>
  <si>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</si>
  <si>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</si>
  <si>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</si>
  <si>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</si>
  <si>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</si>
  <si>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Total Fund Balances</t>
  </si>
  <si>
    <t>.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</si>
  <si>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</si>
  <si>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</si>
  <si>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</si>
  <si>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</si>
  <si>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</si>
  <si>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</si>
  <si>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</si>
  <si>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</si>
  <si>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</si>
  <si>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</si>
  <si>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</si>
  <si>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</si>
  <si>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</si>
  <si>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</si>
  <si>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</si>
  <si>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</si>
  <si>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</si>
  <si>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</si>
  <si>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</si>
  <si>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</si>
  <si>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</si>
  <si>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</si>
  <si>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</si>
  <si>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</si>
  <si>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</si>
  <si>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</si>
  <si>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</si>
  <si>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</si>
  <si>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</si>
  <si>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</si>
  <si>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</si>
  <si>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</si>
  <si>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</si>
  <si>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</si>
  <si>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</si>
  <si>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</si>
  <si>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</si>
  <si>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</si>
  <si>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</si>
  <si>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</si>
  <si>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</si>
  <si>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</si>
  <si>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</si>
  <si>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</si>
  <si>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</si>
  <si>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</si>
  <si>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</si>
  <si>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</si>
  <si>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</si>
  <si>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</si>
  <si>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</si>
  <si>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</si>
  <si>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</si>
  <si>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</si>
  <si>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</si>
  <si>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</si>
  <si>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</si>
  <si>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</si>
  <si>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</si>
  <si>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</si>
  <si>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</si>
  <si>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</si>
  <si>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</si>
  <si>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</si>
  <si>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</si>
  <si>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</si>
  <si>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</si>
  <si>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</si>
  <si>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</si>
  <si>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</si>
  <si>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</si>
  <si>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</si>
  <si>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</si>
  <si>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</si>
  <si>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</si>
  <si>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</si>
  <si>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</si>
  <si>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</si>
  <si>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</si>
  <si>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</si>
  <si>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</si>
  <si>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</si>
  <si>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Assumes entire cost of current projects funded by 30 year debt service with 2.0% interest.</t>
  </si>
  <si>
    <t>(2)  Need ENR for cost estimates.</t>
  </si>
  <si>
    <t>Working Draft - v1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</si>
  <si>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</si>
  <si>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</si>
  <si>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</si>
  <si>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</si>
  <si>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</si>
  <si>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</si>
  <si>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</si>
  <si>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</si>
  <si>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</si>
  <si>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</si>
  <si>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</si>
  <si>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</si>
  <si>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</si>
  <si>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</si>
  <si>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</si>
  <si>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</si>
  <si>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</si>
  <si>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</si>
  <si>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</si>
  <si>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</si>
  <si>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</si>
  <si>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</si>
  <si>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</si>
  <si>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</si>
  <si>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</si>
  <si>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</si>
  <si>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</si>
  <si>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</si>
  <si>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</si>
  <si>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</si>
  <si>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</si>
  <si>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</si>
  <si>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</si>
  <si>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</si>
  <si>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</si>
  <si>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</si>
  <si>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</si>
  <si>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</si>
  <si>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</si>
  <si>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</si>
  <si>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</si>
  <si>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</si>
  <si>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</si>
  <si>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</si>
  <si>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</si>
  <si>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</si>
  <si>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</si>
  <si>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</si>
  <si>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</si>
  <si>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</si>
  <si>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</si>
  <si>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</si>
  <si>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</si>
  <si>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</si>
  <si>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</si>
  <si>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</si>
  <si>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</si>
  <si>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</si>
  <si>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</si>
  <si>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</si>
  <si>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</si>
  <si>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</si>
  <si>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Table 5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</si>
  <si>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</si>
  <si>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</si>
  <si>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</si>
  <si>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</si>
  <si>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</si>
  <si>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</si>
  <si>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</si>
  <si>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</si>
  <si>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</si>
  <si>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</si>
  <si>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</si>
  <si>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</si>
  <si>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</si>
  <si>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</si>
  <si>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</si>
  <si>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</si>
  <si>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</si>
  <si>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</si>
  <si>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</si>
  <si>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</si>
  <si>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</si>
  <si>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</si>
  <si>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</si>
  <si>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</si>
  <si>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</si>
  <si>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</si>
  <si>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</si>
  <si>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</si>
  <si>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</si>
  <si>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</si>
  <si>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</si>
  <si>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</si>
  <si>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</si>
  <si>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</si>
  <si>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</si>
  <si>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</si>
  <si>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</si>
  <si>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</si>
  <si>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</si>
  <si>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</si>
  <si>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</si>
  <si>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</si>
  <si>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</si>
  <si>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</si>
  <si>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</si>
  <si>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</si>
  <si>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</si>
  <si>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</si>
  <si>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</si>
  <si>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</si>
  <si>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</si>
  <si>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</si>
  <si>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</si>
  <si>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</si>
  <si>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</si>
  <si>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</si>
  <si>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</si>
  <si>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</si>
  <si>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South Main Pump Station</t>
  </si>
  <si>
    <t>Force Main 22S</t>
  </si>
  <si>
    <t>Link 2</t>
  </si>
  <si>
    <t>Link 22S1</t>
  </si>
  <si>
    <t>Link 25</t>
  </si>
  <si>
    <t>Austin Business Pump Station</t>
  </si>
  <si>
    <t>Force Main 27</t>
  </si>
  <si>
    <t>Force Main 28</t>
  </si>
  <si>
    <t>Force Main 27S</t>
  </si>
  <si>
    <t>Yosemite Square Pump Station</t>
  </si>
  <si>
    <t>Force Main 35</t>
  </si>
  <si>
    <t>Force Main 36</t>
  </si>
  <si>
    <t>Link 16A-02</t>
  </si>
  <si>
    <t>Link 10</t>
  </si>
  <si>
    <t>Link 10S</t>
  </si>
  <si>
    <t>South Union Lift Station</t>
  </si>
  <si>
    <t>Link 9</t>
  </si>
  <si>
    <t>Link 9S</t>
  </si>
  <si>
    <t>Link 8</t>
  </si>
  <si>
    <t>Link 8S</t>
  </si>
  <si>
    <t>South Airport Lift Station</t>
  </si>
  <si>
    <t>Link 7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</si>
  <si>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</si>
  <si>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</si>
  <si>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</si>
  <si>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</si>
  <si>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</si>
  <si>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</si>
  <si>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</si>
  <si>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</si>
  <si>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</si>
  <si>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Subtotal</t>
  </si>
  <si>
    <t>Woodward Park Pressure Reduction Alternatives</t>
  </si>
  <si>
    <t>Alternative 1:</t>
  </si>
  <si>
    <t>Increase Woodward Force Main</t>
  </si>
  <si>
    <t>Diameter to 15-inch</t>
  </si>
  <si>
    <t>Alternative 2:</t>
  </si>
  <si>
    <t>Extend Yosemite Square Force Man</t>
  </si>
  <si>
    <t>to Link 22</t>
  </si>
  <si>
    <t>Total By Alternative</t>
  </si>
  <si>
    <t xml:space="preserve">     Alternative 1</t>
  </si>
  <si>
    <t xml:space="preserve">     Alternative 2</t>
  </si>
  <si>
    <t xml:space="preserve">     Future Projects (Alternative 1)</t>
  </si>
  <si>
    <t>PFF</t>
  </si>
  <si>
    <t>Share</t>
  </si>
  <si>
    <t>(3) Assumes 100% of PFF CIP costs are financed, see Table 6 for financing assumptions.</t>
  </si>
  <si>
    <t>(4) Contingency estimate of 19% from City of Manteca.</t>
  </si>
  <si>
    <t>Soft Costs (19% of Construction Costs)</t>
  </si>
  <si>
    <t>See Note (4)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</si>
  <si>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</si>
  <si>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</si>
  <si>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</si>
  <si>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</si>
  <si>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</si>
  <si>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</si>
  <si>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</si>
  <si>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</si>
  <si>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</si>
  <si>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</si>
  <si>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</si>
  <si>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</si>
  <si>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</si>
  <si>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Subtotal 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</si>
  <si>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</si>
  <si>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</si>
  <si>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</si>
  <si>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</si>
  <si>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</si>
  <si>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</si>
  <si>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</si>
  <si>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(1) Alternative 1 for Woodward Park Pressure Reduction Alternatives was used.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</si>
  <si>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</si>
  <si>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</si>
  <si>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</si>
  <si>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</si>
  <si>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</si>
  <si>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</si>
  <si>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</si>
  <si>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</si>
  <si>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</si>
  <si>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</si>
  <si>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</si>
  <si>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</si>
  <si>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</si>
  <si>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</si>
  <si>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</si>
  <si>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</si>
  <si>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PFF Program Uddate Costs</t>
  </si>
  <si>
    <t>City Administrative Costs - Variable</t>
  </si>
  <si>
    <t>City Administrative Costs - Annual</t>
  </si>
  <si>
    <t>PFF Updates - 5 Year</t>
  </si>
  <si>
    <t>PFF Updates - Annual</t>
  </si>
  <si>
    <t>(5) Variable City Admistrative Costs assumed to by 2% of PFF CIP costs.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</si>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</sst>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8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6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43" fontId="1" fillId="0" borderId="0" xfId="0" applyNumberFormat="1" applyFont="1"/>
    <xf numFmtId="43" fontId="1" fillId="0" borderId="0" xfId="1" applyFont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164" fontId="0" fillId="0" borderId="17" xfId="1" applyNumberFormat="1" applyFont="1" applyBorder="1"/>
    <xf numFmtId="164" fontId="3" fillId="0" borderId="0" xfId="1" applyNumberFormat="1" applyFont="1"/>
    <xf numFmtId="164" fontId="3" fillId="0" borderId="8" xfId="1" applyNumberFormat="1" applyFont="1" applyBorder="1"/>
    <xf numFmtId="164" fontId="3" fillId="0" borderId="6" xfId="1" applyNumberFormat="1" applyFont="1" applyBorder="1"/>
    <xf numFmtId="164" fontId="3" fillId="0" borderId="9" xfId="1" applyNumberFormat="1" applyFont="1" applyBorder="1"/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/>
  </sheetViews>
  <sheetFormatPr defaultRowHeight="12.75"/>
  <cols>
    <col min="1" max="1" width="18.5703125" bestFit="1" customWidth="1"/>
    <col min="2" max="2" width="22.5703125" bestFit="1" customWidth="1"/>
  </cols>
  <sheetData>
    <row r="10" spans="1:2">
      <c r="A10" t="s">
        <v>65</v>
      </c>
      <c r="B10" t="s">
        <v>58</v>
      </c>
    </row>
    <row r="12" spans="1:2">
      <c r="A12" t="s">
        <v>72</v>
      </c>
      <c r="B12" t="s">
        <v>75</v>
      </c>
    </row>
    <row r="13" spans="1:2">
      <c r="A13" t="s">
        <v>73</v>
      </c>
      <c r="B13" s="171" t="s">
        <v>225</v>
      </c>
    </row>
    <row r="14" spans="1:2">
      <c r="A14" t="s">
        <v>74</v>
      </c>
      <c r="B14" s="172">
        <v>41075</v>
      </c>
    </row>
    <row r="17" spans="1:2">
      <c r="A17" s="5" t="s">
        <v>63</v>
      </c>
    </row>
    <row r="18" spans="1:2">
      <c r="A18" t="s">
        <v>64</v>
      </c>
      <c r="B18" t="s">
        <v>59</v>
      </c>
    </row>
    <row r="21" spans="1:2">
      <c r="A21" t="s">
        <v>291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topLeftCell="A34" zoomScale="75" workbookViewId="0">
      <selection activeCell="A89" sqref="A89"/>
    </sheetView>
  </sheetViews>
  <sheetFormatPr defaultRowHeight="12.75"/>
  <cols>
    <col min="1" max="1" width="41.28515625" customWidth="1"/>
    <col min="2" max="2" width="12.5703125" bestFit="1" customWidth="1"/>
    <col min="3" max="3" width="12.5703125" customWidth="1"/>
    <col min="4" max="4" width="10.5703125" customWidth="1"/>
    <col min="5" max="5" width="11.42578125" bestFit="1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>
      <c r="A1" s="209" t="s">
        <v>288</v>
      </c>
      <c r="F1" s="51" t="str">
        <f>Assumptions!$B$12</f>
        <v>Internal</v>
      </c>
    </row>
    <row r="2" spans="1:8">
      <c r="A2" s="50" t="str">
        <f>Assumptions!B10</f>
        <v>City of Manteca</v>
      </c>
      <c r="F2" s="52" t="str">
        <f>Assumptions!$B$13</f>
        <v>Working Draft - v1</v>
      </c>
    </row>
    <row r="3" spans="1:8">
      <c r="A3" s="209" t="s">
        <v>434</v>
      </c>
      <c r="F3" s="53">
        <f>Assumptions!$B$14</f>
        <v>41075</v>
      </c>
    </row>
    <row r="4" spans="1:8">
      <c r="A4" s="209"/>
    </row>
    <row r="5" spans="1:8">
      <c r="E5" s="189"/>
      <c r="F5" s="189"/>
      <c r="G5" s="186"/>
      <c r="H5" s="201"/>
    </row>
    <row r="6" spans="1:8">
      <c r="E6" s="198"/>
      <c r="F6" s="198"/>
      <c r="G6" s="199"/>
      <c r="H6" s="201"/>
    </row>
    <row r="7" spans="1:8">
      <c r="E7" s="198"/>
      <c r="F7" s="198"/>
      <c r="G7" s="199"/>
      <c r="H7" s="201"/>
    </row>
    <row r="8" spans="1:8">
      <c r="E8" s="198"/>
      <c r="F8" s="198"/>
      <c r="G8" s="199"/>
      <c r="H8" s="201"/>
    </row>
    <row r="9" spans="1:8" ht="25.5">
      <c r="A9" s="5" t="s">
        <v>7</v>
      </c>
      <c r="B9" s="225" t="s">
        <v>418</v>
      </c>
      <c r="C9" s="258" t="s">
        <v>422</v>
      </c>
      <c r="D9" s="258" t="s">
        <v>425</v>
      </c>
      <c r="E9" s="259" t="s">
        <v>423</v>
      </c>
      <c r="F9" s="259" t="s">
        <v>424</v>
      </c>
      <c r="G9" s="199"/>
      <c r="H9" s="201"/>
    </row>
    <row r="10" spans="1:8">
      <c r="G10" s="199"/>
      <c r="H10" s="201"/>
    </row>
    <row r="11" spans="1:8">
      <c r="G11" s="199"/>
      <c r="H11" s="201"/>
    </row>
    <row r="12" spans="1:8">
      <c r="A12" s="260" t="s">
        <v>427</v>
      </c>
      <c r="B12" s="171"/>
      <c r="C12" s="171"/>
      <c r="D12" s="171"/>
      <c r="E12" s="198"/>
      <c r="F12" s="198"/>
      <c r="G12" s="199"/>
      <c r="H12" s="201"/>
    </row>
    <row r="13" spans="1:8">
      <c r="A13" s="171" t="s">
        <v>420</v>
      </c>
      <c r="B13" s="171" t="s">
        <v>419</v>
      </c>
      <c r="C13" s="171">
        <v>50</v>
      </c>
      <c r="D13" s="171">
        <f>C13/5</f>
        <v>10</v>
      </c>
      <c r="E13" s="187">
        <v>75000</v>
      </c>
      <c r="F13" s="198">
        <f>E13*D13</f>
        <v>750000</v>
      </c>
      <c r="G13" s="199"/>
      <c r="H13" s="202"/>
    </row>
    <row r="14" spans="1:8">
      <c r="A14" t="s">
        <v>272</v>
      </c>
      <c r="B14" s="171" t="s">
        <v>419</v>
      </c>
      <c r="C14" s="171">
        <v>50</v>
      </c>
      <c r="D14" s="171">
        <f>C14/5</f>
        <v>10</v>
      </c>
      <c r="E14" s="192">
        <v>15000</v>
      </c>
      <c r="F14" s="198">
        <f>E14*D14</f>
        <v>150000</v>
      </c>
    </row>
    <row r="15" spans="1:8">
      <c r="E15" s="5"/>
      <c r="F15" s="5"/>
    </row>
    <row r="17" spans="1:6">
      <c r="A17" t="s">
        <v>273</v>
      </c>
      <c r="E17" s="192">
        <f>SUM(E12:E16)</f>
        <v>90000</v>
      </c>
      <c r="F17" s="192">
        <f>SUM(F12:F16)</f>
        <v>900000</v>
      </c>
    </row>
    <row r="18" spans="1:6">
      <c r="E18" s="192"/>
    </row>
    <row r="19" spans="1:6">
      <c r="A19" s="171" t="s">
        <v>426</v>
      </c>
      <c r="E19" s="192"/>
    </row>
    <row r="20" spans="1:6">
      <c r="A20" t="s">
        <v>267</v>
      </c>
      <c r="B20" s="203">
        <v>0.25</v>
      </c>
      <c r="C20" s="203"/>
      <c r="D20" s="203"/>
      <c r="E20" s="192">
        <f>$B$20*E17</f>
        <v>22500</v>
      </c>
      <c r="F20" s="202">
        <f>$F$17*$B20</f>
        <v>225000</v>
      </c>
    </row>
    <row r="21" spans="1:6">
      <c r="A21" t="s">
        <v>268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225000</v>
      </c>
    </row>
    <row r="22" spans="1:6">
      <c r="A22" t="s">
        <v>269</v>
      </c>
      <c r="B22" s="203">
        <v>0.25</v>
      </c>
      <c r="C22" s="203"/>
      <c r="D22" s="203"/>
      <c r="E22" s="192">
        <f>$B$22*E17</f>
        <v>22500</v>
      </c>
      <c r="F22" s="202">
        <f t="shared" si="0"/>
        <v>225000</v>
      </c>
    </row>
    <row r="23" spans="1:6">
      <c r="A23" t="s">
        <v>270</v>
      </c>
      <c r="B23" s="203">
        <v>0.25</v>
      </c>
      <c r="C23" s="203"/>
      <c r="D23" s="203"/>
      <c r="E23" s="192">
        <f>$B$23*E17</f>
        <v>22500</v>
      </c>
      <c r="F23" s="202">
        <f t="shared" si="0"/>
        <v>225000</v>
      </c>
    </row>
    <row r="24" spans="1:6">
      <c r="E24" s="5"/>
      <c r="F24" s="5"/>
    </row>
    <row r="26" spans="1:6">
      <c r="A26" s="171" t="s">
        <v>421</v>
      </c>
      <c r="E26" s="261">
        <f>SUM(E20:E24)</f>
        <v>90000</v>
      </c>
      <c r="F26" s="261">
        <f>SUM(F20:F24)</f>
        <v>900000</v>
      </c>
    </row>
    <row r="27" spans="1:6">
      <c r="A27" s="171"/>
      <c r="E27" s="192"/>
      <c r="F27" s="192"/>
    </row>
    <row r="29" spans="1:6">
      <c r="A29" s="260" t="s">
        <v>428</v>
      </c>
    </row>
    <row r="30" spans="1:6">
      <c r="A30" s="171" t="s">
        <v>420</v>
      </c>
      <c r="B30" s="171" t="s">
        <v>429</v>
      </c>
      <c r="C30" s="171">
        <v>50</v>
      </c>
      <c r="D30" s="171">
        <v>50</v>
      </c>
      <c r="E30" s="187">
        <v>20000</v>
      </c>
      <c r="F30" s="198">
        <f>E30*D30</f>
        <v>1000000</v>
      </c>
    </row>
    <row r="31" spans="1:6">
      <c r="A31" t="s">
        <v>272</v>
      </c>
      <c r="B31" s="171" t="s">
        <v>429</v>
      </c>
      <c r="C31" s="171">
        <v>50</v>
      </c>
      <c r="D31" s="171">
        <v>50</v>
      </c>
      <c r="E31" s="192">
        <v>3000</v>
      </c>
      <c r="F31" s="198">
        <f>E31*D31</f>
        <v>150000</v>
      </c>
    </row>
    <row r="32" spans="1:6">
      <c r="E32" s="5"/>
      <c r="F32" s="5"/>
    </row>
    <row r="34" spans="1:6">
      <c r="A34" t="s">
        <v>273</v>
      </c>
      <c r="E34" s="192">
        <f>SUM(E29:E33)</f>
        <v>23000</v>
      </c>
      <c r="F34" s="192">
        <f>SUM(F29:F33)</f>
        <v>1150000</v>
      </c>
    </row>
    <row r="35" spans="1:6">
      <c r="E35" s="192"/>
    </row>
    <row r="36" spans="1:6">
      <c r="A36" s="171" t="s">
        <v>426</v>
      </c>
      <c r="E36" s="192"/>
    </row>
    <row r="37" spans="1:6">
      <c r="A37" t="s">
        <v>267</v>
      </c>
      <c r="B37" s="203">
        <v>0.25</v>
      </c>
      <c r="C37" s="203"/>
      <c r="D37" s="203"/>
      <c r="E37" s="192">
        <f>$B$20*E34</f>
        <v>5750</v>
      </c>
      <c r="F37" s="202">
        <f>$F$34*$B37</f>
        <v>287500</v>
      </c>
    </row>
    <row r="38" spans="1:6">
      <c r="A38" t="s">
        <v>268</v>
      </c>
      <c r="B38" s="203">
        <v>0.25</v>
      </c>
      <c r="C38" s="203"/>
      <c r="D38" s="203"/>
      <c r="E38" s="192">
        <f>$B$21*E34</f>
        <v>5750</v>
      </c>
      <c r="F38" s="202">
        <f t="shared" ref="F38:F40" si="1">$F$34*$B38</f>
        <v>287500</v>
      </c>
    </row>
    <row r="39" spans="1:6">
      <c r="A39" t="s">
        <v>269</v>
      </c>
      <c r="B39" s="203">
        <v>0.25</v>
      </c>
      <c r="C39" s="203"/>
      <c r="D39" s="203"/>
      <c r="E39" s="192">
        <f>$B$22*E34</f>
        <v>5750</v>
      </c>
      <c r="F39" s="202">
        <f t="shared" si="1"/>
        <v>287500</v>
      </c>
    </row>
    <row r="40" spans="1:6">
      <c r="A40" t="s">
        <v>270</v>
      </c>
      <c r="B40" s="203">
        <v>0.25</v>
      </c>
      <c r="C40" s="203"/>
      <c r="D40" s="203"/>
      <c r="E40" s="192">
        <f>$B$23*E34</f>
        <v>5750</v>
      </c>
      <c r="F40" s="202">
        <f t="shared" si="1"/>
        <v>287500</v>
      </c>
    </row>
    <row r="41" spans="1:6">
      <c r="E41" s="5"/>
      <c r="F41" s="5"/>
    </row>
    <row r="43" spans="1:6">
      <c r="A43" s="171" t="s">
        <v>430</v>
      </c>
      <c r="E43" s="261">
        <f>SUM(E37:E41)</f>
        <v>23000</v>
      </c>
      <c r="F43" s="261">
        <f>SUM(F37:F41)</f>
        <v>1150000</v>
      </c>
    </row>
    <row r="44" spans="1:6">
      <c r="A44" s="171"/>
      <c r="E44" s="192"/>
      <c r="F44" s="192"/>
    </row>
    <row r="46" spans="1:6">
      <c r="A46" s="204" t="s">
        <v>274</v>
      </c>
    </row>
    <row r="47" spans="1:6">
      <c r="A47" t="s">
        <v>275</v>
      </c>
      <c r="B47" s="171" t="s">
        <v>419</v>
      </c>
      <c r="C47" s="171">
        <v>50</v>
      </c>
      <c r="D47" s="171">
        <f>C47/5</f>
        <v>10</v>
      </c>
      <c r="E47" s="192">
        <v>300000</v>
      </c>
      <c r="F47" s="202">
        <f>E47*D47</f>
        <v>3000000</v>
      </c>
    </row>
    <row r="48" spans="1:6">
      <c r="A48" t="s">
        <v>276</v>
      </c>
      <c r="B48" s="171" t="s">
        <v>419</v>
      </c>
      <c r="C48" s="171">
        <v>50</v>
      </c>
      <c r="D48" s="171">
        <f>C48/5</f>
        <v>10</v>
      </c>
      <c r="E48" s="205">
        <v>200000</v>
      </c>
      <c r="F48" s="205">
        <f>E48*D48</f>
        <v>2000000</v>
      </c>
    </row>
    <row r="49" spans="1:7">
      <c r="A49" s="171" t="s">
        <v>444</v>
      </c>
      <c r="E49" s="202">
        <f>SUM(E47:E48)</f>
        <v>500000</v>
      </c>
      <c r="F49" s="202">
        <f>SUM(F47:F48)</f>
        <v>5000000</v>
      </c>
      <c r="G49" s="202"/>
    </row>
    <row r="50" spans="1:7">
      <c r="A50" s="263" t="s">
        <v>441</v>
      </c>
      <c r="B50" s="25">
        <v>0.75</v>
      </c>
      <c r="E50" s="202"/>
      <c r="F50" s="202">
        <f>B50*F49</f>
        <v>3750000</v>
      </c>
      <c r="G50" s="202"/>
    </row>
    <row r="51" spans="1:7">
      <c r="A51" s="263" t="s">
        <v>442</v>
      </c>
      <c r="B51" s="25">
        <v>0.25</v>
      </c>
      <c r="E51" s="202"/>
      <c r="F51" s="202">
        <f>B51*F50</f>
        <v>937500</v>
      </c>
      <c r="G51" s="202"/>
    </row>
    <row r="52" spans="1:7">
      <c r="E52" s="202"/>
    </row>
    <row r="53" spans="1:7">
      <c r="E53" s="202"/>
    </row>
    <row r="54" spans="1:7">
      <c r="A54" s="262" t="s">
        <v>431</v>
      </c>
      <c r="E54" s="202"/>
    </row>
    <row r="55" spans="1:7">
      <c r="A55" t="s">
        <v>277</v>
      </c>
      <c r="B55" s="171" t="s">
        <v>419</v>
      </c>
      <c r="C55" s="171">
        <v>50</v>
      </c>
      <c r="D55" s="171">
        <f>C55/5</f>
        <v>10</v>
      </c>
      <c r="E55" s="192">
        <v>100000</v>
      </c>
      <c r="F55" s="202">
        <f>E55*D55</f>
        <v>1000000</v>
      </c>
    </row>
    <row r="56" spans="1:7">
      <c r="A56" t="s">
        <v>278</v>
      </c>
      <c r="B56" s="171" t="s">
        <v>419</v>
      </c>
      <c r="C56" s="171">
        <v>50</v>
      </c>
      <c r="D56" s="171">
        <f>C56/5</f>
        <v>10</v>
      </c>
      <c r="E56" s="205">
        <v>75000</v>
      </c>
      <c r="F56" s="205">
        <f>E56*D56</f>
        <v>750000</v>
      </c>
    </row>
    <row r="57" spans="1:7">
      <c r="A57" s="171" t="s">
        <v>444</v>
      </c>
      <c r="E57" s="202">
        <f>SUM(E55:E56)</f>
        <v>175000</v>
      </c>
      <c r="F57" s="202">
        <f>SUM(F55:F56)</f>
        <v>1750000</v>
      </c>
    </row>
    <row r="58" spans="1:7">
      <c r="A58" s="263" t="s">
        <v>441</v>
      </c>
      <c r="B58" s="25">
        <v>0.75</v>
      </c>
      <c r="E58" s="202"/>
      <c r="F58" s="202">
        <f>B58*F57</f>
        <v>1312500</v>
      </c>
      <c r="G58" s="202"/>
    </row>
    <row r="59" spans="1:7">
      <c r="A59" s="263" t="s">
        <v>442</v>
      </c>
      <c r="B59" s="25">
        <v>0.25</v>
      </c>
      <c r="E59" s="202"/>
      <c r="F59" s="202">
        <f>B59*F58</f>
        <v>328125</v>
      </c>
      <c r="G59" s="202"/>
    </row>
    <row r="60" spans="1:7">
      <c r="E60" s="202"/>
    </row>
    <row r="61" spans="1:7">
      <c r="E61" s="202"/>
    </row>
    <row r="62" spans="1:7">
      <c r="A62" s="204" t="s">
        <v>279</v>
      </c>
      <c r="E62" s="202"/>
    </row>
    <row r="63" spans="1:7">
      <c r="A63" t="s">
        <v>280</v>
      </c>
      <c r="B63" s="171" t="s">
        <v>419</v>
      </c>
      <c r="C63" s="171">
        <v>50</v>
      </c>
      <c r="D63" s="171">
        <f>C63/5</f>
        <v>10</v>
      </c>
      <c r="E63" s="192">
        <v>225000</v>
      </c>
      <c r="F63" s="202">
        <f>E63*D63</f>
        <v>2250000</v>
      </c>
    </row>
    <row r="64" spans="1:7">
      <c r="A64" t="s">
        <v>281</v>
      </c>
      <c r="B64" s="171" t="s">
        <v>419</v>
      </c>
      <c r="C64" s="171">
        <v>50</v>
      </c>
      <c r="D64" s="171">
        <f>C64/5</f>
        <v>10</v>
      </c>
      <c r="E64" s="205">
        <v>150000</v>
      </c>
      <c r="F64" s="205">
        <f>E64*D64</f>
        <v>1500000</v>
      </c>
    </row>
    <row r="65" spans="1:7">
      <c r="A65" s="171" t="s">
        <v>444</v>
      </c>
      <c r="E65" s="202">
        <f>SUM(E63:E64)</f>
        <v>375000</v>
      </c>
      <c r="F65" s="202">
        <f>SUM(F63:F64)</f>
        <v>3750000</v>
      </c>
    </row>
    <row r="66" spans="1:7">
      <c r="A66" s="263" t="s">
        <v>441</v>
      </c>
      <c r="B66" s="25">
        <v>0.75</v>
      </c>
      <c r="E66" s="202"/>
      <c r="F66" s="202">
        <f>B66*F65</f>
        <v>2812500</v>
      </c>
      <c r="G66" s="202"/>
    </row>
    <row r="67" spans="1:7">
      <c r="A67" s="263" t="s">
        <v>442</v>
      </c>
      <c r="B67" s="25">
        <v>0.25</v>
      </c>
      <c r="E67" s="202"/>
      <c r="F67" s="202">
        <f>B67*F66</f>
        <v>703125</v>
      </c>
      <c r="G67" s="202"/>
    </row>
    <row r="68" spans="1:7">
      <c r="E68" s="202"/>
    </row>
    <row r="69" spans="1:7">
      <c r="E69" s="202"/>
    </row>
    <row r="70" spans="1:7">
      <c r="A70" s="204" t="s">
        <v>282</v>
      </c>
    </row>
    <row r="71" spans="1:7">
      <c r="A71" t="s">
        <v>283</v>
      </c>
      <c r="B71" s="171" t="s">
        <v>419</v>
      </c>
      <c r="C71" s="171">
        <v>50</v>
      </c>
      <c r="D71" s="171">
        <f>C71/5</f>
        <v>10</v>
      </c>
      <c r="E71" s="192">
        <v>275000</v>
      </c>
      <c r="F71" s="202">
        <f>E71*D71</f>
        <v>2750000</v>
      </c>
    </row>
    <row r="72" spans="1:7">
      <c r="A72" t="s">
        <v>284</v>
      </c>
      <c r="B72" s="171" t="s">
        <v>419</v>
      </c>
      <c r="C72" s="171">
        <v>50</v>
      </c>
      <c r="D72" s="171">
        <f>C72/5</f>
        <v>10</v>
      </c>
      <c r="E72" s="205">
        <v>175000</v>
      </c>
      <c r="F72" s="205">
        <f>E72*D72</f>
        <v>1750000</v>
      </c>
    </row>
    <row r="73" spans="1:7">
      <c r="A73" s="171" t="s">
        <v>443</v>
      </c>
      <c r="E73" s="202">
        <f>SUM(E71:E72)</f>
        <v>450000</v>
      </c>
      <c r="F73" s="202">
        <f>SUM(F71:F72)</f>
        <v>4500000</v>
      </c>
    </row>
    <row r="74" spans="1:7">
      <c r="A74" s="263" t="s">
        <v>441</v>
      </c>
      <c r="B74" s="25">
        <v>0.75</v>
      </c>
      <c r="E74" s="202"/>
      <c r="F74" s="202">
        <f>B74*F73</f>
        <v>3375000</v>
      </c>
      <c r="G74" s="202"/>
    </row>
    <row r="75" spans="1:7">
      <c r="A75" s="263" t="s">
        <v>442</v>
      </c>
      <c r="B75" s="25">
        <v>0.25</v>
      </c>
      <c r="E75" s="202"/>
      <c r="F75" s="202">
        <f>B75*F74</f>
        <v>843750</v>
      </c>
      <c r="G75" s="202"/>
    </row>
    <row r="76" spans="1:7">
      <c r="E76" s="202"/>
    </row>
    <row r="77" spans="1:7" ht="13.5" thickBot="1">
      <c r="E77" s="206"/>
      <c r="F77" s="207"/>
    </row>
    <row r="78" spans="1:7">
      <c r="E78" s="202"/>
    </row>
    <row r="79" spans="1:7">
      <c r="A79" s="171" t="s">
        <v>432</v>
      </c>
      <c r="E79" s="192">
        <f>E73+E65+E57+E49</f>
        <v>1500000</v>
      </c>
      <c r="F79" s="192">
        <f>F73+F65+F57+F49</f>
        <v>15000000</v>
      </c>
    </row>
    <row r="80" spans="1:7">
      <c r="A80" s="263" t="s">
        <v>441</v>
      </c>
      <c r="E80" s="192"/>
      <c r="F80" s="192">
        <f t="shared" ref="F80:F81" si="2">F74+F66+F58+F50</f>
        <v>11250000</v>
      </c>
    </row>
    <row r="81" spans="1:6">
      <c r="A81" s="263" t="s">
        <v>442</v>
      </c>
      <c r="E81" s="192"/>
      <c r="F81" s="192">
        <f t="shared" si="2"/>
        <v>2812500</v>
      </c>
    </row>
    <row r="82" spans="1:6">
      <c r="E82" s="202"/>
    </row>
    <row r="83" spans="1:6">
      <c r="A83" s="171" t="s">
        <v>285</v>
      </c>
      <c r="E83" s="202">
        <f>E79+E43+E26</f>
        <v>1613000</v>
      </c>
      <c r="F83" s="202">
        <f>F79+F43+F26</f>
        <v>17050000</v>
      </c>
    </row>
    <row r="84" spans="1:6">
      <c r="E84" s="202"/>
    </row>
    <row r="86" spans="1:6">
      <c r="A86" s="208" t="s">
        <v>11</v>
      </c>
    </row>
    <row r="87" spans="1:6">
      <c r="A87" t="s">
        <v>286</v>
      </c>
    </row>
    <row r="88" spans="1:6">
      <c r="A88" s="171" t="s">
        <v>433</v>
      </c>
    </row>
    <row r="89" spans="1:6">
      <c r="A89" t="s">
        <v>287</v>
      </c>
    </row>
  </sheetData>
  <printOptions horizontalCentered="1" verticalCentered="1"/>
  <pageMargins left="0.5" right="0.5" top="1" bottom="1" header="0.5" footer="0.5"/>
  <pageSetup scale="57" orientation="portrait" r:id="rId1"/>
  <headerFooter alignWithMargins="0">
    <oddFooter>&amp;L&amp;8&amp;F  (&amp;A)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>
      <selection activeCell="F23" sqref="F23"/>
    </sheetView>
  </sheetViews>
  <sheetFormatPr defaultRowHeight="12.75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>
      <c r="A1" t="s">
        <v>57</v>
      </c>
    </row>
    <row r="2" spans="1:8">
      <c r="A2" t="s">
        <v>58</v>
      </c>
    </row>
    <row r="3" spans="1:8">
      <c r="A3" t="s">
        <v>59</v>
      </c>
    </row>
    <row r="7" spans="1:8">
      <c r="G7" s="42" t="s">
        <v>61</v>
      </c>
    </row>
    <row r="8" spans="1:8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>
      <c r="B9" s="4"/>
      <c r="G9" s="43"/>
    </row>
    <row r="10" spans="1:8">
      <c r="B10" s="4"/>
      <c r="G10" s="43"/>
    </row>
    <row r="11" spans="1:8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>
      <c r="B12" s="4"/>
      <c r="D12" s="21"/>
      <c r="E12" s="21"/>
      <c r="F12" s="21"/>
      <c r="G12" s="43"/>
    </row>
    <row r="13" spans="1:8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294</v>
      </c>
    </row>
    <row r="15" spans="1:8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293</v>
      </c>
    </row>
    <row r="17" spans="1:7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>
      <c r="A22" t="s">
        <v>56</v>
      </c>
    </row>
    <row r="25" spans="1:7">
      <c r="A25" t="s">
        <v>11</v>
      </c>
    </row>
    <row r="27" spans="1:7">
      <c r="A27" t="s">
        <v>79</v>
      </c>
    </row>
    <row r="28" spans="1:7">
      <c r="A28" t="s">
        <v>80</v>
      </c>
    </row>
    <row r="41" ht="12" customHeight="1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zoomScaleNormal="100" workbookViewId="0">
      <pane xSplit="1" ySplit="13" topLeftCell="B32" activePane="bottomRight" state="frozen"/>
      <selection pane="topRight" activeCell="B1" sqref="B1"/>
      <selection pane="bottomLeft" activeCell="A14" sqref="A14"/>
      <selection pane="bottomRight" activeCell="I38" sqref="I38"/>
    </sheetView>
  </sheetViews>
  <sheetFormatPr defaultRowHeight="12.75"/>
  <cols>
    <col min="1" max="1" width="34.7109375" customWidth="1"/>
    <col min="2" max="3" width="11.42578125" bestFit="1" customWidth="1"/>
    <col min="4" max="4" width="11.140625" bestFit="1" customWidth="1"/>
    <col min="5" max="5" width="11.42578125" bestFit="1" customWidth="1"/>
    <col min="6" max="7" width="11.42578125" customWidth="1"/>
    <col min="8" max="8" width="10.28515625" bestFit="1" customWidth="1"/>
    <col min="9" max="9" width="12.42578125" bestFit="1" customWidth="1"/>
    <col min="10" max="10" width="22.5703125" bestFit="1" customWidth="1"/>
  </cols>
  <sheetData>
    <row r="1" spans="1:11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v1</v>
      </c>
      <c r="K2" s="171"/>
    </row>
    <row r="3" spans="1:11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41075</v>
      </c>
      <c r="K3" s="171"/>
    </row>
    <row r="4" spans="1:11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305</v>
      </c>
      <c r="H10" s="223" t="s">
        <v>341</v>
      </c>
      <c r="I10" s="223"/>
      <c r="J10" s="171"/>
      <c r="K10" s="171"/>
    </row>
    <row r="11" spans="1:11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>
      <c r="A15" s="96" t="s">
        <v>134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>
      <c r="A18" s="229" t="s">
        <v>389</v>
      </c>
      <c r="B18" s="231">
        <f>'2. CIP From Master Plan'!E127</f>
        <v>1740484</v>
      </c>
      <c r="C18" s="231">
        <f>'2. CIP From Master Plan'!F127</f>
        <v>14279496</v>
      </c>
      <c r="D18" s="231">
        <f>'2. CIP From Master Plan'!G127</f>
        <v>260610</v>
      </c>
      <c r="E18" s="231">
        <f>'2. CIP From Master Plan'!H127</f>
        <v>33293459</v>
      </c>
      <c r="F18" s="231">
        <f>'2. CIP From Master Plan'!I127</f>
        <v>1964264</v>
      </c>
      <c r="G18" s="231">
        <f>'2. CIP From Master Plan'!J127</f>
        <v>438307</v>
      </c>
      <c r="H18" s="231">
        <f>'2. CIP From Master Plan'!K127</f>
        <v>1202380</v>
      </c>
      <c r="I18" s="231">
        <f>SUM(B18:H18)</f>
        <v>53179000</v>
      </c>
      <c r="J18" s="171" t="s">
        <v>77</v>
      </c>
      <c r="K18" s="171"/>
    </row>
    <row r="19" spans="1:11">
      <c r="A19" s="229" t="s">
        <v>13</v>
      </c>
      <c r="B19" s="232">
        <f t="shared" ref="B19:H19" si="0">SUM(B17:B18)</f>
        <v>1740484</v>
      </c>
      <c r="C19" s="232">
        <f t="shared" si="0"/>
        <v>14279496</v>
      </c>
      <c r="D19" s="232">
        <f t="shared" si="0"/>
        <v>260610</v>
      </c>
      <c r="E19" s="232">
        <f t="shared" si="0"/>
        <v>33293459</v>
      </c>
      <c r="F19" s="232">
        <f t="shared" si="0"/>
        <v>1964264</v>
      </c>
      <c r="G19" s="232">
        <f t="shared" si="0"/>
        <v>438307</v>
      </c>
      <c r="H19" s="232">
        <f t="shared" si="0"/>
        <v>1202380</v>
      </c>
      <c r="I19" s="230">
        <f>SUM(B19:H19)</f>
        <v>53179000</v>
      </c>
      <c r="J19" s="233"/>
      <c r="K19" s="171"/>
    </row>
    <row r="20" spans="1:11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>
      <c r="A21" s="248" t="s">
        <v>394</v>
      </c>
      <c r="B21" s="238">
        <f>B19*0.19</f>
        <v>330691.96000000002</v>
      </c>
      <c r="C21" s="238">
        <f t="shared" ref="C21:H21" si="1">C19*0.19</f>
        <v>2713104.24</v>
      </c>
      <c r="D21" s="238">
        <f t="shared" si="1"/>
        <v>49515.9</v>
      </c>
      <c r="E21" s="238">
        <f t="shared" si="1"/>
        <v>6325757.21</v>
      </c>
      <c r="F21" s="238">
        <f t="shared" si="1"/>
        <v>373210.16000000003</v>
      </c>
      <c r="G21" s="238">
        <f t="shared" si="1"/>
        <v>83278.33</v>
      </c>
      <c r="H21" s="238">
        <f t="shared" si="1"/>
        <v>228452.2</v>
      </c>
      <c r="I21" s="249">
        <f>SUM(B21:H21)</f>
        <v>10104010</v>
      </c>
      <c r="J21" s="171" t="s">
        <v>395</v>
      </c>
      <c r="K21" s="171"/>
    </row>
    <row r="22" spans="1:11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>
      <c r="A23" s="171" t="s">
        <v>295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>
      <c r="A26" s="171" t="s">
        <v>301</v>
      </c>
      <c r="B26" s="234">
        <f>B19+B23+B21</f>
        <v>2071175.96</v>
      </c>
      <c r="C26" s="234">
        <f t="shared" ref="C26:I26" si="2">C19+C23+C21</f>
        <v>16992600.240000002</v>
      </c>
      <c r="D26" s="234">
        <f t="shared" si="2"/>
        <v>310125.90000000002</v>
      </c>
      <c r="E26" s="234">
        <f t="shared" si="2"/>
        <v>39619216.210000001</v>
      </c>
      <c r="F26" s="234">
        <f t="shared" si="2"/>
        <v>2337474.16</v>
      </c>
      <c r="G26" s="234">
        <f t="shared" si="2"/>
        <v>521585.33</v>
      </c>
      <c r="H26" s="234">
        <f t="shared" si="2"/>
        <v>1430832.2</v>
      </c>
      <c r="I26" s="234">
        <f t="shared" si="2"/>
        <v>63283010</v>
      </c>
      <c r="J26" s="171"/>
      <c r="K26" s="171"/>
    </row>
    <row r="27" spans="1:11">
      <c r="A27" s="229" t="s">
        <v>302</v>
      </c>
      <c r="B27" s="237">
        <f t="shared" ref="B27:I27" si="3">B26/$I$26</f>
        <v>3.2728783918464052E-2</v>
      </c>
      <c r="C27" s="237">
        <f t="shared" si="3"/>
        <v>0.26851757272607613</v>
      </c>
      <c r="D27" s="237">
        <f t="shared" si="3"/>
        <v>4.9006186652626044E-3</v>
      </c>
      <c r="E27" s="237">
        <f t="shared" si="3"/>
        <v>0.62606402903401726</v>
      </c>
      <c r="F27" s="237">
        <f t="shared" ref="F27:G27" si="4">F26/$I$26</f>
        <v>3.6936835969085542E-2</v>
      </c>
      <c r="G27" s="237">
        <f t="shared" si="4"/>
        <v>8.2421068466876028E-3</v>
      </c>
      <c r="H27" s="237">
        <f t="shared" si="3"/>
        <v>2.2610052840406927E-2</v>
      </c>
      <c r="I27" s="237">
        <f t="shared" si="3"/>
        <v>1</v>
      </c>
      <c r="J27" s="171"/>
      <c r="K27" s="171"/>
    </row>
    <row r="28" spans="1:11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>
      <c r="A29" s="96" t="s">
        <v>136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>
      <c r="A30" s="229" t="s">
        <v>301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>
      <c r="A31" s="229" t="s">
        <v>303</v>
      </c>
      <c r="B31" s="231">
        <f>(B19/1000)*'5. Financing Assumptions'!$B$19*'5. Financing Assumptions'!$B$15</f>
        <v>590890.26058733452</v>
      </c>
      <c r="C31" s="231">
        <f>(C19/1000)*'5. Financing Assumptions'!$B$19*'5. Financing Assumptions'!$B$15</f>
        <v>4847855.6036687493</v>
      </c>
      <c r="D31" s="231">
        <f>(D19/1000)*'5. Financing Assumptions'!$B$19*'5. Financing Assumptions'!$B$15</f>
        <v>88476.48746651235</v>
      </c>
      <c r="E31" s="231">
        <f>(E19/1000)*'5. Financing Assumptions'!$B$19*'5. Financing Assumptions'!$B$15</f>
        <v>11303051.716857919</v>
      </c>
      <c r="F31" s="231">
        <f>(F19/1000)*'5. Financing Assumptions'!$B$19*'5. Financing Assumptions'!$B$15</f>
        <v>666863.04891186592</v>
      </c>
      <c r="G31" s="231">
        <f>(G19/1000)*'5. Financing Assumptions'!$B$19*'5. Financing Assumptions'!$B$15</f>
        <v>148804.20471963711</v>
      </c>
      <c r="H31" s="231">
        <f>(H19/1000)*'5. Financing Assumptions'!$B$19*'5. Financing Assumptions'!$B$15</f>
        <v>408205.20701425546</v>
      </c>
      <c r="I31" s="231">
        <f>SUM(B31:H31)</f>
        <v>18054146.529226273</v>
      </c>
      <c r="J31" s="171" t="s">
        <v>197</v>
      </c>
      <c r="K31" s="171"/>
    </row>
    <row r="32" spans="1:11">
      <c r="A32" s="229" t="s">
        <v>304</v>
      </c>
      <c r="B32" s="232">
        <f t="shared" ref="B32:H32" si="5">SUM(B30:B31)</f>
        <v>590890.26058733452</v>
      </c>
      <c r="C32" s="232">
        <f t="shared" si="5"/>
        <v>4847855.6036687493</v>
      </c>
      <c r="D32" s="232">
        <f t="shared" si="5"/>
        <v>88476.48746651235</v>
      </c>
      <c r="E32" s="232">
        <f t="shared" si="5"/>
        <v>11303051.716857919</v>
      </c>
      <c r="F32" s="232">
        <f t="shared" si="5"/>
        <v>666863.04891186592</v>
      </c>
      <c r="G32" s="232">
        <f t="shared" si="5"/>
        <v>148804.20471963711</v>
      </c>
      <c r="H32" s="232">
        <f t="shared" si="5"/>
        <v>408205.20701425546</v>
      </c>
      <c r="I32" s="230">
        <f>SUM(B32:H32)</f>
        <v>18054146.529226273</v>
      </c>
      <c r="J32" s="233"/>
      <c r="K32" s="171"/>
    </row>
    <row r="33" spans="1:11">
      <c r="A33" s="229"/>
      <c r="B33" s="237">
        <f t="shared" ref="B33:H33" si="6">IF(B19&gt;0,B32/B19,0)</f>
        <v>0.3394976688020887</v>
      </c>
      <c r="C33" s="237">
        <f t="shared" si="6"/>
        <v>0.33949766880208865</v>
      </c>
      <c r="D33" s="237">
        <f t="shared" si="6"/>
        <v>0.33949766880208876</v>
      </c>
      <c r="E33" s="237">
        <f t="shared" si="6"/>
        <v>0.3394976688020887</v>
      </c>
      <c r="F33" s="237">
        <f t="shared" si="6"/>
        <v>0.3394976688020887</v>
      </c>
      <c r="G33" s="237">
        <f t="shared" si="6"/>
        <v>0.33949766880208876</v>
      </c>
      <c r="H33" s="237">
        <f t="shared" si="6"/>
        <v>0.33949766880208876</v>
      </c>
      <c r="I33" s="171"/>
      <c r="J33" s="171"/>
      <c r="K33" s="171"/>
    </row>
    <row r="34" spans="1:11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>
      <c r="A35" s="96" t="s">
        <v>135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>
      <c r="A36" s="171" t="s">
        <v>437</v>
      </c>
      <c r="B36" s="228">
        <f>B$27*I36</f>
        <v>130096.91607589461</v>
      </c>
      <c r="C36" s="228">
        <f>C$27*I36</f>
        <v>1067357.3515861526</v>
      </c>
      <c r="D36" s="228">
        <f>D$27*I36</f>
        <v>19479.959194418854</v>
      </c>
      <c r="E36" s="228">
        <f>E$27*I36</f>
        <v>2488604.5154102184</v>
      </c>
      <c r="F36" s="228">
        <f>F$27*I36</f>
        <v>146823.92297711503</v>
      </c>
      <c r="G36" s="228">
        <f>G$27*I36</f>
        <v>32762.374715583221</v>
      </c>
      <c r="H36" s="228">
        <f>H$27*I36</f>
        <v>89874.96004061753</v>
      </c>
      <c r="I36" s="238">
        <f>'Sum 2. PFF Update Costs'!F20+'Sum 2. PFF Update Costs'!F50</f>
        <v>3975000</v>
      </c>
      <c r="J36" s="239"/>
      <c r="K36" s="171"/>
    </row>
    <row r="37" spans="1:11">
      <c r="A37" s="171" t="s">
        <v>438</v>
      </c>
      <c r="B37" s="228">
        <f t="shared" ref="B37:B38" si="7">B$27*I37</f>
        <v>9409.5253765584148</v>
      </c>
      <c r="C37" s="228">
        <f t="shared" ref="C37:C38" si="8">C$27*I37</f>
        <v>77198.802158746883</v>
      </c>
      <c r="D37" s="228">
        <f t="shared" ref="D37:D38" si="9">D$27*I37</f>
        <v>1408.9278662629988</v>
      </c>
      <c r="E37" s="228">
        <f t="shared" ref="E37:E38" si="10">E$27*I37</f>
        <v>179993.40834727997</v>
      </c>
      <c r="F37" s="228">
        <f t="shared" ref="F37:F38" si="11">F$27*I37</f>
        <v>10619.340341112093</v>
      </c>
      <c r="G37" s="228">
        <f t="shared" ref="G37:G38" si="12">G$27*I37</f>
        <v>2369.6057184226856</v>
      </c>
      <c r="H37" s="228">
        <f t="shared" ref="H37:H38" si="13">H$27*I37</f>
        <v>6500.3901916169916</v>
      </c>
      <c r="I37" s="238">
        <f>'Sum 2. PFF Update Costs'!F37</f>
        <v>287500</v>
      </c>
      <c r="J37" s="239"/>
      <c r="K37" s="171"/>
    </row>
    <row r="38" spans="1:11">
      <c r="A38" s="229" t="s">
        <v>436</v>
      </c>
      <c r="B38" s="228">
        <f t="shared" si="7"/>
        <v>165689.46858722426</v>
      </c>
      <c r="C38" s="228">
        <f t="shared" si="8"/>
        <v>1359370.2119257604</v>
      </c>
      <c r="D38" s="228">
        <f t="shared" si="9"/>
        <v>24809.381992891933</v>
      </c>
      <c r="E38" s="228">
        <f t="shared" si="10"/>
        <v>3169449.1469847122</v>
      </c>
      <c r="F38" s="228">
        <f t="shared" si="11"/>
        <v>186992.73209349555</v>
      </c>
      <c r="G38" s="228">
        <f t="shared" si="12"/>
        <v>41725.665911355987</v>
      </c>
      <c r="H38" s="228">
        <f t="shared" si="13"/>
        <v>114463.39250456006</v>
      </c>
      <c r="I38" s="238">
        <f>'Sum 1. City Admin Costs'!E15</f>
        <v>5062500</v>
      </c>
      <c r="J38" s="239"/>
      <c r="K38" s="171"/>
    </row>
    <row r="39" spans="1:11">
      <c r="A39" s="229" t="s">
        <v>435</v>
      </c>
      <c r="B39" s="244">
        <f>B26*0.02</f>
        <v>41423.519200000002</v>
      </c>
      <c r="C39" s="244">
        <f t="shared" ref="C39:H39" si="14">C26*0.02</f>
        <v>339852.00480000005</v>
      </c>
      <c r="D39" s="244">
        <f t="shared" si="14"/>
        <v>6202.5180000000009</v>
      </c>
      <c r="E39" s="244">
        <f t="shared" si="14"/>
        <v>792384.32420000003</v>
      </c>
      <c r="F39" s="244">
        <f t="shared" si="14"/>
        <v>46749.483200000002</v>
      </c>
      <c r="G39" s="244">
        <f t="shared" si="14"/>
        <v>10431.706600000001</v>
      </c>
      <c r="H39" s="244">
        <f t="shared" si="14"/>
        <v>28616.644</v>
      </c>
      <c r="I39" s="236">
        <f>SUM(B39:H39)</f>
        <v>1265660.2</v>
      </c>
      <c r="J39" s="239" t="s">
        <v>396</v>
      </c>
      <c r="K39" s="171"/>
    </row>
    <row r="40" spans="1:11">
      <c r="A40" s="171" t="s">
        <v>440</v>
      </c>
      <c r="B40" s="228">
        <f t="shared" ref="B40:I40" si="15">SUM(B35:B39)</f>
        <v>346619.42923967727</v>
      </c>
      <c r="C40" s="228">
        <f t="shared" si="15"/>
        <v>2843778.3704706598</v>
      </c>
      <c r="D40" s="228">
        <f t="shared" si="15"/>
        <v>51900.787053573789</v>
      </c>
      <c r="E40" s="228">
        <f t="shared" si="15"/>
        <v>6630431.3949422101</v>
      </c>
      <c r="F40" s="228">
        <f t="shared" si="15"/>
        <v>391185.4786117227</v>
      </c>
      <c r="G40" s="228">
        <f t="shared" si="15"/>
        <v>87289.352945361898</v>
      </c>
      <c r="H40" s="228">
        <f t="shared" si="15"/>
        <v>239455.38673679458</v>
      </c>
      <c r="I40" s="228">
        <f t="shared" si="15"/>
        <v>10590660.199999999</v>
      </c>
      <c r="J40" s="171"/>
      <c r="K40" s="171"/>
    </row>
    <row r="41" spans="1:11">
      <c r="A41" s="171"/>
      <c r="B41" s="228"/>
      <c r="C41" s="228"/>
      <c r="D41" s="228"/>
      <c r="E41" s="228"/>
      <c r="F41" s="228"/>
      <c r="G41" s="228"/>
      <c r="H41" s="228"/>
      <c r="I41" s="230"/>
      <c r="J41" s="171"/>
      <c r="K41" s="171"/>
    </row>
    <row r="42" spans="1:11">
      <c r="A42" s="171"/>
      <c r="B42" s="228"/>
      <c r="C42" s="228"/>
      <c r="D42" s="228"/>
      <c r="E42" s="228"/>
      <c r="F42" s="228"/>
      <c r="G42" s="228"/>
      <c r="H42" s="228"/>
      <c r="I42" s="230"/>
      <c r="J42" s="171"/>
      <c r="K42" s="171"/>
    </row>
    <row r="43" spans="1:11">
      <c r="A43" s="96" t="s">
        <v>137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</row>
    <row r="44" spans="1:11">
      <c r="A44" s="171" t="s">
        <v>138</v>
      </c>
      <c r="B44" s="238">
        <f>'3. Fund Balance Sewer'!D65</f>
        <v>47999</v>
      </c>
      <c r="C44" s="238">
        <f>'3. Fund Balance Sewer'!E65</f>
        <v>-2755991</v>
      </c>
      <c r="D44" s="238">
        <f>'3. Fund Balance Sewer'!F65</f>
        <v>1055339</v>
      </c>
      <c r="E44" s="238">
        <f>'3. Fund Balance Sewer'!G65</f>
        <v>-3224449</v>
      </c>
      <c r="F44" s="238">
        <f>'3. Fund Balance Sewer'!K65</f>
        <v>-8920</v>
      </c>
      <c r="G44" s="238">
        <v>0</v>
      </c>
      <c r="H44" s="238">
        <v>0</v>
      </c>
      <c r="I44" s="230">
        <f>SUM(B44:H44)</f>
        <v>-4886022</v>
      </c>
      <c r="J44" s="171" t="s">
        <v>132</v>
      </c>
      <c r="K44" s="171"/>
    </row>
    <row r="45" spans="1:11">
      <c r="A45" s="171" t="s">
        <v>306</v>
      </c>
      <c r="B45" s="234">
        <v>0</v>
      </c>
      <c r="C45" s="234">
        <v>0</v>
      </c>
      <c r="D45" s="234">
        <v>0</v>
      </c>
      <c r="E45" s="234">
        <v>0</v>
      </c>
      <c r="F45" s="234">
        <v>0</v>
      </c>
      <c r="G45" s="234">
        <v>0</v>
      </c>
      <c r="H45" s="234">
        <v>0</v>
      </c>
      <c r="I45" s="235">
        <f>SUM(B45:H45)</f>
        <v>0</v>
      </c>
      <c r="J45" s="171"/>
      <c r="K45" s="171"/>
    </row>
    <row r="46" spans="1:11">
      <c r="A46" s="171"/>
      <c r="B46" s="224" t="s">
        <v>140</v>
      </c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</row>
    <row r="48" spans="1:11">
      <c r="A48" s="171" t="s">
        <v>139</v>
      </c>
      <c r="B48" s="228">
        <f>SUM(B43:B46)</f>
        <v>47999</v>
      </c>
      <c r="C48" s="228">
        <f t="shared" ref="C48:I48" si="16">SUM(C43:C46)</f>
        <v>-2755991</v>
      </c>
      <c r="D48" s="228">
        <f t="shared" si="16"/>
        <v>1055339</v>
      </c>
      <c r="E48" s="228">
        <f t="shared" si="16"/>
        <v>-3224449</v>
      </c>
      <c r="F48" s="228">
        <f t="shared" ref="F48:G48" si="17">SUM(F43:F46)</f>
        <v>-8920</v>
      </c>
      <c r="G48" s="228">
        <f t="shared" si="17"/>
        <v>0</v>
      </c>
      <c r="H48" s="228">
        <f t="shared" si="16"/>
        <v>0</v>
      </c>
      <c r="I48" s="228">
        <f t="shared" si="16"/>
        <v>-4886022</v>
      </c>
      <c r="J48" s="171"/>
      <c r="K48" s="171"/>
    </row>
    <row r="49" spans="1:11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</row>
    <row r="50" spans="1:11">
      <c r="A50" s="171" t="s">
        <v>397</v>
      </c>
      <c r="B50" s="240">
        <f t="shared" ref="B50:I50" si="18">B26+B40+B32-B48</f>
        <v>2960686.6498270119</v>
      </c>
      <c r="C50" s="240">
        <f t="shared" si="18"/>
        <v>27440225.214139409</v>
      </c>
      <c r="D50" s="240">
        <f t="shared" si="18"/>
        <v>-604835.82547991385</v>
      </c>
      <c r="E50" s="240">
        <f t="shared" si="18"/>
        <v>60777148.321800128</v>
      </c>
      <c r="F50" s="240">
        <f t="shared" si="18"/>
        <v>3404442.6875235885</v>
      </c>
      <c r="G50" s="240">
        <f t="shared" si="18"/>
        <v>757678.88766499911</v>
      </c>
      <c r="H50" s="240">
        <f t="shared" si="18"/>
        <v>2078492.79375105</v>
      </c>
      <c r="I50" s="240">
        <f t="shared" si="18"/>
        <v>96813838.729226276</v>
      </c>
      <c r="J50" s="171"/>
      <c r="K50" s="171"/>
    </row>
    <row r="51" spans="1:11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>
      <c r="A52" s="171" t="s">
        <v>141</v>
      </c>
      <c r="B52" s="241">
        <v>0</v>
      </c>
      <c r="C52" s="241">
        <v>0</v>
      </c>
      <c r="D52" s="241">
        <v>0</v>
      </c>
      <c r="E52" s="228">
        <v>3500000</v>
      </c>
      <c r="F52" s="241">
        <v>0</v>
      </c>
      <c r="G52" s="241">
        <v>0</v>
      </c>
      <c r="H52" s="241">
        <v>0</v>
      </c>
      <c r="I52" s="238">
        <f>SUM(B52:H52)</f>
        <v>3500000</v>
      </c>
      <c r="J52" s="171"/>
      <c r="K52" s="171"/>
    </row>
    <row r="53" spans="1:11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>
      <c r="A54" s="171" t="s">
        <v>142</v>
      </c>
      <c r="B54" s="228">
        <f>IF(OR(B52=0,B48&lt;0),0,(B48/B52))</f>
        <v>0</v>
      </c>
      <c r="C54" s="228">
        <f>IF(OR(C52=0,C48&lt;0),0,(C48/C52))</f>
        <v>0</v>
      </c>
      <c r="D54" s="228">
        <f>IF(OR(D52=0,D48&lt;0),0,(D48/D52))</f>
        <v>0</v>
      </c>
      <c r="E54" s="242">
        <f>IF(OR(E52=0,E50&lt;0),0,(E50/E52))</f>
        <v>17.364899520514321</v>
      </c>
      <c r="F54" s="228">
        <f>IF(OR(F52=0,F48&lt;0),0,(F48/F52))</f>
        <v>0</v>
      </c>
      <c r="G54" s="228">
        <f>IF(OR(G52=0,G48&lt;0),0,(G48/G52))</f>
        <v>0</v>
      </c>
      <c r="H54" s="228">
        <f>IF(OR(H52=0,H48&lt;0),0,(H48/H52))</f>
        <v>0</v>
      </c>
      <c r="I54" s="171"/>
      <c r="J54" s="171"/>
      <c r="K54" s="171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243" t="s">
        <v>11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>
      <c r="A59" s="247" t="s">
        <v>417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  <row r="60" spans="1:11">
      <c r="A60" s="171" t="s">
        <v>223</v>
      </c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>
      <c r="A61" s="171" t="s">
        <v>392</v>
      </c>
      <c r="B61" s="171"/>
      <c r="C61" s="171"/>
      <c r="D61" s="171"/>
      <c r="E61" s="171"/>
      <c r="F61" s="171"/>
      <c r="G61" s="171"/>
      <c r="H61" s="171"/>
      <c r="I61" s="171"/>
      <c r="J61" s="171"/>
    </row>
    <row r="62" spans="1:11">
      <c r="A62" s="171" t="s">
        <v>393</v>
      </c>
      <c r="B62" s="171"/>
      <c r="C62" s="171"/>
      <c r="D62" s="171"/>
      <c r="E62" s="171"/>
      <c r="F62" s="171"/>
      <c r="G62" s="171"/>
    </row>
    <row r="63" spans="1:11">
      <c r="A63" s="171" t="s">
        <v>439</v>
      </c>
      <c r="B63" s="171"/>
      <c r="C63" s="171"/>
      <c r="D63" s="171"/>
      <c r="E63" s="171"/>
      <c r="F63" s="171"/>
      <c r="G63" s="171"/>
    </row>
    <row r="64" spans="1:11">
      <c r="A64" s="171"/>
      <c r="B64" s="171"/>
      <c r="C64" s="171"/>
      <c r="D64" s="171"/>
      <c r="E64" s="171"/>
      <c r="F64" s="171"/>
      <c r="G64" s="171"/>
    </row>
    <row r="65" spans="1:7">
      <c r="A65" s="171"/>
      <c r="B65" s="171"/>
      <c r="C65" s="171"/>
      <c r="D65" s="171"/>
      <c r="E65" s="171"/>
      <c r="F65" s="171"/>
      <c r="G65" s="171"/>
    </row>
  </sheetData>
  <printOptions horizontalCentered="1" verticalCentered="1"/>
  <pageMargins left="0.5" right="0.5" top="1" bottom="1" header="0.5" footer="0.5"/>
  <pageSetup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opLeftCell="A103" workbookViewId="0">
      <selection activeCell="H131" sqref="H131"/>
    </sheetView>
  </sheetViews>
  <sheetFormatPr defaultRowHeight="12.75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9" width="14.140625" bestFit="1" customWidth="1"/>
    <col min="10" max="10" width="9" customWidth="1"/>
    <col min="11" max="11" width="14.140625" bestFit="1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>
      <c r="A1" s="171" t="s">
        <v>77</v>
      </c>
      <c r="M1" s="51" t="str">
        <f>Assumptions!$B$12</f>
        <v>Internal</v>
      </c>
    </row>
    <row r="2" spans="1:14">
      <c r="A2" s="171" t="str">
        <f>Assumptions!B10</f>
        <v>City of Manteca</v>
      </c>
      <c r="M2" s="52" t="str">
        <f>Assumptions!$B$13</f>
        <v>Working Draft - v1</v>
      </c>
    </row>
    <row r="3" spans="1:14">
      <c r="A3" s="171" t="str">
        <f>Assumptions!B18</f>
        <v>PFF Sewer Collection Fee</v>
      </c>
      <c r="M3" s="53">
        <f>Assumptions!$B$14</f>
        <v>41075</v>
      </c>
    </row>
    <row r="4" spans="1:14">
      <c r="A4" s="171" t="s">
        <v>399</v>
      </c>
    </row>
    <row r="7" spans="1:14">
      <c r="C7" s="223" t="s">
        <v>47</v>
      </c>
      <c r="D7" s="223" t="s">
        <v>410</v>
      </c>
      <c r="E7" s="223" t="s">
        <v>0</v>
      </c>
      <c r="F7" s="223" t="s">
        <v>1</v>
      </c>
      <c r="G7" s="223" t="s">
        <v>2</v>
      </c>
      <c r="H7" s="223" t="s">
        <v>3</v>
      </c>
      <c r="I7" s="223" t="s">
        <v>4</v>
      </c>
      <c r="J7" s="223" t="s">
        <v>305</v>
      </c>
      <c r="K7" s="223" t="s">
        <v>341</v>
      </c>
      <c r="L7" s="223" t="s">
        <v>47</v>
      </c>
      <c r="M7" s="223"/>
    </row>
    <row r="8" spans="1:14">
      <c r="C8" s="223" t="s">
        <v>307</v>
      </c>
      <c r="D8" s="223" t="s">
        <v>411</v>
      </c>
      <c r="E8" s="223" t="s">
        <v>5</v>
      </c>
      <c r="F8" s="223" t="s">
        <v>5</v>
      </c>
      <c r="G8" s="223" t="s">
        <v>5</v>
      </c>
      <c r="H8" s="223" t="s">
        <v>5</v>
      </c>
      <c r="I8" s="223" t="s">
        <v>5</v>
      </c>
      <c r="J8" s="223" t="s">
        <v>5</v>
      </c>
      <c r="K8" s="223" t="s">
        <v>5</v>
      </c>
      <c r="L8" s="223" t="s">
        <v>390</v>
      </c>
      <c r="M8" s="223"/>
    </row>
    <row r="9" spans="1:14">
      <c r="B9" s="224" t="s">
        <v>308</v>
      </c>
      <c r="C9" s="225" t="s">
        <v>5</v>
      </c>
      <c r="D9" s="225" t="s">
        <v>391</v>
      </c>
      <c r="E9" s="225" t="s">
        <v>8</v>
      </c>
      <c r="F9" s="225" t="s">
        <v>8</v>
      </c>
      <c r="G9" s="225" t="s">
        <v>8</v>
      </c>
      <c r="H9" s="225" t="s">
        <v>8</v>
      </c>
      <c r="I9" s="225" t="s">
        <v>8</v>
      </c>
      <c r="J9" s="225" t="s">
        <v>8</v>
      </c>
      <c r="K9" s="225" t="s">
        <v>8</v>
      </c>
      <c r="L9" s="225" t="s">
        <v>391</v>
      </c>
      <c r="M9" s="225" t="s">
        <v>9</v>
      </c>
      <c r="N9" s="245" t="s">
        <v>61</v>
      </c>
    </row>
    <row r="13" spans="1:14">
      <c r="B13" s="171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4">
      <c r="B14" s="171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14">
      <c r="B15" s="171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>
      <c r="A16" s="7" t="s">
        <v>408</v>
      </c>
      <c r="B16" s="171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>
      <c r="B17" s="171" t="s">
        <v>348</v>
      </c>
      <c r="C17" s="97">
        <v>286000</v>
      </c>
      <c r="D17" s="97"/>
      <c r="E17" s="97"/>
      <c r="F17" s="97"/>
      <c r="G17" s="97"/>
      <c r="H17" s="97">
        <v>286000</v>
      </c>
      <c r="I17" s="97"/>
      <c r="J17" s="97"/>
      <c r="K17" s="97"/>
      <c r="L17" s="97">
        <f t="shared" ref="L17:L23" si="0">SUM(E17:K17)</f>
        <v>286000</v>
      </c>
      <c r="M17" s="97">
        <f t="shared" ref="M17:M23" si="1">L17+D17</f>
        <v>286000</v>
      </c>
      <c r="N17" s="97">
        <f t="shared" ref="N17:N23" si="2">M17-C17</f>
        <v>0</v>
      </c>
    </row>
    <row r="18" spans="1:14">
      <c r="B18" s="171" t="s">
        <v>353</v>
      </c>
      <c r="C18" s="97">
        <v>334000</v>
      </c>
      <c r="D18" s="97"/>
      <c r="E18" s="97"/>
      <c r="F18" s="97"/>
      <c r="G18" s="97"/>
      <c r="H18" s="97">
        <v>334000</v>
      </c>
      <c r="I18" s="97"/>
      <c r="J18" s="97"/>
      <c r="K18" s="97"/>
      <c r="L18" s="97">
        <f t="shared" si="0"/>
        <v>334000</v>
      </c>
      <c r="M18" s="97">
        <f t="shared" si="1"/>
        <v>334000</v>
      </c>
      <c r="N18" s="97">
        <f t="shared" si="2"/>
        <v>0</v>
      </c>
    </row>
    <row r="19" spans="1:14">
      <c r="B19" s="171" t="s">
        <v>355</v>
      </c>
      <c r="C19" s="97">
        <v>206000</v>
      </c>
      <c r="D19" s="97"/>
      <c r="E19" s="97"/>
      <c r="F19" s="97"/>
      <c r="G19" s="97"/>
      <c r="H19" s="97">
        <v>183200</v>
      </c>
      <c r="I19" s="97"/>
      <c r="J19" s="97"/>
      <c r="K19" s="97">
        <v>22800</v>
      </c>
      <c r="L19" s="97">
        <f t="shared" si="0"/>
        <v>206000</v>
      </c>
      <c r="M19" s="97">
        <f t="shared" si="1"/>
        <v>206000</v>
      </c>
      <c r="N19" s="97">
        <f t="shared" si="2"/>
        <v>0</v>
      </c>
    </row>
    <row r="20" spans="1:14">
      <c r="B20" s="171" t="s">
        <v>354</v>
      </c>
      <c r="C20" s="97">
        <v>238000</v>
      </c>
      <c r="D20" s="97"/>
      <c r="E20" s="97"/>
      <c r="F20" s="97"/>
      <c r="G20" s="97"/>
      <c r="H20" s="97">
        <v>211600</v>
      </c>
      <c r="I20" s="97"/>
      <c r="J20" s="97"/>
      <c r="K20" s="97">
        <v>26400</v>
      </c>
      <c r="L20" s="97">
        <f t="shared" si="0"/>
        <v>238000</v>
      </c>
      <c r="M20" s="97">
        <f t="shared" si="1"/>
        <v>238000</v>
      </c>
      <c r="N20" s="97">
        <f t="shared" si="2"/>
        <v>0</v>
      </c>
    </row>
    <row r="21" spans="1:14">
      <c r="B21" s="171" t="s">
        <v>357</v>
      </c>
      <c r="C21" s="97">
        <v>1587000</v>
      </c>
      <c r="D21" s="97"/>
      <c r="E21" s="97"/>
      <c r="F21" s="97"/>
      <c r="G21" s="97"/>
      <c r="H21" s="97">
        <v>1494050</v>
      </c>
      <c r="I21" s="97"/>
      <c r="J21" s="97"/>
      <c r="K21" s="97">
        <v>92950</v>
      </c>
      <c r="L21" s="97">
        <f t="shared" si="0"/>
        <v>1587000</v>
      </c>
      <c r="M21" s="97">
        <f t="shared" si="1"/>
        <v>1587000</v>
      </c>
      <c r="N21" s="97">
        <f t="shared" si="2"/>
        <v>0</v>
      </c>
    </row>
    <row r="22" spans="1:14">
      <c r="B22" s="171" t="s">
        <v>358</v>
      </c>
      <c r="C22" s="97">
        <v>831000</v>
      </c>
      <c r="D22" s="97"/>
      <c r="E22" s="97"/>
      <c r="F22" s="97"/>
      <c r="G22" s="97"/>
      <c r="H22" s="97">
        <v>831000</v>
      </c>
      <c r="I22" s="97"/>
      <c r="J22" s="97"/>
      <c r="K22" s="97"/>
      <c r="L22" s="97">
        <f t="shared" si="0"/>
        <v>831000</v>
      </c>
      <c r="M22" s="97">
        <f t="shared" si="1"/>
        <v>831000</v>
      </c>
      <c r="N22" s="97">
        <f t="shared" si="2"/>
        <v>0</v>
      </c>
    </row>
    <row r="23" spans="1:14">
      <c r="B23" s="171" t="s">
        <v>339</v>
      </c>
      <c r="C23" s="97">
        <v>195000</v>
      </c>
      <c r="D23" s="97"/>
      <c r="E23" s="97"/>
      <c r="F23" s="97">
        <v>195000</v>
      </c>
      <c r="G23" s="97"/>
      <c r="H23" s="97"/>
      <c r="I23" s="97"/>
      <c r="J23" s="97"/>
      <c r="K23" s="97">
        <v>0</v>
      </c>
      <c r="L23" s="97">
        <f t="shared" si="0"/>
        <v>195000</v>
      </c>
      <c r="M23" s="97">
        <f t="shared" si="1"/>
        <v>195000</v>
      </c>
      <c r="N23" s="97">
        <f t="shared" si="2"/>
        <v>0</v>
      </c>
    </row>
    <row r="24" spans="1:14">
      <c r="B24" s="171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</row>
    <row r="25" spans="1:14">
      <c r="B25" s="171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</row>
    <row r="26" spans="1:14">
      <c r="B26" s="171" t="s">
        <v>409</v>
      </c>
      <c r="C26" s="97">
        <f>SUM(C16:C25)</f>
        <v>3677000</v>
      </c>
      <c r="D26" s="97">
        <f t="shared" ref="D26:N26" si="3">SUM(D16:D25)</f>
        <v>0</v>
      </c>
      <c r="E26" s="97">
        <f t="shared" si="3"/>
        <v>0</v>
      </c>
      <c r="F26" s="97">
        <f t="shared" si="3"/>
        <v>195000</v>
      </c>
      <c r="G26" s="97">
        <f t="shared" si="3"/>
        <v>0</v>
      </c>
      <c r="H26" s="97">
        <f t="shared" si="3"/>
        <v>3339850</v>
      </c>
      <c r="I26" s="97">
        <f t="shared" si="3"/>
        <v>0</v>
      </c>
      <c r="J26" s="97">
        <f t="shared" si="3"/>
        <v>0</v>
      </c>
      <c r="K26" s="97">
        <f t="shared" si="3"/>
        <v>142150</v>
      </c>
      <c r="L26" s="97">
        <f t="shared" si="3"/>
        <v>3677000</v>
      </c>
      <c r="M26" s="97">
        <f t="shared" si="3"/>
        <v>3677000</v>
      </c>
      <c r="N26" s="97">
        <f t="shared" si="3"/>
        <v>0</v>
      </c>
    </row>
    <row r="27" spans="1:14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>
      <c r="A28" s="7" t="s">
        <v>407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>
      <c r="B29" s="171" t="s">
        <v>372</v>
      </c>
      <c r="C29" s="97">
        <v>1428000</v>
      </c>
      <c r="D29" s="97"/>
      <c r="E29" s="97"/>
      <c r="F29" s="97"/>
      <c r="G29" s="97"/>
      <c r="H29" s="97">
        <v>1181960</v>
      </c>
      <c r="I29" s="97">
        <v>137437</v>
      </c>
      <c r="J29" s="97">
        <v>54975</v>
      </c>
      <c r="K29" s="97">
        <v>53628</v>
      </c>
      <c r="L29" s="97">
        <f t="shared" ref="L29:L60" si="4">SUM(E29:K29)</f>
        <v>1428000</v>
      </c>
      <c r="M29" s="97">
        <f t="shared" ref="M29:M60" si="5">L29+D29</f>
        <v>1428000</v>
      </c>
      <c r="N29" s="97">
        <f t="shared" ref="N29:N60" si="6">M29-C29</f>
        <v>0</v>
      </c>
    </row>
    <row r="30" spans="1:14">
      <c r="B30" s="171" t="s">
        <v>360</v>
      </c>
      <c r="C30" s="97">
        <v>1730000</v>
      </c>
      <c r="D30" s="97"/>
      <c r="E30" s="97"/>
      <c r="F30" s="97"/>
      <c r="G30" s="97"/>
      <c r="H30" s="97">
        <v>1730000</v>
      </c>
      <c r="I30" s="97"/>
      <c r="J30" s="97"/>
      <c r="K30" s="97"/>
      <c r="L30" s="97">
        <f t="shared" si="4"/>
        <v>1730000</v>
      </c>
      <c r="M30" s="97">
        <f t="shared" si="5"/>
        <v>1730000</v>
      </c>
      <c r="N30" s="97">
        <f t="shared" si="6"/>
        <v>0</v>
      </c>
    </row>
    <row r="31" spans="1:14">
      <c r="B31" s="171" t="s">
        <v>319</v>
      </c>
      <c r="C31" s="97">
        <v>519000</v>
      </c>
      <c r="D31" s="97">
        <v>470000</v>
      </c>
      <c r="E31" s="97">
        <v>49000</v>
      </c>
      <c r="F31" s="97"/>
      <c r="G31" s="97"/>
      <c r="H31" s="97"/>
      <c r="I31" s="97"/>
      <c r="J31" s="97"/>
      <c r="K31" s="97"/>
      <c r="L31" s="97">
        <f t="shared" si="4"/>
        <v>49000</v>
      </c>
      <c r="M31" s="97">
        <f t="shared" si="5"/>
        <v>519000</v>
      </c>
      <c r="N31" s="97">
        <f t="shared" si="6"/>
        <v>0</v>
      </c>
    </row>
    <row r="32" spans="1:14">
      <c r="B32" s="171" t="s">
        <v>361</v>
      </c>
      <c r="C32" s="97">
        <v>1297000</v>
      </c>
      <c r="D32" s="97"/>
      <c r="E32" s="97"/>
      <c r="F32" s="97"/>
      <c r="G32" s="97"/>
      <c r="H32" s="97">
        <v>1297000</v>
      </c>
      <c r="I32" s="97"/>
      <c r="J32" s="97"/>
      <c r="K32" s="97"/>
      <c r="L32" s="97">
        <f t="shared" si="4"/>
        <v>1297000</v>
      </c>
      <c r="M32" s="97">
        <f t="shared" si="5"/>
        <v>1297000</v>
      </c>
      <c r="N32" s="97">
        <f t="shared" si="6"/>
        <v>0</v>
      </c>
    </row>
    <row r="33" spans="2:14">
      <c r="B33" s="171" t="s">
        <v>359</v>
      </c>
      <c r="C33" s="97">
        <v>127000</v>
      </c>
      <c r="D33" s="97"/>
      <c r="E33" s="97"/>
      <c r="F33" s="97"/>
      <c r="G33" s="97"/>
      <c r="H33" s="97">
        <v>121528</v>
      </c>
      <c r="I33" s="97"/>
      <c r="J33" s="97"/>
      <c r="K33" s="97">
        <v>5472</v>
      </c>
      <c r="L33" s="97">
        <f t="shared" si="4"/>
        <v>127000</v>
      </c>
      <c r="M33" s="97">
        <f t="shared" si="5"/>
        <v>127000</v>
      </c>
      <c r="N33" s="97">
        <f t="shared" si="6"/>
        <v>0</v>
      </c>
    </row>
    <row r="34" spans="2:14">
      <c r="B34" s="171" t="s">
        <v>349</v>
      </c>
      <c r="C34" s="97">
        <v>757000</v>
      </c>
      <c r="D34" s="97"/>
      <c r="E34" s="97"/>
      <c r="F34" s="97"/>
      <c r="G34" s="97"/>
      <c r="H34" s="97">
        <v>634501</v>
      </c>
      <c r="I34" s="97">
        <v>73779</v>
      </c>
      <c r="J34" s="97">
        <v>29512</v>
      </c>
      <c r="K34" s="97">
        <v>19208</v>
      </c>
      <c r="L34" s="97">
        <f t="shared" si="4"/>
        <v>757000</v>
      </c>
      <c r="M34" s="97">
        <f t="shared" si="5"/>
        <v>757000</v>
      </c>
      <c r="N34" s="97">
        <f t="shared" si="6"/>
        <v>0</v>
      </c>
    </row>
    <row r="35" spans="2:14">
      <c r="B35" s="171" t="s">
        <v>350</v>
      </c>
      <c r="C35" s="97">
        <v>2348000</v>
      </c>
      <c r="D35" s="97"/>
      <c r="E35" s="97"/>
      <c r="F35" s="97"/>
      <c r="G35" s="97"/>
      <c r="H35" s="97">
        <v>2108000</v>
      </c>
      <c r="I35" s="97"/>
      <c r="J35" s="97"/>
      <c r="K35" s="97">
        <v>240000</v>
      </c>
      <c r="L35" s="97">
        <f t="shared" si="4"/>
        <v>2348000</v>
      </c>
      <c r="M35" s="97">
        <f t="shared" si="5"/>
        <v>2348000</v>
      </c>
      <c r="N35" s="97">
        <f t="shared" si="6"/>
        <v>0</v>
      </c>
    </row>
    <row r="36" spans="2:14">
      <c r="B36" s="171" t="s">
        <v>350</v>
      </c>
      <c r="C36" s="97">
        <v>1993000</v>
      </c>
      <c r="D36" s="97"/>
      <c r="E36" s="97"/>
      <c r="F36" s="97"/>
      <c r="G36" s="97"/>
      <c r="H36" s="97">
        <v>1993000</v>
      </c>
      <c r="I36" s="97"/>
      <c r="J36" s="97"/>
      <c r="K36" s="97"/>
      <c r="L36" s="97">
        <f t="shared" si="4"/>
        <v>1993000</v>
      </c>
      <c r="M36" s="97">
        <f t="shared" si="5"/>
        <v>1993000</v>
      </c>
      <c r="N36" s="97">
        <f t="shared" si="6"/>
        <v>0</v>
      </c>
    </row>
    <row r="37" spans="2:14">
      <c r="B37" s="171" t="s">
        <v>351</v>
      </c>
      <c r="C37" s="97">
        <v>703000</v>
      </c>
      <c r="D37" s="97"/>
      <c r="E37" s="97"/>
      <c r="F37" s="97"/>
      <c r="G37" s="97"/>
      <c r="H37" s="97">
        <v>703000</v>
      </c>
      <c r="I37" s="97"/>
      <c r="J37" s="97"/>
      <c r="K37" s="97"/>
      <c r="L37" s="97">
        <f t="shared" si="4"/>
        <v>703000</v>
      </c>
      <c r="M37" s="97">
        <f t="shared" si="5"/>
        <v>703000</v>
      </c>
      <c r="N37" s="97">
        <f t="shared" si="6"/>
        <v>0</v>
      </c>
    </row>
    <row r="38" spans="2:14">
      <c r="B38" s="171" t="s">
        <v>369</v>
      </c>
      <c r="C38" s="97">
        <v>1446000</v>
      </c>
      <c r="D38" s="97"/>
      <c r="E38" s="97"/>
      <c r="F38" s="97"/>
      <c r="G38" s="97"/>
      <c r="H38" s="97">
        <v>1243560</v>
      </c>
      <c r="I38" s="97">
        <v>144600</v>
      </c>
      <c r="J38" s="97">
        <v>57840</v>
      </c>
      <c r="K38" s="97"/>
      <c r="L38" s="97">
        <f t="shared" si="4"/>
        <v>1446000</v>
      </c>
      <c r="M38" s="97">
        <f t="shared" si="5"/>
        <v>1446000</v>
      </c>
      <c r="N38" s="97">
        <f t="shared" si="6"/>
        <v>0</v>
      </c>
    </row>
    <row r="39" spans="2:14">
      <c r="B39" s="171" t="s">
        <v>376</v>
      </c>
      <c r="C39" s="97">
        <v>880000</v>
      </c>
      <c r="D39" s="97"/>
      <c r="E39" s="97"/>
      <c r="F39" s="97"/>
      <c r="G39" s="97"/>
      <c r="H39" s="97"/>
      <c r="I39" s="97">
        <v>880000</v>
      </c>
      <c r="J39" s="97"/>
      <c r="K39" s="97"/>
      <c r="L39" s="97">
        <f t="shared" si="4"/>
        <v>880000</v>
      </c>
      <c r="M39" s="97">
        <f t="shared" si="5"/>
        <v>880000</v>
      </c>
      <c r="N39" s="97">
        <f t="shared" si="6"/>
        <v>0</v>
      </c>
    </row>
    <row r="40" spans="2:14">
      <c r="B40" s="171" t="s">
        <v>370</v>
      </c>
      <c r="C40" s="97">
        <v>754000</v>
      </c>
      <c r="D40" s="97"/>
      <c r="E40" s="97"/>
      <c r="F40" s="97"/>
      <c r="G40" s="97"/>
      <c r="H40" s="97">
        <v>648440</v>
      </c>
      <c r="I40" s="97">
        <v>75400</v>
      </c>
      <c r="J40" s="97">
        <v>30160</v>
      </c>
      <c r="K40" s="97"/>
      <c r="L40" s="97">
        <f t="shared" si="4"/>
        <v>754000</v>
      </c>
      <c r="M40" s="97">
        <f t="shared" si="5"/>
        <v>754000</v>
      </c>
      <c r="N40" s="97">
        <f t="shared" si="6"/>
        <v>0</v>
      </c>
    </row>
    <row r="41" spans="2:14">
      <c r="B41" s="171" t="s">
        <v>371</v>
      </c>
      <c r="C41" s="97">
        <v>1199000</v>
      </c>
      <c r="D41" s="97"/>
      <c r="E41" s="97"/>
      <c r="F41" s="97"/>
      <c r="G41" s="97"/>
      <c r="H41" s="97">
        <v>1006620</v>
      </c>
      <c r="I41" s="97">
        <v>117048</v>
      </c>
      <c r="J41" s="97">
        <v>46820</v>
      </c>
      <c r="K41" s="97">
        <v>28512</v>
      </c>
      <c r="L41" s="97">
        <f t="shared" si="4"/>
        <v>1199000</v>
      </c>
      <c r="M41" s="97">
        <f t="shared" si="5"/>
        <v>1199000</v>
      </c>
      <c r="N41" s="97">
        <f t="shared" si="6"/>
        <v>0</v>
      </c>
    </row>
    <row r="42" spans="2:14">
      <c r="B42" s="171" t="s">
        <v>343</v>
      </c>
      <c r="C42" s="97">
        <v>1059000</v>
      </c>
      <c r="D42" s="97">
        <v>505000</v>
      </c>
      <c r="E42" s="97">
        <v>259224</v>
      </c>
      <c r="F42" s="97">
        <v>193863</v>
      </c>
      <c r="G42" s="97">
        <v>9813</v>
      </c>
      <c r="H42" s="97"/>
      <c r="I42" s="97"/>
      <c r="J42" s="97"/>
      <c r="K42" s="97">
        <v>91100</v>
      </c>
      <c r="L42" s="97">
        <f t="shared" si="4"/>
        <v>554000</v>
      </c>
      <c r="M42" s="97">
        <f t="shared" si="5"/>
        <v>1059000</v>
      </c>
      <c r="N42" s="97">
        <f t="shared" si="6"/>
        <v>0</v>
      </c>
    </row>
    <row r="43" spans="2:14">
      <c r="B43" s="171" t="s">
        <v>344</v>
      </c>
      <c r="C43" s="97">
        <v>764000</v>
      </c>
      <c r="D43" s="97">
        <v>395000</v>
      </c>
      <c r="E43" s="97">
        <v>208485</v>
      </c>
      <c r="F43" s="97">
        <v>152618</v>
      </c>
      <c r="G43" s="97">
        <v>7897</v>
      </c>
      <c r="H43" s="97"/>
      <c r="I43" s="97"/>
      <c r="J43" s="97"/>
      <c r="K43" s="97"/>
      <c r="L43" s="97">
        <f t="shared" si="4"/>
        <v>369000</v>
      </c>
      <c r="M43" s="97">
        <f t="shared" si="5"/>
        <v>764000</v>
      </c>
      <c r="N43" s="97">
        <f t="shared" si="6"/>
        <v>0</v>
      </c>
    </row>
    <row r="44" spans="2:14">
      <c r="B44" s="171" t="s">
        <v>345</v>
      </c>
      <c r="C44" s="97">
        <v>1252000</v>
      </c>
      <c r="D44" s="97">
        <v>665000</v>
      </c>
      <c r="E44" s="97">
        <v>333475</v>
      </c>
      <c r="F44" s="97">
        <v>240905</v>
      </c>
      <c r="G44" s="97">
        <v>12620</v>
      </c>
      <c r="H44" s="97"/>
      <c r="I44" s="97"/>
      <c r="J44" s="97"/>
      <c r="K44" s="97"/>
      <c r="L44" s="97">
        <f t="shared" si="4"/>
        <v>587000</v>
      </c>
      <c r="M44" s="97">
        <f t="shared" si="5"/>
        <v>1252000</v>
      </c>
      <c r="N44" s="97">
        <f t="shared" si="6"/>
        <v>0</v>
      </c>
    </row>
    <row r="45" spans="2:14">
      <c r="B45" s="171" t="s">
        <v>340</v>
      </c>
      <c r="C45" s="97">
        <v>1295000</v>
      </c>
      <c r="D45" s="97"/>
      <c r="E45" s="97"/>
      <c r="F45" s="97">
        <v>1255310</v>
      </c>
      <c r="G45" s="97"/>
      <c r="H45" s="97"/>
      <c r="I45" s="97"/>
      <c r="J45" s="97"/>
      <c r="K45" s="97">
        <v>39690</v>
      </c>
      <c r="L45" s="97">
        <f t="shared" si="4"/>
        <v>1295000</v>
      </c>
      <c r="M45" s="97">
        <f t="shared" si="5"/>
        <v>1295000</v>
      </c>
      <c r="N45" s="97">
        <f t="shared" si="6"/>
        <v>0</v>
      </c>
    </row>
    <row r="46" spans="2:14">
      <c r="B46" s="171" t="s">
        <v>342</v>
      </c>
      <c r="C46" s="97">
        <v>55000</v>
      </c>
      <c r="D46" s="97"/>
      <c r="E46" s="97"/>
      <c r="F46" s="97">
        <v>55000</v>
      </c>
      <c r="G46" s="97"/>
      <c r="H46" s="97"/>
      <c r="I46" s="97"/>
      <c r="J46" s="97"/>
      <c r="K46" s="97"/>
      <c r="L46" s="97">
        <f t="shared" si="4"/>
        <v>55000</v>
      </c>
      <c r="M46" s="97">
        <f t="shared" si="5"/>
        <v>55000</v>
      </c>
      <c r="N46" s="97">
        <f t="shared" si="6"/>
        <v>0</v>
      </c>
    </row>
    <row r="47" spans="2:14">
      <c r="B47" s="171" t="s">
        <v>336</v>
      </c>
      <c r="C47" s="97">
        <v>799000</v>
      </c>
      <c r="D47" s="97"/>
      <c r="E47" s="97"/>
      <c r="F47" s="97">
        <v>758335</v>
      </c>
      <c r="G47" s="97"/>
      <c r="H47" s="97"/>
      <c r="I47" s="97"/>
      <c r="J47" s="97"/>
      <c r="K47" s="97">
        <v>40665</v>
      </c>
      <c r="L47" s="97">
        <f t="shared" si="4"/>
        <v>799000</v>
      </c>
      <c r="M47" s="97">
        <f t="shared" si="5"/>
        <v>799000</v>
      </c>
      <c r="N47" s="97">
        <f t="shared" si="6"/>
        <v>0</v>
      </c>
    </row>
    <row r="48" spans="2:14">
      <c r="B48" s="171" t="s">
        <v>337</v>
      </c>
      <c r="C48" s="97">
        <v>794000</v>
      </c>
      <c r="D48" s="97"/>
      <c r="E48" s="97"/>
      <c r="F48" s="97">
        <v>753605</v>
      </c>
      <c r="G48" s="97"/>
      <c r="H48" s="97"/>
      <c r="I48" s="97"/>
      <c r="J48" s="97"/>
      <c r="K48" s="97">
        <v>40395</v>
      </c>
      <c r="L48" s="97">
        <f t="shared" si="4"/>
        <v>794000</v>
      </c>
      <c r="M48" s="97">
        <f t="shared" si="5"/>
        <v>794000</v>
      </c>
      <c r="N48" s="97">
        <f t="shared" si="6"/>
        <v>0</v>
      </c>
    </row>
    <row r="49" spans="2:14">
      <c r="B49" s="171" t="s">
        <v>338</v>
      </c>
      <c r="C49" s="97">
        <v>123000</v>
      </c>
      <c r="D49" s="97"/>
      <c r="E49" s="97"/>
      <c r="F49" s="97">
        <v>107950</v>
      </c>
      <c r="G49" s="97"/>
      <c r="H49" s="97"/>
      <c r="I49" s="97"/>
      <c r="J49" s="97"/>
      <c r="K49" s="97">
        <v>15050</v>
      </c>
      <c r="L49" s="97">
        <f t="shared" si="4"/>
        <v>123000</v>
      </c>
      <c r="M49" s="97">
        <f t="shared" si="5"/>
        <v>123000</v>
      </c>
      <c r="N49" s="97">
        <f t="shared" si="6"/>
        <v>0</v>
      </c>
    </row>
    <row r="50" spans="2:14">
      <c r="B50" s="171" t="s">
        <v>334</v>
      </c>
      <c r="C50" s="97">
        <v>1569000</v>
      </c>
      <c r="D50" s="97"/>
      <c r="E50" s="97"/>
      <c r="F50" s="97">
        <v>1409490</v>
      </c>
      <c r="G50" s="97"/>
      <c r="H50" s="97"/>
      <c r="I50" s="97"/>
      <c r="J50" s="97"/>
      <c r="K50" s="97">
        <v>159510</v>
      </c>
      <c r="L50" s="97">
        <f t="shared" si="4"/>
        <v>1569000</v>
      </c>
      <c r="M50" s="97">
        <f t="shared" si="5"/>
        <v>1569000</v>
      </c>
      <c r="N50" s="97">
        <f t="shared" si="6"/>
        <v>0</v>
      </c>
    </row>
    <row r="51" spans="2:14">
      <c r="B51" s="171" t="s">
        <v>335</v>
      </c>
      <c r="C51" s="97">
        <v>345000</v>
      </c>
      <c r="D51" s="97"/>
      <c r="E51" s="97"/>
      <c r="F51" s="97">
        <v>345000</v>
      </c>
      <c r="G51" s="97"/>
      <c r="H51" s="97"/>
      <c r="I51" s="97"/>
      <c r="J51" s="97"/>
      <c r="K51" s="97"/>
      <c r="L51" s="97">
        <f t="shared" si="4"/>
        <v>345000</v>
      </c>
      <c r="M51" s="97">
        <f t="shared" si="5"/>
        <v>345000</v>
      </c>
      <c r="N51" s="97">
        <f t="shared" si="6"/>
        <v>0</v>
      </c>
    </row>
    <row r="52" spans="2:14">
      <c r="B52" s="171" t="s">
        <v>368</v>
      </c>
      <c r="C52" s="97">
        <v>1011000</v>
      </c>
      <c r="D52" s="97"/>
      <c r="E52" s="97"/>
      <c r="F52" s="97"/>
      <c r="G52" s="97"/>
      <c r="H52" s="97">
        <v>1011000</v>
      </c>
      <c r="I52" s="97"/>
      <c r="J52" s="97"/>
      <c r="K52" s="97"/>
      <c r="L52" s="97">
        <f t="shared" si="4"/>
        <v>1011000</v>
      </c>
      <c r="M52" s="97">
        <f t="shared" si="5"/>
        <v>1011000</v>
      </c>
      <c r="N52" s="97">
        <f t="shared" si="6"/>
        <v>0</v>
      </c>
    </row>
    <row r="53" spans="2:14">
      <c r="B53" s="171" t="s">
        <v>328</v>
      </c>
      <c r="C53" s="97">
        <v>136000</v>
      </c>
      <c r="D53" s="97"/>
      <c r="E53" s="97"/>
      <c r="F53" s="97">
        <v>99730</v>
      </c>
      <c r="G53" s="97"/>
      <c r="H53" s="97"/>
      <c r="I53" s="97"/>
      <c r="J53" s="97"/>
      <c r="K53" s="97">
        <v>36270</v>
      </c>
      <c r="L53" s="97">
        <f t="shared" si="4"/>
        <v>136000</v>
      </c>
      <c r="M53" s="97">
        <f t="shared" si="5"/>
        <v>136000</v>
      </c>
      <c r="N53" s="97">
        <f t="shared" si="6"/>
        <v>0</v>
      </c>
    </row>
    <row r="54" spans="2:14">
      <c r="B54" s="171" t="s">
        <v>329</v>
      </c>
      <c r="C54" s="97">
        <v>348000</v>
      </c>
      <c r="D54" s="97"/>
      <c r="E54" s="97"/>
      <c r="F54" s="97">
        <v>254400</v>
      </c>
      <c r="G54" s="97"/>
      <c r="H54" s="97"/>
      <c r="I54" s="97"/>
      <c r="J54" s="97"/>
      <c r="K54" s="97">
        <v>93600</v>
      </c>
      <c r="L54" s="97">
        <f t="shared" si="4"/>
        <v>348000</v>
      </c>
      <c r="M54" s="97">
        <f t="shared" si="5"/>
        <v>348000</v>
      </c>
      <c r="N54" s="97">
        <f t="shared" si="6"/>
        <v>0</v>
      </c>
    </row>
    <row r="55" spans="2:14">
      <c r="B55" s="171" t="s">
        <v>330</v>
      </c>
      <c r="C55" s="97">
        <v>1769000</v>
      </c>
      <c r="D55" s="97"/>
      <c r="E55" s="97"/>
      <c r="F55" s="97">
        <v>1769000</v>
      </c>
      <c r="G55" s="97"/>
      <c r="H55" s="97"/>
      <c r="I55" s="97"/>
      <c r="J55" s="97"/>
      <c r="K55" s="97"/>
      <c r="L55" s="97">
        <f t="shared" si="4"/>
        <v>1769000</v>
      </c>
      <c r="M55" s="97">
        <f t="shared" si="5"/>
        <v>1769000</v>
      </c>
      <c r="N55" s="97">
        <f t="shared" si="6"/>
        <v>0</v>
      </c>
    </row>
    <row r="56" spans="2:14">
      <c r="B56" s="171" t="s">
        <v>331</v>
      </c>
      <c r="C56" s="97">
        <v>462000</v>
      </c>
      <c r="D56" s="97"/>
      <c r="E56" s="97"/>
      <c r="F56" s="97">
        <v>462000</v>
      </c>
      <c r="G56" s="97"/>
      <c r="H56" s="97"/>
      <c r="I56" s="97"/>
      <c r="J56" s="97"/>
      <c r="K56" s="97"/>
      <c r="L56" s="97">
        <f t="shared" si="4"/>
        <v>462000</v>
      </c>
      <c r="M56" s="97">
        <f t="shared" si="5"/>
        <v>462000</v>
      </c>
      <c r="N56" s="97">
        <f t="shared" si="6"/>
        <v>0</v>
      </c>
    </row>
    <row r="57" spans="2:14">
      <c r="B57" s="171" t="s">
        <v>332</v>
      </c>
      <c r="C57" s="97">
        <v>97000</v>
      </c>
      <c r="D57" s="97"/>
      <c r="E57" s="97"/>
      <c r="F57" s="97">
        <v>97000</v>
      </c>
      <c r="G57" s="97"/>
      <c r="H57" s="97"/>
      <c r="I57" s="97"/>
      <c r="J57" s="97"/>
      <c r="K57" s="97"/>
      <c r="L57" s="97">
        <f t="shared" si="4"/>
        <v>97000</v>
      </c>
      <c r="M57" s="97">
        <f t="shared" si="5"/>
        <v>97000</v>
      </c>
      <c r="N57" s="97">
        <f t="shared" si="6"/>
        <v>0</v>
      </c>
    </row>
    <row r="58" spans="2:14">
      <c r="B58" s="171" t="s">
        <v>325</v>
      </c>
      <c r="C58" s="97">
        <v>301000</v>
      </c>
      <c r="D58" s="97"/>
      <c r="E58" s="97"/>
      <c r="F58" s="97">
        <v>301000</v>
      </c>
      <c r="G58" s="97"/>
      <c r="H58" s="97"/>
      <c r="I58" s="97"/>
      <c r="J58" s="97"/>
      <c r="K58" s="97"/>
      <c r="L58" s="97">
        <f t="shared" si="4"/>
        <v>301000</v>
      </c>
      <c r="M58" s="97">
        <f t="shared" si="5"/>
        <v>301000</v>
      </c>
      <c r="N58" s="97">
        <f t="shared" si="6"/>
        <v>0</v>
      </c>
    </row>
    <row r="59" spans="2:14">
      <c r="B59" s="171" t="s">
        <v>326</v>
      </c>
      <c r="C59" s="97">
        <v>585000</v>
      </c>
      <c r="D59" s="97"/>
      <c r="E59" s="97"/>
      <c r="F59" s="97">
        <v>585000</v>
      </c>
      <c r="G59" s="97"/>
      <c r="H59" s="97"/>
      <c r="I59" s="97"/>
      <c r="J59" s="97"/>
      <c r="K59" s="97"/>
      <c r="L59" s="97">
        <f t="shared" si="4"/>
        <v>585000</v>
      </c>
      <c r="M59" s="97">
        <f t="shared" si="5"/>
        <v>585000</v>
      </c>
      <c r="N59" s="97">
        <f t="shared" si="6"/>
        <v>0</v>
      </c>
    </row>
    <row r="60" spans="2:14">
      <c r="B60" s="171" t="s">
        <v>327</v>
      </c>
      <c r="C60" s="97">
        <v>398000</v>
      </c>
      <c r="D60" s="97"/>
      <c r="E60" s="97"/>
      <c r="F60" s="97">
        <v>358160</v>
      </c>
      <c r="G60" s="97"/>
      <c r="H60" s="97"/>
      <c r="I60" s="97"/>
      <c r="J60" s="97"/>
      <c r="K60" s="97">
        <v>39840</v>
      </c>
      <c r="L60" s="97">
        <f t="shared" si="4"/>
        <v>398000</v>
      </c>
      <c r="M60" s="97">
        <f t="shared" si="5"/>
        <v>398000</v>
      </c>
      <c r="N60" s="97">
        <f t="shared" si="6"/>
        <v>0</v>
      </c>
    </row>
    <row r="61" spans="2:14">
      <c r="B61" s="171" t="s">
        <v>323</v>
      </c>
      <c r="C61" s="97">
        <v>390000</v>
      </c>
      <c r="D61" s="97">
        <v>0</v>
      </c>
      <c r="E61" s="97">
        <v>0</v>
      </c>
      <c r="F61" s="97">
        <v>370500</v>
      </c>
      <c r="G61" s="97"/>
      <c r="H61" s="97"/>
      <c r="I61" s="97"/>
      <c r="J61" s="97"/>
      <c r="K61" s="97">
        <v>19500</v>
      </c>
      <c r="L61" s="97">
        <f t="shared" ref="L61:L79" si="7">SUM(E61:K61)</f>
        <v>390000</v>
      </c>
      <c r="M61" s="97">
        <f t="shared" ref="M61:M79" si="8">L61+D61</f>
        <v>390000</v>
      </c>
      <c r="N61" s="97">
        <f t="shared" ref="N61:N79" si="9">M61-C61</f>
        <v>0</v>
      </c>
    </row>
    <row r="62" spans="2:14">
      <c r="B62" s="171" t="s">
        <v>324</v>
      </c>
      <c r="C62" s="97">
        <v>1173000</v>
      </c>
      <c r="D62" s="97"/>
      <c r="E62" s="97"/>
      <c r="F62" s="97">
        <v>1113060</v>
      </c>
      <c r="G62" s="97"/>
      <c r="H62" s="97"/>
      <c r="I62" s="97"/>
      <c r="J62" s="97"/>
      <c r="K62" s="97">
        <v>59940</v>
      </c>
      <c r="L62" s="97">
        <f t="shared" si="7"/>
        <v>1173000</v>
      </c>
      <c r="M62" s="97">
        <f t="shared" si="8"/>
        <v>1173000</v>
      </c>
      <c r="N62" s="97">
        <f t="shared" si="9"/>
        <v>0</v>
      </c>
    </row>
    <row r="63" spans="2:14">
      <c r="B63" s="171" t="s">
        <v>365</v>
      </c>
      <c r="C63" s="97">
        <v>1053000</v>
      </c>
      <c r="D63" s="97"/>
      <c r="E63" s="97"/>
      <c r="F63" s="97"/>
      <c r="G63" s="97"/>
      <c r="H63" s="97">
        <v>1053000</v>
      </c>
      <c r="I63" s="97"/>
      <c r="J63" s="97"/>
      <c r="K63" s="97"/>
      <c r="L63" s="97">
        <f t="shared" si="7"/>
        <v>1053000</v>
      </c>
      <c r="M63" s="97">
        <f t="shared" si="8"/>
        <v>1053000</v>
      </c>
      <c r="N63" s="97">
        <f t="shared" si="9"/>
        <v>0</v>
      </c>
    </row>
    <row r="64" spans="2:14">
      <c r="B64" s="171" t="s">
        <v>321</v>
      </c>
      <c r="C64" s="97">
        <v>373000</v>
      </c>
      <c r="D64" s="97">
        <v>0</v>
      </c>
      <c r="E64" s="97">
        <v>0</v>
      </c>
      <c r="F64" s="97">
        <v>354460</v>
      </c>
      <c r="G64" s="97"/>
      <c r="H64" s="97"/>
      <c r="I64" s="97"/>
      <c r="J64" s="97"/>
      <c r="K64" s="97">
        <v>18540</v>
      </c>
      <c r="L64" s="97">
        <f t="shared" si="7"/>
        <v>373000</v>
      </c>
      <c r="M64" s="97">
        <f t="shared" si="8"/>
        <v>373000</v>
      </c>
      <c r="N64" s="97">
        <f t="shared" si="9"/>
        <v>0</v>
      </c>
    </row>
    <row r="65" spans="2:14">
      <c r="B65" s="171" t="s">
        <v>322</v>
      </c>
      <c r="C65" s="97">
        <v>1162000</v>
      </c>
      <c r="D65" s="97"/>
      <c r="E65" s="97"/>
      <c r="F65" s="97">
        <v>1102690</v>
      </c>
      <c r="G65" s="97"/>
      <c r="H65" s="97"/>
      <c r="I65" s="97"/>
      <c r="J65" s="97"/>
      <c r="K65" s="97">
        <v>59310</v>
      </c>
      <c r="L65" s="97">
        <f t="shared" si="7"/>
        <v>1162000</v>
      </c>
      <c r="M65" s="97">
        <f t="shared" si="8"/>
        <v>1162000</v>
      </c>
      <c r="N65" s="97">
        <f t="shared" si="9"/>
        <v>0</v>
      </c>
    </row>
    <row r="66" spans="2:14">
      <c r="B66" s="171" t="s">
        <v>366</v>
      </c>
      <c r="C66" s="97">
        <v>1285000</v>
      </c>
      <c r="D66" s="97"/>
      <c r="E66" s="97"/>
      <c r="F66" s="97"/>
      <c r="G66" s="97"/>
      <c r="H66" s="97">
        <v>1285000</v>
      </c>
      <c r="I66" s="97"/>
      <c r="J66" s="97"/>
      <c r="K66" s="97"/>
      <c r="L66" s="97">
        <f t="shared" si="7"/>
        <v>1285000</v>
      </c>
      <c r="M66" s="97">
        <f t="shared" si="8"/>
        <v>1285000</v>
      </c>
      <c r="N66" s="97">
        <f t="shared" si="9"/>
        <v>0</v>
      </c>
    </row>
    <row r="67" spans="2:14">
      <c r="B67" s="171" t="s">
        <v>363</v>
      </c>
      <c r="C67" s="97">
        <v>1253000</v>
      </c>
      <c r="D67" s="97"/>
      <c r="E67" s="97"/>
      <c r="F67" s="97"/>
      <c r="G67" s="97"/>
      <c r="H67" s="97">
        <v>1253000</v>
      </c>
      <c r="I67" s="97"/>
      <c r="J67" s="97"/>
      <c r="K67" s="97"/>
      <c r="L67" s="97">
        <f t="shared" si="7"/>
        <v>1253000</v>
      </c>
      <c r="M67" s="97">
        <f t="shared" si="8"/>
        <v>1253000</v>
      </c>
      <c r="N67" s="97">
        <f t="shared" si="9"/>
        <v>0</v>
      </c>
    </row>
    <row r="68" spans="2:14">
      <c r="B68" s="171" t="s">
        <v>309</v>
      </c>
      <c r="C68" s="97">
        <v>1484000</v>
      </c>
      <c r="D68" s="97">
        <v>785000</v>
      </c>
      <c r="E68" s="97">
        <v>398430</v>
      </c>
      <c r="F68" s="97">
        <v>286590</v>
      </c>
      <c r="G68" s="97">
        <v>13980</v>
      </c>
      <c r="H68" s="97">
        <v>0</v>
      </c>
      <c r="I68" s="97">
        <v>0</v>
      </c>
      <c r="J68" s="97"/>
      <c r="K68" s="97">
        <v>0</v>
      </c>
      <c r="L68" s="97">
        <f t="shared" si="7"/>
        <v>699000</v>
      </c>
      <c r="M68" s="97">
        <f t="shared" si="8"/>
        <v>1484000</v>
      </c>
      <c r="N68" s="97">
        <f t="shared" si="9"/>
        <v>0</v>
      </c>
    </row>
    <row r="69" spans="2:14">
      <c r="B69" s="171" t="s">
        <v>310</v>
      </c>
      <c r="C69" s="97">
        <v>768000</v>
      </c>
      <c r="D69" s="97">
        <v>405000</v>
      </c>
      <c r="E69" s="97">
        <v>206910</v>
      </c>
      <c r="F69" s="97">
        <v>148830</v>
      </c>
      <c r="G69" s="97">
        <v>7260</v>
      </c>
      <c r="H69" s="97"/>
      <c r="I69" s="97"/>
      <c r="J69" s="97"/>
      <c r="K69" s="97"/>
      <c r="L69" s="97">
        <f t="shared" si="7"/>
        <v>363000</v>
      </c>
      <c r="M69" s="97">
        <f t="shared" si="8"/>
        <v>768000</v>
      </c>
      <c r="N69" s="97">
        <f t="shared" si="9"/>
        <v>0</v>
      </c>
    </row>
    <row r="70" spans="2:14">
      <c r="B70" s="171" t="s">
        <v>311</v>
      </c>
      <c r="C70" s="97">
        <v>592000</v>
      </c>
      <c r="D70" s="97">
        <v>525000</v>
      </c>
      <c r="E70" s="97">
        <v>64320</v>
      </c>
      <c r="F70" s="97">
        <v>0</v>
      </c>
      <c r="G70" s="97">
        <v>2680</v>
      </c>
      <c r="H70" s="97"/>
      <c r="I70" s="97"/>
      <c r="J70" s="97"/>
      <c r="K70" s="97"/>
      <c r="L70" s="97">
        <f t="shared" si="7"/>
        <v>67000</v>
      </c>
      <c r="M70" s="97">
        <f t="shared" si="8"/>
        <v>592000</v>
      </c>
      <c r="N70" s="97">
        <f t="shared" si="9"/>
        <v>0</v>
      </c>
    </row>
    <row r="71" spans="2:14">
      <c r="B71" s="171" t="s">
        <v>312</v>
      </c>
      <c r="C71" s="97">
        <v>304000</v>
      </c>
      <c r="D71" s="97">
        <v>270000</v>
      </c>
      <c r="E71" s="97">
        <v>32640</v>
      </c>
      <c r="F71" s="97">
        <v>0</v>
      </c>
      <c r="G71" s="97">
        <v>1360</v>
      </c>
      <c r="H71" s="97"/>
      <c r="I71" s="97"/>
      <c r="J71" s="97"/>
      <c r="K71" s="97"/>
      <c r="L71" s="97">
        <f t="shared" si="7"/>
        <v>34000</v>
      </c>
      <c r="M71" s="97">
        <f t="shared" si="8"/>
        <v>304000</v>
      </c>
      <c r="N71" s="97">
        <f t="shared" si="9"/>
        <v>0</v>
      </c>
    </row>
    <row r="72" spans="2:14">
      <c r="B72" s="171" t="s">
        <v>320</v>
      </c>
      <c r="C72" s="97">
        <v>290000</v>
      </c>
      <c r="D72" s="97">
        <v>85000</v>
      </c>
      <c r="E72" s="97">
        <v>0</v>
      </c>
      <c r="F72" s="97">
        <v>0</v>
      </c>
      <c r="G72" s="97">
        <v>205000</v>
      </c>
      <c r="H72" s="97"/>
      <c r="I72" s="97"/>
      <c r="J72" s="97"/>
      <c r="K72" s="97"/>
      <c r="L72" s="97">
        <f t="shared" si="7"/>
        <v>205000</v>
      </c>
      <c r="M72" s="97">
        <f t="shared" si="8"/>
        <v>290000</v>
      </c>
      <c r="N72" s="97">
        <f t="shared" si="9"/>
        <v>0</v>
      </c>
    </row>
    <row r="73" spans="2:14">
      <c r="B73" s="171" t="s">
        <v>313</v>
      </c>
      <c r="C73" s="97">
        <v>305000</v>
      </c>
      <c r="D73" s="97">
        <v>280000</v>
      </c>
      <c r="E73" s="97">
        <v>25000</v>
      </c>
      <c r="F73" s="97"/>
      <c r="G73" s="97"/>
      <c r="H73" s="97"/>
      <c r="I73" s="97"/>
      <c r="J73" s="97"/>
      <c r="K73" s="97"/>
      <c r="L73" s="97">
        <f t="shared" si="7"/>
        <v>25000</v>
      </c>
      <c r="M73" s="97">
        <f t="shared" si="8"/>
        <v>305000</v>
      </c>
      <c r="N73" s="97">
        <f t="shared" si="9"/>
        <v>0</v>
      </c>
    </row>
    <row r="74" spans="2:14">
      <c r="B74" s="171" t="s">
        <v>314</v>
      </c>
      <c r="C74" s="97">
        <v>295000</v>
      </c>
      <c r="D74" s="97">
        <v>270000</v>
      </c>
      <c r="E74" s="97">
        <v>25000</v>
      </c>
      <c r="F74" s="97"/>
      <c r="G74" s="97"/>
      <c r="H74" s="97"/>
      <c r="I74" s="97"/>
      <c r="J74" s="97"/>
      <c r="K74" s="97"/>
      <c r="L74" s="97">
        <f t="shared" si="7"/>
        <v>25000</v>
      </c>
      <c r="M74" s="97">
        <f t="shared" si="8"/>
        <v>295000</v>
      </c>
      <c r="N74" s="97">
        <f t="shared" si="9"/>
        <v>0</v>
      </c>
    </row>
    <row r="75" spans="2:14">
      <c r="B75" s="171" t="s">
        <v>315</v>
      </c>
      <c r="C75" s="97">
        <v>420000</v>
      </c>
      <c r="D75" s="97">
        <v>380000</v>
      </c>
      <c r="E75" s="97">
        <v>40000</v>
      </c>
      <c r="F75" s="97"/>
      <c r="G75" s="97"/>
      <c r="H75" s="97"/>
      <c r="I75" s="97"/>
      <c r="J75" s="97"/>
      <c r="K75" s="97"/>
      <c r="L75" s="97">
        <f t="shared" si="7"/>
        <v>40000</v>
      </c>
      <c r="M75" s="97">
        <f t="shared" si="8"/>
        <v>420000</v>
      </c>
      <c r="N75" s="97">
        <f t="shared" si="9"/>
        <v>0</v>
      </c>
    </row>
    <row r="76" spans="2:14">
      <c r="B76" s="171" t="s">
        <v>316</v>
      </c>
      <c r="C76" s="97">
        <v>326000</v>
      </c>
      <c r="D76" s="97">
        <v>295000</v>
      </c>
      <c r="E76" s="97">
        <v>31000</v>
      </c>
      <c r="F76" s="97"/>
      <c r="G76" s="97"/>
      <c r="H76" s="97"/>
      <c r="I76" s="97"/>
      <c r="J76" s="97"/>
      <c r="K76" s="97"/>
      <c r="L76" s="97">
        <f t="shared" si="7"/>
        <v>31000</v>
      </c>
      <c r="M76" s="97">
        <f t="shared" si="8"/>
        <v>326000</v>
      </c>
      <c r="N76" s="97">
        <f t="shared" si="9"/>
        <v>0</v>
      </c>
    </row>
    <row r="77" spans="2:14">
      <c r="B77" s="171" t="s">
        <v>317</v>
      </c>
      <c r="C77" s="97">
        <v>354000</v>
      </c>
      <c r="D77" s="97">
        <v>320000</v>
      </c>
      <c r="E77" s="97">
        <v>34000</v>
      </c>
      <c r="F77" s="97"/>
      <c r="G77" s="97"/>
      <c r="H77" s="97"/>
      <c r="I77" s="97"/>
      <c r="J77" s="97"/>
      <c r="K77" s="97"/>
      <c r="L77" s="97">
        <f t="shared" si="7"/>
        <v>34000</v>
      </c>
      <c r="M77" s="97">
        <f t="shared" si="8"/>
        <v>354000</v>
      </c>
      <c r="N77" s="97">
        <f t="shared" si="9"/>
        <v>0</v>
      </c>
    </row>
    <row r="78" spans="2:14">
      <c r="B78" s="171" t="s">
        <v>318</v>
      </c>
      <c r="C78" s="97">
        <v>353000</v>
      </c>
      <c r="D78" s="97">
        <v>320000</v>
      </c>
      <c r="E78" s="97">
        <v>33000</v>
      </c>
      <c r="F78" s="97"/>
      <c r="G78" s="97"/>
      <c r="H78" s="97"/>
      <c r="I78" s="97"/>
      <c r="J78" s="97"/>
      <c r="K78" s="97"/>
      <c r="L78" s="97">
        <f t="shared" si="7"/>
        <v>33000</v>
      </c>
      <c r="M78" s="97">
        <f t="shared" si="8"/>
        <v>353000</v>
      </c>
      <c r="N78" s="97">
        <f t="shared" si="9"/>
        <v>0</v>
      </c>
    </row>
    <row r="79" spans="2:14">
      <c r="B79" s="171" t="s">
        <v>364</v>
      </c>
      <c r="C79" s="97">
        <v>1009000</v>
      </c>
      <c r="D79" s="97"/>
      <c r="E79" s="97"/>
      <c r="F79" s="97"/>
      <c r="G79" s="97"/>
      <c r="H79" s="97">
        <v>1009000</v>
      </c>
      <c r="I79" s="97"/>
      <c r="J79" s="97"/>
      <c r="K79" s="97"/>
      <c r="L79" s="97">
        <f t="shared" si="7"/>
        <v>1009000</v>
      </c>
      <c r="M79" s="97">
        <f t="shared" si="8"/>
        <v>1009000</v>
      </c>
      <c r="N79" s="97">
        <f t="shared" si="9"/>
        <v>0</v>
      </c>
    </row>
    <row r="80" spans="2:14">
      <c r="B80" s="171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</row>
    <row r="81" spans="1:14">
      <c r="B81" s="171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</row>
    <row r="82" spans="1:14">
      <c r="B82" s="171" t="s">
        <v>412</v>
      </c>
      <c r="C82" s="97">
        <f>SUM(C28:C81)</f>
        <v>41532000</v>
      </c>
      <c r="D82" s="97">
        <f t="shared" ref="D82:N82" si="10">SUM(D28:D81)</f>
        <v>5970000</v>
      </c>
      <c r="E82" s="97">
        <f t="shared" si="10"/>
        <v>1740484</v>
      </c>
      <c r="F82" s="97">
        <f t="shared" si="10"/>
        <v>12574496</v>
      </c>
      <c r="G82" s="97">
        <f t="shared" si="10"/>
        <v>260610</v>
      </c>
      <c r="H82" s="97">
        <f t="shared" si="10"/>
        <v>18278609</v>
      </c>
      <c r="I82" s="97">
        <f t="shared" si="10"/>
        <v>1428264</v>
      </c>
      <c r="J82" s="97">
        <f t="shared" si="10"/>
        <v>219307</v>
      </c>
      <c r="K82" s="97">
        <f t="shared" si="10"/>
        <v>1060230</v>
      </c>
      <c r="L82" s="97">
        <f t="shared" si="10"/>
        <v>35562000</v>
      </c>
      <c r="M82" s="97">
        <f t="shared" si="10"/>
        <v>41532000</v>
      </c>
      <c r="N82" s="97">
        <f t="shared" si="10"/>
        <v>0</v>
      </c>
    </row>
    <row r="83" spans="1:14">
      <c r="B83" s="171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</row>
    <row r="84" spans="1:14">
      <c r="A84" s="7" t="s">
        <v>413</v>
      </c>
      <c r="B84" s="171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</row>
    <row r="85" spans="1:14">
      <c r="B85" s="171" t="s">
        <v>367</v>
      </c>
      <c r="C85" s="97">
        <v>755000</v>
      </c>
      <c r="D85" s="97"/>
      <c r="E85" s="97"/>
      <c r="F85" s="97"/>
      <c r="G85" s="97"/>
      <c r="H85" s="97">
        <v>755000</v>
      </c>
      <c r="I85" s="97"/>
      <c r="J85" s="97"/>
      <c r="K85" s="97"/>
      <c r="L85" s="97">
        <f t="shared" ref="L85:L95" si="11">SUM(E85:K85)</f>
        <v>755000</v>
      </c>
      <c r="M85" s="97">
        <f t="shared" ref="M85:M95" si="12">L85+D85</f>
        <v>755000</v>
      </c>
      <c r="N85" s="97">
        <f t="shared" ref="N85:N95" si="13">M85-C85</f>
        <v>0</v>
      </c>
    </row>
    <row r="86" spans="1:14">
      <c r="B86" s="171" t="s">
        <v>347</v>
      </c>
      <c r="C86" s="97">
        <v>1110000</v>
      </c>
      <c r="D86" s="97"/>
      <c r="E86" s="97"/>
      <c r="F86" s="97"/>
      <c r="G86" s="97"/>
      <c r="H86" s="97">
        <v>1110000</v>
      </c>
      <c r="I86" s="97"/>
      <c r="J86" s="97"/>
      <c r="K86" s="97"/>
      <c r="L86" s="97">
        <f t="shared" si="11"/>
        <v>1110000</v>
      </c>
      <c r="M86" s="97">
        <f t="shared" si="12"/>
        <v>1110000</v>
      </c>
      <c r="N86" s="97">
        <f t="shared" si="13"/>
        <v>0</v>
      </c>
    </row>
    <row r="87" spans="1:14">
      <c r="B87" s="171" t="s">
        <v>362</v>
      </c>
      <c r="C87" s="97">
        <v>755000</v>
      </c>
      <c r="D87" s="97"/>
      <c r="E87" s="97"/>
      <c r="F87" s="97"/>
      <c r="G87" s="97"/>
      <c r="H87" s="97">
        <v>755000</v>
      </c>
      <c r="I87" s="97"/>
      <c r="J87" s="97"/>
      <c r="K87" s="97"/>
      <c r="L87" s="97">
        <f t="shared" si="11"/>
        <v>755000</v>
      </c>
      <c r="M87" s="97">
        <f t="shared" si="12"/>
        <v>755000</v>
      </c>
      <c r="N87" s="97">
        <f t="shared" si="13"/>
        <v>0</v>
      </c>
    </row>
    <row r="88" spans="1:14">
      <c r="B88" s="171" t="s">
        <v>333</v>
      </c>
      <c r="C88" s="97">
        <v>755000</v>
      </c>
      <c r="D88" s="97"/>
      <c r="E88" s="97"/>
      <c r="F88" s="97">
        <v>755000</v>
      </c>
      <c r="G88" s="97"/>
      <c r="H88" s="97"/>
      <c r="I88" s="97"/>
      <c r="J88" s="97"/>
      <c r="K88" s="97"/>
      <c r="L88" s="97">
        <f t="shared" si="11"/>
        <v>755000</v>
      </c>
      <c r="M88" s="97">
        <f t="shared" si="12"/>
        <v>755000</v>
      </c>
      <c r="N88" s="97">
        <f t="shared" si="13"/>
        <v>0</v>
      </c>
    </row>
    <row r="89" spans="1:14">
      <c r="B89" s="171" t="s">
        <v>377</v>
      </c>
      <c r="C89" s="97">
        <v>755000</v>
      </c>
      <c r="D89" s="97"/>
      <c r="E89" s="97"/>
      <c r="F89" s="97"/>
      <c r="G89" s="97"/>
      <c r="H89" s="97"/>
      <c r="I89" s="97">
        <v>536000</v>
      </c>
      <c r="J89" s="97">
        <v>219000</v>
      </c>
      <c r="K89" s="97"/>
      <c r="L89" s="97">
        <f t="shared" si="11"/>
        <v>755000</v>
      </c>
      <c r="M89" s="97">
        <f t="shared" si="12"/>
        <v>755000</v>
      </c>
      <c r="N89" s="97">
        <f t="shared" si="13"/>
        <v>0</v>
      </c>
    </row>
    <row r="90" spans="1:14">
      <c r="B90" s="171" t="s">
        <v>356</v>
      </c>
      <c r="C90" s="97">
        <v>755000</v>
      </c>
      <c r="D90" s="97"/>
      <c r="E90" s="97"/>
      <c r="F90" s="97"/>
      <c r="G90" s="97"/>
      <c r="H90" s="97">
        <v>755000</v>
      </c>
      <c r="I90" s="97"/>
      <c r="J90" s="97"/>
      <c r="K90" s="97"/>
      <c r="L90" s="97">
        <f t="shared" si="11"/>
        <v>755000</v>
      </c>
      <c r="M90" s="97">
        <f t="shared" si="12"/>
        <v>755000</v>
      </c>
      <c r="N90" s="97">
        <f t="shared" si="13"/>
        <v>0</v>
      </c>
    </row>
    <row r="91" spans="1:14">
      <c r="B91" s="171" t="s">
        <v>352</v>
      </c>
      <c r="C91" s="97">
        <v>755000</v>
      </c>
      <c r="D91" s="97"/>
      <c r="E91" s="97"/>
      <c r="F91" s="97"/>
      <c r="G91" s="97"/>
      <c r="H91" s="97">
        <v>755000</v>
      </c>
      <c r="I91" s="97"/>
      <c r="J91" s="97"/>
      <c r="K91" s="97"/>
      <c r="L91" s="97">
        <f t="shared" si="11"/>
        <v>755000</v>
      </c>
      <c r="M91" s="97">
        <f t="shared" si="12"/>
        <v>755000</v>
      </c>
      <c r="N91" s="97">
        <f t="shared" si="13"/>
        <v>0</v>
      </c>
    </row>
    <row r="92" spans="1:14">
      <c r="B92" s="171" t="s">
        <v>346</v>
      </c>
      <c r="C92" s="97">
        <v>755000</v>
      </c>
      <c r="D92" s="97"/>
      <c r="E92" s="97"/>
      <c r="F92" s="97">
        <v>755000</v>
      </c>
      <c r="G92" s="97"/>
      <c r="H92" s="97"/>
      <c r="I92" s="97"/>
      <c r="J92" s="97"/>
      <c r="K92" s="97"/>
      <c r="L92" s="97">
        <f t="shared" si="11"/>
        <v>755000</v>
      </c>
      <c r="M92" s="97">
        <f t="shared" si="12"/>
        <v>755000</v>
      </c>
      <c r="N92" s="97">
        <f t="shared" si="13"/>
        <v>0</v>
      </c>
    </row>
    <row r="93" spans="1:14">
      <c r="B93" s="171" t="s">
        <v>374</v>
      </c>
      <c r="C93" s="97">
        <v>100000</v>
      </c>
      <c r="D93" s="97"/>
      <c r="E93" s="97"/>
      <c r="F93" s="97"/>
      <c r="G93" s="97"/>
      <c r="H93" s="97">
        <v>100000</v>
      </c>
      <c r="I93" s="97"/>
      <c r="J93" s="97"/>
      <c r="K93" s="97"/>
      <c r="L93" s="97">
        <f t="shared" si="11"/>
        <v>100000</v>
      </c>
      <c r="M93" s="97">
        <f t="shared" si="12"/>
        <v>100000</v>
      </c>
      <c r="N93" s="97">
        <f t="shared" si="13"/>
        <v>0</v>
      </c>
    </row>
    <row r="94" spans="1:14">
      <c r="B94" s="171" t="s">
        <v>375</v>
      </c>
      <c r="C94" s="97">
        <v>100000</v>
      </c>
      <c r="D94" s="97"/>
      <c r="E94" s="97"/>
      <c r="F94" s="97"/>
      <c r="G94" s="97"/>
      <c r="H94" s="97">
        <v>100000</v>
      </c>
      <c r="I94" s="97"/>
      <c r="J94" s="97"/>
      <c r="K94" s="97"/>
      <c r="L94" s="97">
        <f t="shared" si="11"/>
        <v>100000</v>
      </c>
      <c r="M94" s="97">
        <f t="shared" si="12"/>
        <v>100000</v>
      </c>
      <c r="N94" s="97">
        <f t="shared" si="13"/>
        <v>0</v>
      </c>
    </row>
    <row r="95" spans="1:14">
      <c r="B95" s="171" t="s">
        <v>373</v>
      </c>
      <c r="C95" s="97">
        <v>100000</v>
      </c>
      <c r="D95" s="97"/>
      <c r="E95" s="97"/>
      <c r="F95" s="97"/>
      <c r="G95" s="97"/>
      <c r="H95" s="97">
        <v>100000</v>
      </c>
      <c r="I95" s="97"/>
      <c r="J95" s="97"/>
      <c r="K95" s="97"/>
      <c r="L95" s="97">
        <f t="shared" si="11"/>
        <v>100000</v>
      </c>
      <c r="M95" s="97">
        <f t="shared" si="12"/>
        <v>100000</v>
      </c>
      <c r="N95" s="97">
        <f t="shared" si="13"/>
        <v>0</v>
      </c>
    </row>
    <row r="96" spans="1:14">
      <c r="B96" s="171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</row>
    <row r="97" spans="1:14">
      <c r="B97" s="171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</row>
    <row r="98" spans="1:14">
      <c r="B98" s="171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</row>
    <row r="99" spans="1:14">
      <c r="B99" s="171" t="s">
        <v>415</v>
      </c>
      <c r="C99" s="97">
        <f t="shared" ref="C99:N99" si="14">SUM(C84:C98)</f>
        <v>6695000</v>
      </c>
      <c r="D99" s="97">
        <f t="shared" si="14"/>
        <v>0</v>
      </c>
      <c r="E99" s="97">
        <f t="shared" si="14"/>
        <v>0</v>
      </c>
      <c r="F99" s="97">
        <f t="shared" si="14"/>
        <v>1510000</v>
      </c>
      <c r="G99" s="97">
        <f t="shared" si="14"/>
        <v>0</v>
      </c>
      <c r="H99" s="97">
        <f t="shared" si="14"/>
        <v>4430000</v>
      </c>
      <c r="I99" s="97">
        <f t="shared" si="14"/>
        <v>536000</v>
      </c>
      <c r="J99" s="97">
        <f t="shared" si="14"/>
        <v>219000</v>
      </c>
      <c r="K99" s="97">
        <f t="shared" si="14"/>
        <v>0</v>
      </c>
      <c r="L99" s="97">
        <f t="shared" si="14"/>
        <v>6695000</v>
      </c>
      <c r="M99" s="97">
        <f t="shared" si="14"/>
        <v>6695000</v>
      </c>
      <c r="N99" s="97">
        <f t="shared" si="14"/>
        <v>0</v>
      </c>
    </row>
    <row r="100" spans="1:14"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</row>
    <row r="101" spans="1:14"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</row>
    <row r="102" spans="1:14">
      <c r="A102" s="7" t="s">
        <v>414</v>
      </c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</row>
    <row r="103" spans="1:14">
      <c r="B103" s="171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</row>
    <row r="104" spans="1:14">
      <c r="B104" s="171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</row>
    <row r="105" spans="1:14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1:14">
      <c r="B106" s="171" t="s">
        <v>416</v>
      </c>
      <c r="C106" s="97">
        <f t="shared" ref="C106:N106" si="15">SUM(C102:C105)</f>
        <v>0</v>
      </c>
      <c r="D106" s="97">
        <f t="shared" si="15"/>
        <v>0</v>
      </c>
      <c r="E106" s="97">
        <f t="shared" si="15"/>
        <v>0</v>
      </c>
      <c r="F106" s="97">
        <f t="shared" si="15"/>
        <v>0</v>
      </c>
      <c r="G106" s="97">
        <f t="shared" si="15"/>
        <v>0</v>
      </c>
      <c r="H106" s="97">
        <f t="shared" si="15"/>
        <v>0</v>
      </c>
      <c r="I106" s="97">
        <f t="shared" si="15"/>
        <v>0</v>
      </c>
      <c r="J106" s="97">
        <f t="shared" si="15"/>
        <v>0</v>
      </c>
      <c r="K106" s="97">
        <f t="shared" si="15"/>
        <v>0</v>
      </c>
      <c r="L106" s="97">
        <f t="shared" si="15"/>
        <v>0</v>
      </c>
      <c r="M106" s="97">
        <f t="shared" si="15"/>
        <v>0</v>
      </c>
      <c r="N106" s="97">
        <f t="shared" si="15"/>
        <v>0</v>
      </c>
    </row>
    <row r="107" spans="1:14"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</row>
    <row r="108" spans="1:14" ht="13.5" thickBot="1"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</row>
    <row r="109" spans="1:14"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1:14">
      <c r="A110" s="7" t="s">
        <v>378</v>
      </c>
      <c r="C110" s="253">
        <f t="shared" ref="C110:N110" si="16">C106+C99+C82+C26</f>
        <v>51904000</v>
      </c>
      <c r="D110" s="253">
        <f t="shared" si="16"/>
        <v>5970000</v>
      </c>
      <c r="E110" s="253">
        <f t="shared" si="16"/>
        <v>1740484</v>
      </c>
      <c r="F110" s="253">
        <f t="shared" si="16"/>
        <v>14279496</v>
      </c>
      <c r="G110" s="253">
        <f t="shared" si="16"/>
        <v>260610</v>
      </c>
      <c r="H110" s="253">
        <f t="shared" si="16"/>
        <v>26048459</v>
      </c>
      <c r="I110" s="253">
        <f t="shared" si="16"/>
        <v>1964264</v>
      </c>
      <c r="J110" s="253">
        <f t="shared" si="16"/>
        <v>438307</v>
      </c>
      <c r="K110" s="253">
        <f t="shared" si="16"/>
        <v>1202380</v>
      </c>
      <c r="L110" s="253">
        <f t="shared" si="16"/>
        <v>45934000</v>
      </c>
      <c r="M110" s="253">
        <f t="shared" si="16"/>
        <v>51904000</v>
      </c>
      <c r="N110" s="253">
        <f t="shared" si="16"/>
        <v>0</v>
      </c>
    </row>
    <row r="111" spans="1:14"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1:14"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>
      <c r="A114" s="7" t="s">
        <v>379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>
      <c r="B116" s="171" t="s">
        <v>380</v>
      </c>
      <c r="C116" s="97">
        <v>7245000</v>
      </c>
      <c r="D116" s="97"/>
      <c r="E116" s="97"/>
      <c r="F116" s="97"/>
      <c r="G116" s="97"/>
      <c r="H116" s="97">
        <v>7245000</v>
      </c>
      <c r="I116" s="97"/>
      <c r="J116" s="97"/>
      <c r="K116" s="97"/>
      <c r="L116" s="97">
        <f t="shared" ref="L116" si="17">SUM(E116:K116)</f>
        <v>7245000</v>
      </c>
      <c r="M116" s="97">
        <f t="shared" ref="M116" si="18">L116+D116</f>
        <v>7245000</v>
      </c>
      <c r="N116" s="97">
        <f t="shared" ref="N116" si="19">M116-C116</f>
        <v>0</v>
      </c>
    </row>
    <row r="117" spans="1:14">
      <c r="B117" s="171" t="s">
        <v>381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>
      <c r="B118" s="171" t="s">
        <v>382</v>
      </c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</row>
    <row r="119" spans="1:14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</row>
    <row r="121" spans="1:14">
      <c r="B121" s="171" t="s">
        <v>383</v>
      </c>
      <c r="C121" s="97">
        <v>416000</v>
      </c>
      <c r="D121" s="97"/>
      <c r="E121" s="97"/>
      <c r="F121" s="97"/>
      <c r="G121" s="97"/>
      <c r="H121" s="97">
        <f>C121</f>
        <v>416000</v>
      </c>
      <c r="I121" s="97"/>
      <c r="J121" s="97"/>
      <c r="K121" s="97"/>
      <c r="L121" s="97">
        <f t="shared" ref="L121" si="20">SUM(E121:K121)</f>
        <v>416000</v>
      </c>
      <c r="M121" s="97">
        <f t="shared" ref="M121" si="21">L121+D121</f>
        <v>416000</v>
      </c>
      <c r="N121" s="97">
        <f t="shared" ref="N121" si="22">M121-C121</f>
        <v>0</v>
      </c>
    </row>
    <row r="122" spans="1:14">
      <c r="B122" s="171" t="s">
        <v>384</v>
      </c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</row>
    <row r="123" spans="1:14">
      <c r="B123" s="171" t="s">
        <v>385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</row>
    <row r="124" spans="1:14"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</row>
    <row r="125" spans="1:14"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</row>
    <row r="126" spans="1:14">
      <c r="B126" s="171" t="s">
        <v>386</v>
      </c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</row>
    <row r="127" spans="1:14">
      <c r="B127" s="171" t="s">
        <v>387</v>
      </c>
      <c r="C127" s="254">
        <f>C110+C116</f>
        <v>59149000</v>
      </c>
      <c r="D127" s="255">
        <f t="shared" ref="D127:N127" si="23">D110+D116</f>
        <v>5970000</v>
      </c>
      <c r="E127" s="255">
        <f t="shared" si="23"/>
        <v>1740484</v>
      </c>
      <c r="F127" s="255">
        <f t="shared" si="23"/>
        <v>14279496</v>
      </c>
      <c r="G127" s="255">
        <f t="shared" si="23"/>
        <v>260610</v>
      </c>
      <c r="H127" s="255">
        <f t="shared" si="23"/>
        <v>33293459</v>
      </c>
      <c r="I127" s="255">
        <f t="shared" si="23"/>
        <v>1964264</v>
      </c>
      <c r="J127" s="255">
        <f t="shared" si="23"/>
        <v>438307</v>
      </c>
      <c r="K127" s="255">
        <f t="shared" si="23"/>
        <v>1202380</v>
      </c>
      <c r="L127" s="255">
        <f t="shared" ref="L127" si="24">L110+L116</f>
        <v>53179000</v>
      </c>
      <c r="M127" s="255">
        <f t="shared" si="23"/>
        <v>59149000</v>
      </c>
      <c r="N127" s="256">
        <f t="shared" si="23"/>
        <v>0</v>
      </c>
    </row>
    <row r="128" spans="1:14">
      <c r="B128" s="171" t="s">
        <v>388</v>
      </c>
      <c r="C128" s="97">
        <f>C110+C121</f>
        <v>52320000</v>
      </c>
      <c r="D128" s="97">
        <f t="shared" ref="D128:N128" si="25">D110+D121</f>
        <v>5970000</v>
      </c>
      <c r="E128" s="97">
        <f t="shared" si="25"/>
        <v>1740484</v>
      </c>
      <c r="F128" s="97">
        <f t="shared" si="25"/>
        <v>14279496</v>
      </c>
      <c r="G128" s="97">
        <f t="shared" si="25"/>
        <v>260610</v>
      </c>
      <c r="H128" s="97">
        <f t="shared" si="25"/>
        <v>26464459</v>
      </c>
      <c r="I128" s="97">
        <f t="shared" si="25"/>
        <v>1964264</v>
      </c>
      <c r="J128" s="97">
        <f t="shared" si="25"/>
        <v>438307</v>
      </c>
      <c r="K128" s="97">
        <f t="shared" si="25"/>
        <v>1202380</v>
      </c>
      <c r="L128" s="97">
        <f t="shared" ref="L128" si="26">L110+L121</f>
        <v>46350000</v>
      </c>
      <c r="M128" s="97">
        <f t="shared" si="25"/>
        <v>52320000</v>
      </c>
      <c r="N128" s="97">
        <f t="shared" si="25"/>
        <v>0</v>
      </c>
    </row>
    <row r="129" spans="2:14"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</row>
    <row r="136" spans="2:14">
      <c r="B136" s="171" t="s">
        <v>398</v>
      </c>
    </row>
  </sheetData>
  <sortState ref="A11:XFD79">
    <sortCondition ref="B11:B7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>
      <c r="A1" s="7" t="s">
        <v>77</v>
      </c>
      <c r="F1" s="1" t="str">
        <f>Assumptions!$B$12</f>
        <v>Internal</v>
      </c>
    </row>
    <row r="2" spans="1:6">
      <c r="A2" s="7" t="str">
        <f>Assumptions!$B$10</f>
        <v>City of Manteca</v>
      </c>
      <c r="F2" s="2" t="str">
        <f>Assumptions!$B$13</f>
        <v>Working Draft - v1</v>
      </c>
    </row>
    <row r="3" spans="1:6">
      <c r="A3" s="7" t="str">
        <f>Assumptions!$B$18</f>
        <v>PFF Sewer Collection Fee</v>
      </c>
      <c r="F3" s="3">
        <f>Assumptions!$B$14</f>
        <v>41075</v>
      </c>
    </row>
    <row r="4" spans="1:6">
      <c r="A4" s="7" t="s">
        <v>83</v>
      </c>
    </row>
    <row r="8" spans="1:6">
      <c r="A8" s="8"/>
      <c r="B8" s="8"/>
      <c r="C8" s="8"/>
      <c r="D8" s="8"/>
      <c r="E8" s="264" t="s">
        <v>14</v>
      </c>
      <c r="F8" s="264"/>
    </row>
    <row r="9" spans="1:6">
      <c r="A9" s="9"/>
      <c r="B9" s="9"/>
      <c r="C9" s="9"/>
      <c r="D9" s="9"/>
      <c r="E9" s="9" t="s">
        <v>15</v>
      </c>
      <c r="F9" s="10" t="s">
        <v>16</v>
      </c>
    </row>
    <row r="10" spans="1:6">
      <c r="A10" s="48"/>
      <c r="B10" s="48"/>
      <c r="C10" s="48"/>
      <c r="D10" s="48"/>
      <c r="E10" s="48"/>
      <c r="F10" s="49"/>
    </row>
    <row r="11" spans="1:6">
      <c r="A11" s="7" t="s">
        <v>81</v>
      </c>
      <c r="B11" s="11"/>
      <c r="C11" s="11"/>
      <c r="D11" s="11"/>
      <c r="E11" s="11"/>
      <c r="F11" s="12"/>
    </row>
    <row r="12" spans="1:6">
      <c r="A12" s="7"/>
      <c r="B12" s="11" t="s">
        <v>17</v>
      </c>
      <c r="C12" s="11"/>
      <c r="D12" s="11"/>
      <c r="E12" s="11"/>
      <c r="F12" s="13"/>
    </row>
    <row r="13" spans="1:6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>
      <c r="A14" s="7"/>
      <c r="B14" s="11"/>
      <c r="C14" s="11" t="s">
        <v>19</v>
      </c>
      <c r="D14" s="11"/>
      <c r="E14" s="11"/>
      <c r="F14" s="14">
        <v>1128000</v>
      </c>
    </row>
    <row r="15" spans="1:6">
      <c r="A15" s="7"/>
      <c r="B15" s="11"/>
      <c r="C15" s="11" t="s">
        <v>20</v>
      </c>
      <c r="D15" s="11"/>
      <c r="E15" s="11"/>
      <c r="F15" s="14">
        <v>1192800</v>
      </c>
    </row>
    <row r="16" spans="1:6">
      <c r="A16" s="7"/>
      <c r="B16" s="11"/>
      <c r="C16" s="11" t="s">
        <v>21</v>
      </c>
      <c r="D16" s="11"/>
      <c r="E16" s="11"/>
      <c r="F16" s="14">
        <v>1128000</v>
      </c>
    </row>
    <row r="17" spans="1:6">
      <c r="A17" s="7"/>
      <c r="B17" s="11"/>
      <c r="C17" s="11" t="s">
        <v>22</v>
      </c>
      <c r="D17" s="11"/>
      <c r="E17" s="11"/>
      <c r="F17" s="14">
        <v>2975106</v>
      </c>
    </row>
    <row r="18" spans="1:6">
      <c r="A18" s="7"/>
      <c r="B18" s="11"/>
      <c r="C18" s="11"/>
      <c r="D18" s="11"/>
      <c r="E18" s="11"/>
      <c r="F18" s="14"/>
    </row>
    <row r="19" spans="1:6">
      <c r="A19" s="7"/>
      <c r="B19" s="11" t="s">
        <v>23</v>
      </c>
      <c r="C19" s="11"/>
      <c r="D19" s="11"/>
      <c r="E19" s="11"/>
      <c r="F19" s="14"/>
    </row>
    <row r="20" spans="1:6">
      <c r="A20" s="7"/>
      <c r="B20" s="11"/>
      <c r="C20" s="11" t="s">
        <v>24</v>
      </c>
      <c r="D20" s="11"/>
      <c r="E20" s="11"/>
      <c r="F20" s="14">
        <v>369600</v>
      </c>
    </row>
    <row r="21" spans="1:6">
      <c r="A21" s="7"/>
      <c r="B21" s="11"/>
      <c r="C21" s="11" t="s">
        <v>25</v>
      </c>
      <c r="D21" s="11"/>
      <c r="E21" s="11"/>
      <c r="F21" s="14">
        <v>385000</v>
      </c>
    </row>
    <row r="22" spans="1:6">
      <c r="A22" s="7"/>
      <c r="B22" s="11"/>
      <c r="C22" s="11" t="s">
        <v>26</v>
      </c>
      <c r="D22" s="11"/>
      <c r="E22" s="11"/>
      <c r="F22" s="14">
        <v>185500</v>
      </c>
    </row>
    <row r="23" spans="1:6">
      <c r="A23" s="7"/>
      <c r="B23" s="11"/>
      <c r="C23" s="11" t="s">
        <v>27</v>
      </c>
      <c r="D23" s="11"/>
      <c r="E23" s="11"/>
      <c r="F23" s="14">
        <v>185500</v>
      </c>
    </row>
    <row r="24" spans="1:6">
      <c r="A24" s="7"/>
      <c r="B24" s="11"/>
      <c r="C24" s="11" t="s">
        <v>28</v>
      </c>
      <c r="D24" s="11"/>
      <c r="E24" s="11"/>
      <c r="F24" s="14">
        <v>369600</v>
      </c>
    </row>
    <row r="25" spans="1:6">
      <c r="A25" s="7"/>
      <c r="B25" s="11"/>
      <c r="C25" s="11" t="s">
        <v>29</v>
      </c>
      <c r="D25" s="11"/>
      <c r="E25" s="11"/>
      <c r="F25" s="14">
        <v>420000</v>
      </c>
    </row>
    <row r="26" spans="1:6">
      <c r="A26" s="7"/>
      <c r="B26" s="11"/>
      <c r="C26" s="11" t="s">
        <v>30</v>
      </c>
      <c r="D26" s="11"/>
      <c r="E26" s="11"/>
      <c r="F26" s="14">
        <v>273000</v>
      </c>
    </row>
    <row r="27" spans="1:6">
      <c r="A27" s="7"/>
      <c r="B27" s="11"/>
      <c r="C27" s="11" t="s">
        <v>31</v>
      </c>
      <c r="D27" s="11"/>
      <c r="E27" s="28"/>
      <c r="F27" s="29">
        <v>500000</v>
      </c>
    </row>
    <row r="28" spans="1:6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>
      <c r="A29" s="7"/>
      <c r="B29" s="11"/>
      <c r="C29" s="11"/>
      <c r="D29" s="11"/>
      <c r="E29" s="14"/>
      <c r="F29" s="14"/>
    </row>
    <row r="30" spans="1:6">
      <c r="A30" s="7" t="s">
        <v>82</v>
      </c>
      <c r="B30" s="11"/>
      <c r="C30" s="11"/>
      <c r="D30" s="11"/>
      <c r="E30" s="11"/>
      <c r="F30" s="14"/>
    </row>
    <row r="31" spans="1:6">
      <c r="A31" s="7"/>
      <c r="B31" s="11" t="s">
        <v>32</v>
      </c>
      <c r="C31" s="11"/>
      <c r="D31" s="11"/>
      <c r="E31" s="11"/>
      <c r="F31" s="14"/>
    </row>
    <row r="32" spans="1:6">
      <c r="A32" s="7"/>
      <c r="C32" s="11" t="s">
        <v>33</v>
      </c>
      <c r="D32" s="11"/>
      <c r="E32" s="11"/>
      <c r="F32" s="14">
        <v>750000</v>
      </c>
    </row>
    <row r="33" spans="1:6">
      <c r="A33" s="7"/>
      <c r="B33" s="11"/>
      <c r="C33" s="11" t="s">
        <v>34</v>
      </c>
      <c r="D33" s="11"/>
      <c r="E33" s="11"/>
      <c r="F33" s="14">
        <v>453000</v>
      </c>
    </row>
    <row r="34" spans="1:6">
      <c r="A34" s="7"/>
      <c r="B34" s="11"/>
      <c r="C34" s="11" t="s">
        <v>35</v>
      </c>
      <c r="D34" s="11"/>
      <c r="E34" s="11"/>
      <c r="F34" s="14">
        <v>453000</v>
      </c>
    </row>
    <row r="35" spans="1:6">
      <c r="A35" s="7"/>
      <c r="B35" s="11"/>
      <c r="C35" s="11" t="s">
        <v>36</v>
      </c>
      <c r="D35" s="11"/>
      <c r="E35" s="11"/>
      <c r="F35" s="14">
        <v>453000</v>
      </c>
    </row>
    <row r="36" spans="1:6">
      <c r="A36" s="7"/>
      <c r="B36" s="11"/>
      <c r="C36" s="11"/>
      <c r="D36" s="11"/>
      <c r="E36" s="11"/>
      <c r="F36" s="14"/>
    </row>
    <row r="37" spans="1:6">
      <c r="A37" s="7"/>
      <c r="B37" s="11" t="s">
        <v>37</v>
      </c>
      <c r="C37" s="11"/>
      <c r="D37" s="11"/>
      <c r="E37" s="11"/>
      <c r="F37" s="14"/>
    </row>
    <row r="38" spans="1:6">
      <c r="A38" s="7"/>
      <c r="B38" s="11"/>
      <c r="C38" s="11" t="s">
        <v>38</v>
      </c>
      <c r="D38" s="11"/>
      <c r="E38" s="11"/>
      <c r="F38" s="14">
        <v>1118000</v>
      </c>
    </row>
    <row r="39" spans="1:6">
      <c r="A39" s="7"/>
      <c r="B39" s="11"/>
      <c r="C39" s="11" t="s">
        <v>39</v>
      </c>
      <c r="D39" s="11"/>
      <c r="E39" s="11"/>
      <c r="F39" s="14">
        <v>453000</v>
      </c>
    </row>
    <row r="40" spans="1:6">
      <c r="A40" s="7"/>
      <c r="B40" s="11"/>
      <c r="C40" s="11" t="s">
        <v>40</v>
      </c>
      <c r="D40" s="11"/>
      <c r="E40" s="30"/>
      <c r="F40" s="31">
        <v>666000</v>
      </c>
    </row>
    <row r="41" spans="1:6">
      <c r="A41" s="7"/>
      <c r="B41" s="11"/>
      <c r="C41" s="11" t="s">
        <v>41</v>
      </c>
      <c r="D41" s="11"/>
      <c r="E41" s="28"/>
      <c r="F41" s="29">
        <v>453000</v>
      </c>
    </row>
    <row r="42" spans="1:6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>
      <c r="A43" s="11"/>
      <c r="B43" s="11"/>
      <c r="C43" s="11"/>
      <c r="D43" s="11"/>
      <c r="E43" s="28"/>
      <c r="F43" s="28"/>
    </row>
    <row r="44" spans="1:6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>
      <c r="A45" s="11"/>
      <c r="B45" s="7"/>
      <c r="C45" s="7"/>
      <c r="D45" s="7"/>
      <c r="E45" s="15"/>
      <c r="F45" s="15"/>
    </row>
    <row r="46" spans="1:6">
      <c r="A46" s="11"/>
      <c r="B46" s="7"/>
      <c r="C46" s="7"/>
      <c r="D46" s="7"/>
      <c r="E46" s="15"/>
      <c r="F46" s="15"/>
    </row>
    <row r="47" spans="1:6">
      <c r="A47" s="7" t="s">
        <v>71</v>
      </c>
      <c r="B47" s="11"/>
      <c r="C47" s="11"/>
      <c r="D47" s="11"/>
      <c r="E47" s="11"/>
      <c r="F47" s="11"/>
    </row>
    <row r="48" spans="1:6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>
      <c r="A51" s="11"/>
      <c r="B51" s="7"/>
      <c r="C51" s="11"/>
      <c r="D51" s="16"/>
      <c r="E51" s="17"/>
      <c r="F51" s="17"/>
    </row>
    <row r="52" spans="1:6">
      <c r="A52" s="11"/>
      <c r="B52" s="11"/>
      <c r="C52" s="11"/>
      <c r="D52" s="11"/>
      <c r="E52" s="11"/>
      <c r="F52" s="11"/>
    </row>
    <row r="53" spans="1:6" ht="23.25" customHeight="1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/>
    <row r="55" spans="1:6">
      <c r="A55" s="20" t="s">
        <v>45</v>
      </c>
    </row>
    <row r="58" spans="1:6">
      <c r="B58" t="s">
        <v>11</v>
      </c>
    </row>
    <row r="59" spans="1:6">
      <c r="B59" t="s">
        <v>78</v>
      </c>
    </row>
    <row r="61" spans="1:6">
      <c r="B61" s="171" t="s">
        <v>224</v>
      </c>
    </row>
    <row r="69" ht="18.75" customHeight="1"/>
    <row r="72" ht="4.5" customHeight="1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A5"/>
    </sheetView>
  </sheetViews>
  <sheetFormatPr defaultColWidth="8.85546875" defaultRowHeight="12.75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>
      <c r="A1" s="209" t="s">
        <v>88</v>
      </c>
      <c r="N1" s="51" t="str">
        <f>Assumptions!$B$12</f>
        <v>Internal</v>
      </c>
    </row>
    <row r="2" spans="1:16">
      <c r="A2" s="50" t="str">
        <f>Assumptions!B10</f>
        <v>City of Manteca</v>
      </c>
      <c r="N2" s="52" t="str">
        <f>Assumptions!$B$13</f>
        <v>Working Draft - v1</v>
      </c>
    </row>
    <row r="3" spans="1:16">
      <c r="A3" s="50" t="str">
        <f>Assumptions!B18</f>
        <v>PFF Sewer Collection Fee</v>
      </c>
      <c r="N3" s="53">
        <f>Assumptions!$B$14</f>
        <v>41075</v>
      </c>
    </row>
    <row r="4" spans="1:16">
      <c r="A4" s="50" t="s">
        <v>133</v>
      </c>
      <c r="N4" s="95"/>
    </row>
    <row r="5" spans="1:16">
      <c r="N5" s="95"/>
    </row>
    <row r="6" spans="1:16">
      <c r="N6" s="95"/>
    </row>
    <row r="9" spans="1:16">
      <c r="C9" s="265" t="s">
        <v>89</v>
      </c>
      <c r="D9" s="266"/>
      <c r="E9" s="266"/>
      <c r="F9" s="266"/>
      <c r="G9" s="266"/>
      <c r="H9" s="266"/>
      <c r="I9" s="266"/>
      <c r="J9" s="266"/>
      <c r="K9" s="266"/>
      <c r="L9" s="267"/>
      <c r="M9" s="54"/>
    </row>
    <row r="10" spans="1:16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>
      <c r="N53" s="61"/>
    </row>
    <row r="54" spans="1:16">
      <c r="A54" s="92" t="s">
        <v>124</v>
      </c>
      <c r="N54" s="61"/>
    </row>
    <row r="55" spans="1:16">
      <c r="A55" s="50" t="s">
        <v>125</v>
      </c>
      <c r="N55" s="61">
        <f t="shared" ref="N55:N65" si="8">SUM(C55:M55)</f>
        <v>0</v>
      </c>
    </row>
    <row r="56" spans="1:16">
      <c r="A56" s="50" t="s">
        <v>0</v>
      </c>
      <c r="D56" s="62">
        <f>D51</f>
        <v>47999</v>
      </c>
      <c r="N56" s="61">
        <f t="shared" si="8"/>
        <v>47999</v>
      </c>
    </row>
    <row r="57" spans="1:16">
      <c r="A57" s="50" t="s">
        <v>1</v>
      </c>
      <c r="E57" s="62">
        <f>E51</f>
        <v>-2755991</v>
      </c>
      <c r="N57" s="61">
        <f t="shared" si="8"/>
        <v>-2755991</v>
      </c>
    </row>
    <row r="58" spans="1:16">
      <c r="A58" s="50" t="s">
        <v>2</v>
      </c>
      <c r="F58" s="62">
        <f>F51</f>
        <v>1055339</v>
      </c>
      <c r="N58" s="61">
        <f t="shared" si="8"/>
        <v>1055339</v>
      </c>
    </row>
    <row r="59" spans="1:16">
      <c r="A59" s="50" t="s">
        <v>3</v>
      </c>
      <c r="G59" s="62">
        <f>G51</f>
        <v>-1683551</v>
      </c>
      <c r="N59" s="61">
        <f t="shared" si="8"/>
        <v>-1683551</v>
      </c>
    </row>
    <row r="60" spans="1:16">
      <c r="A60" s="50" t="s">
        <v>126</v>
      </c>
      <c r="G60" s="62">
        <f>H51</f>
        <v>-1581488</v>
      </c>
      <c r="N60" s="61">
        <f t="shared" si="8"/>
        <v>-1581488</v>
      </c>
    </row>
    <row r="61" spans="1:16">
      <c r="A61" s="50" t="s">
        <v>127</v>
      </c>
      <c r="N61" s="61">
        <f t="shared" si="8"/>
        <v>0</v>
      </c>
    </row>
    <row r="62" spans="1:16">
      <c r="A62" s="50" t="s">
        <v>128</v>
      </c>
      <c r="G62" s="62">
        <f>J51</f>
        <v>40590</v>
      </c>
      <c r="N62" s="61">
        <f t="shared" si="8"/>
        <v>40590</v>
      </c>
    </row>
    <row r="63" spans="1:16">
      <c r="A63" s="50" t="s">
        <v>4</v>
      </c>
      <c r="K63" s="62">
        <f>K51</f>
        <v>-8920</v>
      </c>
      <c r="N63" s="61">
        <f t="shared" si="8"/>
        <v>-8920</v>
      </c>
    </row>
    <row r="64" spans="1:16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>
      <c r="A67" s="92" t="s">
        <v>131</v>
      </c>
      <c r="N67" s="61"/>
    </row>
    <row r="68" spans="1:14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>
      <c r="A69" s="50" t="s">
        <v>0</v>
      </c>
      <c r="D69" s="62"/>
      <c r="N69" s="61">
        <f t="shared" si="10"/>
        <v>0</v>
      </c>
    </row>
    <row r="70" spans="1:14">
      <c r="A70" s="50" t="s">
        <v>1</v>
      </c>
      <c r="E70" s="62"/>
      <c r="N70" s="61">
        <f t="shared" si="10"/>
        <v>0</v>
      </c>
    </row>
    <row r="71" spans="1:14">
      <c r="A71" s="50" t="s">
        <v>2</v>
      </c>
      <c r="F71" s="62"/>
      <c r="N71" s="61">
        <f t="shared" si="10"/>
        <v>0</v>
      </c>
    </row>
    <row r="72" spans="1:14">
      <c r="A72" s="50" t="s">
        <v>3</v>
      </c>
      <c r="G72" s="62"/>
      <c r="N72" s="61">
        <f t="shared" si="10"/>
        <v>0</v>
      </c>
    </row>
    <row r="73" spans="1:14">
      <c r="A73" s="50" t="s">
        <v>126</v>
      </c>
      <c r="G73" s="62"/>
      <c r="N73" s="61">
        <f t="shared" si="10"/>
        <v>0</v>
      </c>
    </row>
    <row r="74" spans="1:14">
      <c r="A74" s="50" t="s">
        <v>127</v>
      </c>
      <c r="I74" s="62">
        <f>I51</f>
        <v>427959</v>
      </c>
      <c r="N74" s="61">
        <f t="shared" si="10"/>
        <v>427959</v>
      </c>
    </row>
    <row r="75" spans="1:14">
      <c r="A75" s="50" t="s">
        <v>128</v>
      </c>
      <c r="G75" s="62"/>
      <c r="N75" s="61">
        <f t="shared" si="10"/>
        <v>0</v>
      </c>
    </row>
    <row r="76" spans="1:14">
      <c r="A76" s="50" t="s">
        <v>4</v>
      </c>
      <c r="K76" s="62">
        <f>K64</f>
        <v>0</v>
      </c>
      <c r="N76" s="61">
        <f t="shared" si="10"/>
        <v>0</v>
      </c>
    </row>
    <row r="77" spans="1:14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6" orientation="landscape" r:id="rId1"/>
  <headerFooter alignWithMargins="0">
    <oddFooter>&amp;L&amp;8&amp;F  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55" activePane="bottomLeft" state="frozen"/>
      <selection pane="bottomLeft" activeCell="A5" sqref="A5"/>
    </sheetView>
  </sheetViews>
  <sheetFormatPr defaultColWidth="8.85546875" defaultRowHeight="12.75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>
      <c r="A1" s="209" t="s">
        <v>88</v>
      </c>
    </row>
    <row r="2" spans="1:4">
      <c r="A2" s="50" t="str">
        <f>Assumptions!B10</f>
        <v>City of Manteca</v>
      </c>
    </row>
    <row r="3" spans="1:4">
      <c r="A3" s="50" t="str">
        <f>Assumptions!B18</f>
        <v>PFF Sewer Collection Fee</v>
      </c>
    </row>
    <row r="4" spans="1:4">
      <c r="A4" s="209" t="s">
        <v>400</v>
      </c>
    </row>
    <row r="5" spans="1:4">
      <c r="A5" s="50"/>
    </row>
    <row r="6" spans="1:4" ht="43.15" customHeight="1">
      <c r="A6" s="173" t="s">
        <v>226</v>
      </c>
      <c r="B6" s="173" t="s">
        <v>227</v>
      </c>
      <c r="C6" s="174" t="s">
        <v>228</v>
      </c>
      <c r="D6" s="184"/>
    </row>
    <row r="7" spans="1:4">
      <c r="A7" s="176" t="s">
        <v>229</v>
      </c>
      <c r="B7" s="177" t="s">
        <v>230</v>
      </c>
      <c r="C7" s="178">
        <v>0.999977</v>
      </c>
    </row>
    <row r="8" spans="1:4">
      <c r="A8" s="179"/>
      <c r="B8" s="177" t="s">
        <v>231</v>
      </c>
      <c r="C8" s="178">
        <v>76.184443999999999</v>
      </c>
    </row>
    <row r="9" spans="1:4">
      <c r="A9" s="179"/>
      <c r="B9" s="177" t="s">
        <v>232</v>
      </c>
      <c r="C9" s="178">
        <v>36.631224000000003</v>
      </c>
    </row>
    <row r="10" spans="1:4">
      <c r="A10" s="179"/>
      <c r="B10" s="177" t="s">
        <v>233</v>
      </c>
      <c r="C10" s="178">
        <v>34.912390000000002</v>
      </c>
    </row>
    <row r="11" spans="1:4">
      <c r="A11" s="179"/>
      <c r="B11" s="177" t="s">
        <v>234</v>
      </c>
      <c r="C11" s="178">
        <v>155.287542</v>
      </c>
    </row>
    <row r="12" spans="1:4">
      <c r="A12" s="179"/>
      <c r="B12" s="177" t="s">
        <v>235</v>
      </c>
      <c r="C12" s="178">
        <v>7.910844</v>
      </c>
    </row>
    <row r="13" spans="1:4">
      <c r="A13" s="179"/>
      <c r="B13" s="177" t="s">
        <v>236</v>
      </c>
      <c r="C13" s="178">
        <v>55.914966</v>
      </c>
    </row>
    <row r="14" spans="1:4">
      <c r="A14" s="179"/>
      <c r="B14" s="177" t="s">
        <v>237</v>
      </c>
      <c r="C14" s="178">
        <v>13.091668</v>
      </c>
    </row>
    <row r="15" spans="1:4">
      <c r="A15" s="179"/>
      <c r="B15" s="177" t="s">
        <v>238</v>
      </c>
      <c r="C15" s="178">
        <v>8.6079319999999999</v>
      </c>
    </row>
    <row r="16" spans="1:4">
      <c r="A16" s="179"/>
      <c r="B16" s="177" t="s">
        <v>239</v>
      </c>
      <c r="C16" s="178">
        <v>6.7649600000000003</v>
      </c>
    </row>
    <row r="17" spans="1:3">
      <c r="A17" s="179"/>
      <c r="B17" s="177"/>
      <c r="C17" s="178"/>
    </row>
    <row r="18" spans="1:3">
      <c r="A18" s="176" t="s">
        <v>240</v>
      </c>
      <c r="B18" s="177" t="s">
        <v>241</v>
      </c>
      <c r="C18" s="178">
        <v>3385.3006839999998</v>
      </c>
    </row>
    <row r="19" spans="1:3">
      <c r="A19" s="179"/>
      <c r="B19" s="177" t="s">
        <v>231</v>
      </c>
      <c r="C19" s="178">
        <v>29.292310000000001</v>
      </c>
    </row>
    <row r="20" spans="1:3">
      <c r="A20" s="179"/>
      <c r="B20" s="177" t="s">
        <v>232</v>
      </c>
      <c r="C20" s="178">
        <v>18.761132</v>
      </c>
    </row>
    <row r="21" spans="1:3">
      <c r="A21" s="179"/>
      <c r="B21" s="177" t="s">
        <v>233</v>
      </c>
      <c r="C21" s="178">
        <v>25.666180000000001</v>
      </c>
    </row>
    <row r="22" spans="1:3">
      <c r="A22" s="179"/>
      <c r="B22" s="177" t="s">
        <v>242</v>
      </c>
      <c r="C22" s="178">
        <v>175.12787800000001</v>
      </c>
    </row>
    <row r="23" spans="1:3">
      <c r="A23" s="179"/>
      <c r="B23" s="177" t="s">
        <v>234</v>
      </c>
      <c r="C23" s="178">
        <v>1033.033453</v>
      </c>
    </row>
    <row r="24" spans="1:3">
      <c r="A24" s="179"/>
      <c r="B24" s="177" t="s">
        <v>235</v>
      </c>
      <c r="C24" s="178">
        <v>527.84235899999999</v>
      </c>
    </row>
    <row r="25" spans="1:3">
      <c r="A25" s="179"/>
      <c r="B25" s="177" t="s">
        <v>236</v>
      </c>
      <c r="C25" s="178">
        <v>19.097294000000002</v>
      </c>
    </row>
    <row r="26" spans="1:3">
      <c r="A26" s="179"/>
      <c r="B26" s="177" t="s">
        <v>237</v>
      </c>
      <c r="C26" s="178">
        <v>22.485962000000001</v>
      </c>
    </row>
    <row r="27" spans="1:3">
      <c r="A27" s="179"/>
      <c r="B27" s="177" t="s">
        <v>243</v>
      </c>
      <c r="C27" s="178">
        <v>15.368535</v>
      </c>
    </row>
    <row r="28" spans="1:3">
      <c r="A28" s="179"/>
      <c r="B28" s="177" t="s">
        <v>238</v>
      </c>
      <c r="C28" s="178">
        <v>44.270046000000001</v>
      </c>
    </row>
    <row r="29" spans="1:3">
      <c r="A29" s="179"/>
      <c r="B29" s="177" t="s">
        <v>244</v>
      </c>
      <c r="C29" s="178">
        <v>157.17575600000001</v>
      </c>
    </row>
    <row r="30" spans="1:3">
      <c r="A30" s="179"/>
      <c r="B30" s="177" t="s">
        <v>245</v>
      </c>
      <c r="C30" s="178">
        <v>578.53751799999998</v>
      </c>
    </row>
    <row r="31" spans="1:3">
      <c r="A31" s="179"/>
      <c r="B31" s="177" t="s">
        <v>246</v>
      </c>
      <c r="C31" s="178">
        <v>1152.6550749999999</v>
      </c>
    </row>
    <row r="32" spans="1:3">
      <c r="A32" s="179"/>
      <c r="B32" s="177" t="s">
        <v>247</v>
      </c>
      <c r="C32" s="178">
        <v>43.057797000000001</v>
      </c>
    </row>
    <row r="33" spans="1:5">
      <c r="A33" s="179"/>
      <c r="B33" s="177" t="s">
        <v>248</v>
      </c>
      <c r="C33" s="178">
        <v>40.434798000000001</v>
      </c>
    </row>
    <row r="34" spans="1:5">
      <c r="A34" s="179"/>
      <c r="B34" s="177" t="s">
        <v>249</v>
      </c>
      <c r="C34" s="178">
        <v>754.374683</v>
      </c>
    </row>
    <row r="35" spans="1:5">
      <c r="A35" s="179"/>
      <c r="B35" s="177" t="s">
        <v>250</v>
      </c>
      <c r="C35" s="178">
        <v>114.44947000000001</v>
      </c>
    </row>
    <row r="36" spans="1:5">
      <c r="A36" s="179"/>
      <c r="B36" s="177" t="s">
        <v>251</v>
      </c>
      <c r="C36" s="178">
        <v>19.736191999999999</v>
      </c>
    </row>
    <row r="37" spans="1:5">
      <c r="A37" s="179"/>
      <c r="B37" s="177" t="s">
        <v>252</v>
      </c>
      <c r="C37" s="178">
        <v>37.560957999999999</v>
      </c>
    </row>
    <row r="38" spans="1:5">
      <c r="A38" s="179"/>
      <c r="B38" s="177" t="s">
        <v>253</v>
      </c>
      <c r="C38" s="178">
        <v>11.652851999999999</v>
      </c>
    </row>
    <row r="39" spans="1:5">
      <c r="A39" s="179"/>
      <c r="B39" s="177" t="s">
        <v>254</v>
      </c>
      <c r="C39" s="178">
        <v>352.59333099999998</v>
      </c>
    </row>
    <row r="40" spans="1:5">
      <c r="A40" s="179"/>
      <c r="B40" s="177" t="s">
        <v>239</v>
      </c>
      <c r="C40" s="178">
        <v>127.986069</v>
      </c>
      <c r="E40" s="180"/>
    </row>
    <row r="41" spans="1:5">
      <c r="A41" s="179"/>
      <c r="B41" s="177"/>
      <c r="C41" s="178"/>
    </row>
    <row r="42" spans="1:5">
      <c r="A42" s="176" t="s">
        <v>255</v>
      </c>
      <c r="B42" s="177" t="s">
        <v>231</v>
      </c>
      <c r="C42" s="178">
        <v>50.457075000000003</v>
      </c>
    </row>
    <row r="43" spans="1:5">
      <c r="A43" s="179"/>
      <c r="B43" s="177" t="s">
        <v>232</v>
      </c>
      <c r="C43" s="178">
        <v>10.055574999999999</v>
      </c>
    </row>
    <row r="44" spans="1:5">
      <c r="A44" s="179"/>
      <c r="B44" s="177" t="s">
        <v>234</v>
      </c>
      <c r="C44" s="178">
        <v>6.8119079999999999</v>
      </c>
    </row>
    <row r="45" spans="1:5">
      <c r="A45" s="179"/>
      <c r="B45" s="177" t="s">
        <v>235</v>
      </c>
      <c r="C45" s="178">
        <v>34.600757000000002</v>
      </c>
    </row>
    <row r="46" spans="1:5">
      <c r="A46" s="179"/>
      <c r="B46" s="177"/>
      <c r="C46" s="178"/>
    </row>
    <row r="47" spans="1:5">
      <c r="A47" s="176" t="s">
        <v>256</v>
      </c>
      <c r="B47" s="177" t="s">
        <v>241</v>
      </c>
      <c r="C47" s="178">
        <v>111.47872099999999</v>
      </c>
    </row>
    <row r="48" spans="1:5">
      <c r="A48" s="179"/>
      <c r="B48" s="177" t="s">
        <v>257</v>
      </c>
      <c r="C48" s="178">
        <v>44.659910000000004</v>
      </c>
    </row>
    <row r="49" spans="1:3">
      <c r="A49" s="179"/>
      <c r="B49" s="177" t="s">
        <v>231</v>
      </c>
      <c r="C49" s="178">
        <v>162.75238300000001</v>
      </c>
    </row>
    <row r="50" spans="1:3">
      <c r="A50" s="179"/>
      <c r="B50" s="177" t="s">
        <v>232</v>
      </c>
      <c r="C50" s="178">
        <v>320.10928699999999</v>
      </c>
    </row>
    <row r="51" spans="1:3">
      <c r="A51" s="179"/>
      <c r="B51" s="177" t="s">
        <v>233</v>
      </c>
      <c r="C51" s="178">
        <v>68.273225999999994</v>
      </c>
    </row>
    <row r="52" spans="1:3">
      <c r="A52" s="179"/>
      <c r="B52" s="177" t="s">
        <v>242</v>
      </c>
      <c r="C52" s="178">
        <v>563.79220399999997</v>
      </c>
    </row>
    <row r="53" spans="1:3">
      <c r="A53" s="179"/>
      <c r="B53" s="177" t="s">
        <v>234</v>
      </c>
      <c r="C53" s="178">
        <v>1934.059522</v>
      </c>
    </row>
    <row r="54" spans="1:3">
      <c r="A54" s="179"/>
      <c r="B54" s="177" t="s">
        <v>235</v>
      </c>
      <c r="C54" s="178">
        <v>180.02126100000001</v>
      </c>
    </row>
    <row r="55" spans="1:3">
      <c r="A55" s="179"/>
      <c r="B55" s="177" t="s">
        <v>236</v>
      </c>
      <c r="C55" s="178">
        <v>113.576701</v>
      </c>
    </row>
    <row r="56" spans="1:3">
      <c r="A56" s="179"/>
      <c r="B56" s="177" t="s">
        <v>237</v>
      </c>
      <c r="C56" s="178">
        <v>20.52543</v>
      </c>
    </row>
    <row r="57" spans="1:3">
      <c r="A57" s="179"/>
      <c r="B57" s="177" t="s">
        <v>238</v>
      </c>
      <c r="C57" s="178">
        <v>108.351705</v>
      </c>
    </row>
    <row r="58" spans="1:3">
      <c r="A58" s="179"/>
      <c r="B58" s="177" t="s">
        <v>244</v>
      </c>
      <c r="C58" s="178">
        <v>85.042383999999998</v>
      </c>
    </row>
    <row r="59" spans="1:3">
      <c r="A59" s="179"/>
      <c r="B59" s="177" t="s">
        <v>245</v>
      </c>
      <c r="C59" s="178">
        <v>1130.5527509999999</v>
      </c>
    </row>
    <row r="60" spans="1:3">
      <c r="A60" s="179"/>
      <c r="B60" s="177" t="s">
        <v>246</v>
      </c>
      <c r="C60" s="178">
        <v>459.19615099999999</v>
      </c>
    </row>
    <row r="61" spans="1:3">
      <c r="A61" s="179"/>
      <c r="B61" s="177" t="s">
        <v>258</v>
      </c>
      <c r="C61" s="178">
        <v>338.69793499999997</v>
      </c>
    </row>
    <row r="62" spans="1:3">
      <c r="A62" s="179"/>
      <c r="B62" s="177" t="s">
        <v>247</v>
      </c>
      <c r="C62" s="178">
        <v>293.76250499999998</v>
      </c>
    </row>
    <row r="63" spans="1:3">
      <c r="A63" s="179"/>
      <c r="B63" s="177" t="s">
        <v>249</v>
      </c>
      <c r="C63" s="178">
        <v>481.46015399999999</v>
      </c>
    </row>
    <row r="64" spans="1:3">
      <c r="A64" s="179"/>
      <c r="B64" s="177" t="s">
        <v>252</v>
      </c>
      <c r="C64" s="178">
        <v>29.960425000000001</v>
      </c>
    </row>
    <row r="65" spans="1:3">
      <c r="A65" s="179"/>
      <c r="B65" s="177" t="s">
        <v>254</v>
      </c>
      <c r="C65" s="178">
        <v>78.736902000000001</v>
      </c>
    </row>
    <row r="66" spans="1:3">
      <c r="A66" s="179"/>
      <c r="B66" s="177" t="s">
        <v>239</v>
      </c>
      <c r="C66" s="178">
        <v>524.78247399999998</v>
      </c>
    </row>
    <row r="67" spans="1:3">
      <c r="A67" s="179"/>
      <c r="B67" s="177"/>
      <c r="C67" s="178"/>
    </row>
    <row r="68" spans="1:3">
      <c r="A68" s="176" t="s">
        <v>259</v>
      </c>
      <c r="B68" s="177" t="s">
        <v>241</v>
      </c>
      <c r="C68" s="178">
        <v>191.42892800000001</v>
      </c>
    </row>
    <row r="69" spans="1:3">
      <c r="A69" s="179"/>
      <c r="B69" s="177" t="s">
        <v>257</v>
      </c>
      <c r="C69" s="178">
        <v>135.32440500000001</v>
      </c>
    </row>
    <row r="70" spans="1:3">
      <c r="A70" s="179"/>
      <c r="B70" s="177" t="s">
        <v>232</v>
      </c>
      <c r="C70" s="178">
        <v>78.564483999999993</v>
      </c>
    </row>
    <row r="71" spans="1:3">
      <c r="A71" s="179"/>
      <c r="B71" s="177" t="s">
        <v>233</v>
      </c>
      <c r="C71" s="178">
        <v>18.722038000000001</v>
      </c>
    </row>
    <row r="72" spans="1:3">
      <c r="A72" s="179"/>
      <c r="B72" s="177" t="s">
        <v>234</v>
      </c>
      <c r="C72" s="178">
        <v>545.78978700000005</v>
      </c>
    </row>
    <row r="73" spans="1:3">
      <c r="A73" s="179"/>
      <c r="B73" s="177" t="s">
        <v>236</v>
      </c>
      <c r="C73" s="178">
        <v>48.975785000000002</v>
      </c>
    </row>
    <row r="74" spans="1:3">
      <c r="A74" s="179"/>
      <c r="B74" s="177" t="s">
        <v>243</v>
      </c>
      <c r="C74" s="178">
        <v>428.98151100000001</v>
      </c>
    </row>
    <row r="75" spans="1:3">
      <c r="A75" s="179"/>
      <c r="B75" s="177" t="s">
        <v>258</v>
      </c>
      <c r="C75" s="178">
        <v>70.002771999999993</v>
      </c>
    </row>
    <row r="76" spans="1:3">
      <c r="A76" s="179"/>
      <c r="B76" s="177" t="s">
        <v>247</v>
      </c>
      <c r="C76" s="178">
        <v>98.809805999999995</v>
      </c>
    </row>
    <row r="77" spans="1:3">
      <c r="A77" s="179"/>
      <c r="B77" s="177" t="s">
        <v>249</v>
      </c>
      <c r="C77" s="178">
        <v>145.51939100000001</v>
      </c>
    </row>
    <row r="78" spans="1:3">
      <c r="A78" s="179"/>
      <c r="B78" s="177" t="s">
        <v>254</v>
      </c>
      <c r="C78" s="178">
        <v>195.96840499999999</v>
      </c>
    </row>
    <row r="80" spans="1:3">
      <c r="B80" s="182" t="s">
        <v>260</v>
      </c>
      <c r="C80" s="183">
        <f>SUM(C7:C78)</f>
        <v>18192.570937</v>
      </c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>
      <selection activeCell="B110" sqref="B110"/>
    </sheetView>
  </sheetViews>
  <sheetFormatPr defaultColWidth="11.42578125" defaultRowHeight="15.7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>
      <c r="A1" s="209" t="s">
        <v>401</v>
      </c>
      <c r="B1" s="51" t="str">
        <f>Assumptions!$B$12</f>
        <v>Internal</v>
      </c>
      <c r="C1"/>
      <c r="D1"/>
      <c r="G1" s="131" t="s">
        <v>167</v>
      </c>
    </row>
    <row r="2" spans="1:7">
      <c r="A2" s="50" t="str">
        <f>Assumptions!B10</f>
        <v>City of Manteca</v>
      </c>
      <c r="B2" s="52" t="str">
        <f>Assumptions!$B$13</f>
        <v>Working Draft - v1</v>
      </c>
      <c r="C2"/>
      <c r="D2"/>
      <c r="G2" s="131"/>
    </row>
    <row r="3" spans="1:7">
      <c r="A3" s="50" t="str">
        <f>Assumptions!B18</f>
        <v>PFF Sewer Collection Fee</v>
      </c>
      <c r="B3" s="53">
        <f>Assumptions!$B$14</f>
        <v>41075</v>
      </c>
      <c r="C3"/>
      <c r="D3"/>
      <c r="G3" s="131"/>
    </row>
    <row r="4" spans="1:7">
      <c r="A4" s="209" t="s">
        <v>402</v>
      </c>
      <c r="B4"/>
      <c r="C4"/>
      <c r="D4"/>
      <c r="E4"/>
      <c r="G4" s="131"/>
    </row>
    <row r="5" spans="1:7">
      <c r="D5" s="132"/>
      <c r="G5" s="131"/>
    </row>
    <row r="6" spans="1:7">
      <c r="G6" s="131"/>
    </row>
    <row r="7" spans="1:7">
      <c r="A7" s="133"/>
      <c r="G7" s="131"/>
    </row>
    <row r="8" spans="1:7">
      <c r="A8" s="134"/>
      <c r="G8" s="131"/>
    </row>
    <row r="9" spans="1:7">
      <c r="G9" s="131"/>
    </row>
    <row r="10" spans="1:7">
      <c r="B10" s="135"/>
      <c r="G10" s="131"/>
    </row>
    <row r="11" spans="1:7">
      <c r="D11" s="136"/>
      <c r="E11" s="136"/>
      <c r="F11" s="136"/>
      <c r="G11" s="131"/>
    </row>
    <row r="12" spans="1:7">
      <c r="A12" s="213" t="s">
        <v>7</v>
      </c>
      <c r="B12" s="214" t="s">
        <v>168</v>
      </c>
      <c r="D12" s="136"/>
      <c r="E12" s="136"/>
      <c r="F12" s="136"/>
      <c r="G12" s="131"/>
    </row>
    <row r="13" spans="1:7">
      <c r="A13" s="215"/>
      <c r="B13" s="215"/>
      <c r="C13" s="139"/>
      <c r="D13" s="140"/>
      <c r="E13" s="140"/>
      <c r="F13" s="136"/>
      <c r="G13" s="131"/>
    </row>
    <row r="14" spans="1:7">
      <c r="A14" s="216" t="s">
        <v>298</v>
      </c>
      <c r="B14" s="217">
        <v>0.02</v>
      </c>
      <c r="D14" s="136"/>
      <c r="E14" s="136"/>
      <c r="F14" s="136"/>
      <c r="G14" s="131"/>
    </row>
    <row r="15" spans="1:7">
      <c r="A15" s="216" t="s">
        <v>296</v>
      </c>
      <c r="B15" s="218">
        <v>30</v>
      </c>
      <c r="G15" s="131"/>
    </row>
    <row r="16" spans="1:7">
      <c r="A16" s="216" t="s">
        <v>297</v>
      </c>
      <c r="B16" s="218">
        <v>1</v>
      </c>
      <c r="G16" s="131"/>
    </row>
    <row r="17" spans="1:7">
      <c r="A17" s="216" t="s">
        <v>299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>
      <c r="A18" s="216" t="s">
        <v>169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>
      <c r="A19" s="216" t="s">
        <v>300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>
      <c r="B20" s="142"/>
      <c r="C20" s="142"/>
      <c r="D20" s="142"/>
      <c r="E20" s="142"/>
      <c r="F20" s="142"/>
      <c r="G20" s="131"/>
    </row>
    <row r="21" spans="1:7" hidden="1">
      <c r="A21" s="130" t="s">
        <v>170</v>
      </c>
      <c r="B21" s="142">
        <f>'2. Zone 24 CIP Costs'!E13</f>
        <v>4766282.7501152651</v>
      </c>
      <c r="C21" s="164"/>
      <c r="D21" s="164"/>
      <c r="G21" s="131"/>
    </row>
    <row r="22" spans="1:7" hidden="1">
      <c r="B22" s="144"/>
      <c r="D22" s="212"/>
      <c r="G22" s="131"/>
    </row>
    <row r="23" spans="1:7" hidden="1">
      <c r="A23" s="130" t="s">
        <v>171</v>
      </c>
      <c r="B23" s="142">
        <f>SUM(B21:B21)</f>
        <v>4766282.7501152651</v>
      </c>
      <c r="C23" s="145">
        <f>B23/B35</f>
        <v>1</v>
      </c>
      <c r="G23" s="131"/>
    </row>
    <row r="24" spans="1:7" hidden="1">
      <c r="G24" s="131"/>
    </row>
    <row r="25" spans="1:7" hidden="1">
      <c r="A25" s="130" t="s">
        <v>172</v>
      </c>
      <c r="B25" s="142"/>
      <c r="C25" s="142"/>
      <c r="D25" s="142"/>
      <c r="E25" s="142"/>
      <c r="F25" s="142"/>
      <c r="G25" s="131"/>
    </row>
    <row r="26" spans="1:7" hidden="1">
      <c r="A26" s="130" t="s">
        <v>173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>
      <c r="A27" s="130" t="s">
        <v>174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>
      <c r="A28" s="143" t="s">
        <v>175</v>
      </c>
      <c r="B28" s="142">
        <f>B65+$B$35*C65</f>
        <v>0</v>
      </c>
      <c r="G28" s="131"/>
    </row>
    <row r="29" spans="1:7" hidden="1">
      <c r="A29" s="130" t="s">
        <v>176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>
      <c r="A30" s="130" t="s">
        <v>177</v>
      </c>
      <c r="B30" s="142">
        <f>B67+$B$35*C67</f>
        <v>0</v>
      </c>
      <c r="C30" s="145"/>
      <c r="G30" s="131"/>
    </row>
    <row r="31" spans="1:7" hidden="1">
      <c r="A31" s="130" t="s">
        <v>178</v>
      </c>
      <c r="B31" s="142">
        <f>SUM(B69:B72)+$B$35*SUM(C69:C72)</f>
        <v>0</v>
      </c>
      <c r="C31" s="145"/>
      <c r="G31" s="131"/>
    </row>
    <row r="32" spans="1:7" hidden="1">
      <c r="B32" s="144"/>
      <c r="C32" s="147"/>
      <c r="D32" s="142"/>
      <c r="E32" s="142"/>
      <c r="F32" s="142"/>
      <c r="G32" s="131"/>
    </row>
    <row r="33" spans="1:7" hidden="1">
      <c r="A33" s="130" t="s">
        <v>179</v>
      </c>
      <c r="B33" s="142">
        <f>SUM(B25:B32)</f>
        <v>0</v>
      </c>
      <c r="C33" s="141">
        <f>B33/B35</f>
        <v>0</v>
      </c>
      <c r="G33" s="131"/>
    </row>
    <row r="34" spans="1:7" hidden="1">
      <c r="B34" s="144"/>
      <c r="C34" s="141"/>
      <c r="G34" s="131"/>
    </row>
    <row r="35" spans="1:7" hidden="1">
      <c r="A35" s="142" t="s">
        <v>180</v>
      </c>
      <c r="B35" s="142">
        <f>(+B23+B74)/(1-C74)</f>
        <v>4766282.7501152651</v>
      </c>
      <c r="C35" s="141">
        <f>SUM(C23:C34)</f>
        <v>1</v>
      </c>
      <c r="G35" s="131"/>
    </row>
    <row r="36" spans="1:7" hidden="1">
      <c r="G36" s="131"/>
    </row>
    <row r="37" spans="1:7" hidden="1">
      <c r="A37" s="130" t="s">
        <v>181</v>
      </c>
      <c r="B37" s="142">
        <f>B23+B33</f>
        <v>4766282.7501152651</v>
      </c>
      <c r="D37" s="142"/>
      <c r="E37" s="142"/>
      <c r="F37" s="142"/>
      <c r="G37" s="131"/>
    </row>
    <row r="38" spans="1:7" hidden="1">
      <c r="G38" s="131"/>
    </row>
    <row r="39" spans="1:7" hidden="1">
      <c r="A39" s="130" t="s">
        <v>182</v>
      </c>
      <c r="B39" s="142">
        <f>IF(MOD(B35,5000)&gt;0,TRUNC(B35/5000)*5000+5000,B35)</f>
        <v>4770000</v>
      </c>
      <c r="C39" s="142"/>
      <c r="G39" s="131"/>
    </row>
    <row r="40" spans="1:7" hidden="1">
      <c r="A40" s="139" t="s">
        <v>183</v>
      </c>
      <c r="B40" s="142"/>
      <c r="C40" s="142"/>
      <c r="G40" s="131"/>
    </row>
    <row r="41" spans="1:7" hidden="1">
      <c r="G41" s="131"/>
    </row>
    <row r="42" spans="1:7" hidden="1">
      <c r="A42" s="130" t="s">
        <v>292</v>
      </c>
      <c r="G42" s="131"/>
    </row>
    <row r="43" spans="1:7" hidden="1">
      <c r="G43" s="131"/>
    </row>
    <row r="44" spans="1:7" hidden="1">
      <c r="G44" s="131"/>
    </row>
    <row r="45" spans="1:7" hidden="1">
      <c r="A45" s="130" t="s">
        <v>290</v>
      </c>
      <c r="G45" s="131"/>
    </row>
    <row r="46" spans="1:7" hidden="1">
      <c r="G46" s="131"/>
    </row>
    <row r="47" spans="1:7" hidden="1">
      <c r="A47" s="148"/>
      <c r="G47" s="131"/>
    </row>
    <row r="48" spans="1:7" hidden="1"/>
    <row r="49" spans="1:7" hidden="1">
      <c r="A49" s="137"/>
      <c r="B49" s="137"/>
      <c r="C49" s="137"/>
      <c r="D49" s="137"/>
      <c r="E49" s="137"/>
      <c r="F49" s="137"/>
      <c r="G49" s="137"/>
    </row>
    <row r="50" spans="1:7" hidden="1"/>
    <row r="51" spans="1:7" hidden="1">
      <c r="A51" s="130" t="s">
        <v>184</v>
      </c>
    </row>
    <row r="52" spans="1:7" hidden="1"/>
    <row r="53" spans="1:7" hidden="1">
      <c r="A53" s="130" t="s">
        <v>185</v>
      </c>
    </row>
    <row r="54" spans="1:7" hidden="1"/>
    <row r="55" spans="1:7" hidden="1"/>
    <row r="56" spans="1:7" hidden="1">
      <c r="A56" s="149"/>
    </row>
    <row r="57" spans="1:7" hidden="1">
      <c r="A57" s="150"/>
    </row>
    <row r="58" spans="1:7" hidden="1"/>
    <row r="59" spans="1:7" hidden="1"/>
    <row r="60" spans="1:7" hidden="1">
      <c r="A60" s="151"/>
      <c r="B60" s="151" t="s">
        <v>186</v>
      </c>
      <c r="C60" s="151" t="s">
        <v>187</v>
      </c>
      <c r="D60" s="152"/>
    </row>
    <row r="61" spans="1:7" hidden="1">
      <c r="A61" s="138" t="s">
        <v>188</v>
      </c>
      <c r="B61" s="138" t="s">
        <v>189</v>
      </c>
      <c r="C61" s="138" t="s">
        <v>189</v>
      </c>
      <c r="D61" s="138" t="s">
        <v>190</v>
      </c>
    </row>
    <row r="62" spans="1:7" hidden="1"/>
    <row r="63" spans="1:7" hidden="1">
      <c r="A63" s="130" t="s">
        <v>191</v>
      </c>
      <c r="B63" s="153">
        <v>0</v>
      </c>
      <c r="C63" s="154">
        <v>0</v>
      </c>
      <c r="D63" s="130" t="s">
        <v>192</v>
      </c>
    </row>
    <row r="64" spans="1:7" hidden="1">
      <c r="A64" s="130" t="s">
        <v>193</v>
      </c>
      <c r="B64" s="153">
        <v>0</v>
      </c>
      <c r="C64" s="155">
        <v>0</v>
      </c>
      <c r="D64" s="130" t="s">
        <v>194</v>
      </c>
    </row>
    <row r="65" spans="1:6" hidden="1">
      <c r="A65" s="130" t="s">
        <v>195</v>
      </c>
      <c r="B65" s="153">
        <v>0</v>
      </c>
      <c r="C65" s="155">
        <v>0</v>
      </c>
    </row>
    <row r="66" spans="1:6" hidden="1">
      <c r="A66" s="130" t="s">
        <v>196</v>
      </c>
      <c r="B66" s="156">
        <v>0</v>
      </c>
      <c r="C66" s="155">
        <v>0</v>
      </c>
      <c r="D66" s="130" t="s">
        <v>197</v>
      </c>
    </row>
    <row r="67" spans="1:6" hidden="1">
      <c r="A67" s="130" t="s">
        <v>198</v>
      </c>
      <c r="B67" s="157">
        <v>0</v>
      </c>
      <c r="C67" s="157">
        <v>0</v>
      </c>
    </row>
    <row r="68" spans="1:6" hidden="1">
      <c r="A68" s="130" t="s">
        <v>199</v>
      </c>
      <c r="B68" s="142"/>
      <c r="C68" s="158"/>
    </row>
    <row r="69" spans="1:6" hidden="1">
      <c r="A69" s="130" t="s">
        <v>200</v>
      </c>
      <c r="B69" s="156">
        <v>0</v>
      </c>
      <c r="C69" s="157">
        <v>0</v>
      </c>
    </row>
    <row r="70" spans="1:6" hidden="1">
      <c r="A70" s="130" t="s">
        <v>201</v>
      </c>
      <c r="B70" s="156">
        <v>0</v>
      </c>
      <c r="C70" s="157">
        <v>0</v>
      </c>
    </row>
    <row r="71" spans="1:6" hidden="1">
      <c r="A71" s="130" t="s">
        <v>202</v>
      </c>
      <c r="B71" s="156">
        <v>0</v>
      </c>
      <c r="C71" s="157">
        <v>0</v>
      </c>
    </row>
    <row r="72" spans="1:6" hidden="1">
      <c r="A72" s="130" t="s">
        <v>203</v>
      </c>
      <c r="B72" s="159">
        <f>0.1*(B69+B70+B71)</f>
        <v>0</v>
      </c>
      <c r="C72" s="155">
        <v>0</v>
      </c>
    </row>
    <row r="73" spans="1:6" hidden="1">
      <c r="B73" s="160" t="s">
        <v>204</v>
      </c>
      <c r="C73" s="160" t="s">
        <v>204</v>
      </c>
    </row>
    <row r="74" spans="1:6" hidden="1">
      <c r="B74" s="142">
        <f>SUM(B62:B73)</f>
        <v>0</v>
      </c>
      <c r="C74" s="141">
        <f>SUM(C62:C73)</f>
        <v>0</v>
      </c>
      <c r="F74" s="161"/>
    </row>
    <row r="75" spans="1:6" hidden="1">
      <c r="B75" s="142"/>
      <c r="C75" s="141"/>
      <c r="F75" s="161"/>
    </row>
    <row r="76" spans="1:6" hidden="1">
      <c r="B76" s="142"/>
      <c r="F76" s="162"/>
    </row>
    <row r="77" spans="1:6" hidden="1">
      <c r="A77" s="130" t="s">
        <v>205</v>
      </c>
      <c r="B77" s="142">
        <f>B23</f>
        <v>4766282.7501152651</v>
      </c>
      <c r="C77" s="163">
        <f>B77/$B$80</f>
        <v>1</v>
      </c>
      <c r="F77" s="164"/>
    </row>
    <row r="78" spans="1:6" hidden="1">
      <c r="A78" s="130" t="s">
        <v>206</v>
      </c>
      <c r="B78" s="142">
        <f>FIXED</f>
        <v>0</v>
      </c>
      <c r="C78" s="163">
        <f>B78/$B$80</f>
        <v>0</v>
      </c>
      <c r="F78" s="164"/>
    </row>
    <row r="79" spans="1:6" hidden="1">
      <c r="A79" s="130" t="s">
        <v>207</v>
      </c>
      <c r="B79" s="165">
        <f>C74*B35</f>
        <v>0</v>
      </c>
      <c r="C79" s="166">
        <f>B79/$B$80</f>
        <v>0</v>
      </c>
      <c r="F79" s="162"/>
    </row>
    <row r="80" spans="1:6" hidden="1">
      <c r="A80" s="130" t="s">
        <v>208</v>
      </c>
      <c r="B80" s="162">
        <f>SUM(B77:B79)</f>
        <v>4766282.7501152651</v>
      </c>
      <c r="C80" s="167">
        <f>SUM(C77:C79)</f>
        <v>1</v>
      </c>
    </row>
    <row r="81" spans="1:6" hidden="1">
      <c r="D81" s="164"/>
    </row>
    <row r="82" spans="1:6" hidden="1">
      <c r="D82" s="164"/>
    </row>
    <row r="83" spans="1:6" hidden="1">
      <c r="A83" s="132" t="s">
        <v>11</v>
      </c>
      <c r="D83" s="164"/>
    </row>
    <row r="84" spans="1:6" hidden="1">
      <c r="A84" s="130" t="s">
        <v>209</v>
      </c>
    </row>
    <row r="85" spans="1:6" hidden="1">
      <c r="A85" s="130" t="s">
        <v>210</v>
      </c>
    </row>
    <row r="86" spans="1:6" hidden="1">
      <c r="F86" s="164"/>
    </row>
    <row r="87" spans="1:6" hidden="1">
      <c r="A87" s="152"/>
      <c r="C87" s="168" t="s">
        <v>211</v>
      </c>
      <c r="D87" s="169"/>
    </row>
    <row r="88" spans="1:6" hidden="1">
      <c r="A88" s="151"/>
      <c r="B88" s="131" t="s">
        <v>212</v>
      </c>
      <c r="C88" s="151" t="s">
        <v>186</v>
      </c>
      <c r="D88" s="151" t="s">
        <v>213</v>
      </c>
    </row>
    <row r="89" spans="1:6" hidden="1">
      <c r="A89" s="138" t="s">
        <v>214</v>
      </c>
      <c r="B89" s="170" t="s">
        <v>215</v>
      </c>
      <c r="C89" s="138" t="s">
        <v>189</v>
      </c>
      <c r="D89" s="138" t="s">
        <v>189</v>
      </c>
    </row>
    <row r="90" spans="1:6" hidden="1"/>
    <row r="91" spans="1:6" hidden="1">
      <c r="A91" s="152" t="s">
        <v>216</v>
      </c>
      <c r="B91" s="142">
        <v>15000</v>
      </c>
      <c r="C91" s="142">
        <v>15000</v>
      </c>
      <c r="D91" s="141">
        <v>0</v>
      </c>
    </row>
    <row r="92" spans="1:6" hidden="1">
      <c r="A92" s="152" t="s">
        <v>217</v>
      </c>
      <c r="B92" s="141">
        <v>0.02</v>
      </c>
      <c r="C92" s="142">
        <v>0</v>
      </c>
      <c r="D92" s="141">
        <v>0.02</v>
      </c>
    </row>
    <row r="93" spans="1:6" hidden="1">
      <c r="A93" s="152" t="s">
        <v>218</v>
      </c>
      <c r="B93" s="141">
        <v>0.01</v>
      </c>
      <c r="C93" s="142">
        <v>20000</v>
      </c>
      <c r="D93" s="141">
        <v>0.01</v>
      </c>
    </row>
    <row r="94" spans="1:6" hidden="1">
      <c r="A94" s="152" t="s">
        <v>219</v>
      </c>
      <c r="B94" s="141">
        <v>5.0000000000000001E-3</v>
      </c>
      <c r="C94" s="142">
        <v>70000</v>
      </c>
      <c r="D94" s="141">
        <v>5.0000000000000001E-3</v>
      </c>
    </row>
    <row r="95" spans="1:6" hidden="1"/>
    <row r="96" spans="1:6" hidden="1">
      <c r="A96" s="130" t="s">
        <v>220</v>
      </c>
    </row>
    <row r="97" spans="1:2" hidden="1">
      <c r="A97" s="130" t="s">
        <v>221</v>
      </c>
    </row>
    <row r="98" spans="1:2" hidden="1"/>
    <row r="101" spans="1:2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="75" workbookViewId="0">
      <selection activeCell="E33" sqref="E33"/>
    </sheetView>
  </sheetViews>
  <sheetFormatPr defaultRowHeight="12.75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>
      <c r="A1" s="209" t="s">
        <v>288</v>
      </c>
      <c r="E1" s="51" t="str">
        <f>Assumptions!$B$12</f>
        <v>Internal</v>
      </c>
    </row>
    <row r="2" spans="1:9">
      <c r="A2" s="50" t="str">
        <f>Assumptions!B10</f>
        <v>City of Manteca</v>
      </c>
      <c r="E2" s="52" t="str">
        <f>Assumptions!$B$13</f>
        <v>Working Draft - v1</v>
      </c>
    </row>
    <row r="3" spans="1:9">
      <c r="A3" s="50" t="str">
        <f>Assumptions!B18</f>
        <v>PFF Sewer Collection Fee</v>
      </c>
      <c r="E3" s="53">
        <f>Assumptions!$B$14</f>
        <v>41075</v>
      </c>
    </row>
    <row r="4" spans="1:9">
      <c r="A4" s="209" t="s">
        <v>289</v>
      </c>
    </row>
    <row r="6" spans="1:9">
      <c r="C6" s="4"/>
      <c r="D6" s="4"/>
      <c r="E6" s="4" t="s">
        <v>47</v>
      </c>
    </row>
    <row r="7" spans="1:9">
      <c r="B7" s="251" t="s">
        <v>261</v>
      </c>
      <c r="C7" s="4" t="s">
        <v>261</v>
      </c>
      <c r="D7" s="185" t="s">
        <v>262</v>
      </c>
      <c r="E7" s="4" t="s">
        <v>263</v>
      </c>
      <c r="F7" s="186"/>
      <c r="G7" s="186"/>
      <c r="H7" s="186"/>
    </row>
    <row r="8" spans="1:9">
      <c r="A8" s="5" t="s">
        <v>7</v>
      </c>
      <c r="B8" s="6" t="s">
        <v>406</v>
      </c>
      <c r="C8" s="6" t="s">
        <v>5</v>
      </c>
      <c r="D8" s="257" t="s">
        <v>390</v>
      </c>
      <c r="E8" s="6" t="s">
        <v>5</v>
      </c>
      <c r="F8" s="185"/>
      <c r="G8" s="185"/>
      <c r="H8" s="186"/>
    </row>
    <row r="9" spans="1:9">
      <c r="D9" s="186"/>
      <c r="F9" s="186"/>
      <c r="G9" s="186"/>
      <c r="H9" s="186"/>
    </row>
    <row r="10" spans="1:9">
      <c r="A10" t="s">
        <v>264</v>
      </c>
      <c r="B10">
        <v>3</v>
      </c>
      <c r="C10" s="187">
        <v>130000</v>
      </c>
      <c r="D10" s="188">
        <v>50</v>
      </c>
      <c r="E10" s="187">
        <f>D10*C10*B10</f>
        <v>19500000</v>
      </c>
      <c r="F10" s="189"/>
      <c r="G10" s="189"/>
      <c r="H10" s="186"/>
      <c r="I10" s="190"/>
    </row>
    <row r="11" spans="1:9">
      <c r="A11" t="s">
        <v>265</v>
      </c>
      <c r="C11" s="187">
        <v>15000</v>
      </c>
      <c r="D11" s="188">
        <v>50</v>
      </c>
      <c r="E11" s="187">
        <f>D11*C11</f>
        <v>750000</v>
      </c>
      <c r="F11" s="189"/>
      <c r="G11" s="189"/>
      <c r="H11" s="186"/>
      <c r="I11" s="190"/>
    </row>
    <row r="12" spans="1:9">
      <c r="C12" s="191"/>
      <c r="D12" s="188"/>
      <c r="E12" s="191"/>
      <c r="F12" s="189"/>
      <c r="G12" s="189"/>
      <c r="H12" s="186"/>
      <c r="I12" s="190"/>
    </row>
    <row r="13" spans="1:9">
      <c r="A13" t="s">
        <v>266</v>
      </c>
      <c r="C13" s="192">
        <f>SUM(C9:C12)</f>
        <v>145000</v>
      </c>
      <c r="D13" s="193"/>
      <c r="E13" s="192">
        <f>SUM(E9:E12)</f>
        <v>20250000</v>
      </c>
      <c r="F13" s="194"/>
      <c r="G13" s="194"/>
      <c r="H13" s="186"/>
      <c r="I13" s="190"/>
    </row>
    <row r="14" spans="1:9">
      <c r="C14" s="195"/>
      <c r="D14" s="193"/>
      <c r="E14" s="192"/>
      <c r="F14" s="194"/>
      <c r="G14" s="186"/>
      <c r="H14" s="186"/>
      <c r="I14" s="190"/>
    </row>
    <row r="15" spans="1:9">
      <c r="A15" t="s">
        <v>267</v>
      </c>
      <c r="B15" s="196">
        <v>0.25</v>
      </c>
      <c r="C15" s="195"/>
      <c r="D15" s="194"/>
      <c r="E15" s="192">
        <f>B15*$E$13</f>
        <v>5062500</v>
      </c>
      <c r="F15" s="194"/>
      <c r="G15" s="189"/>
      <c r="H15" s="186"/>
      <c r="I15" s="190"/>
    </row>
    <row r="16" spans="1:9">
      <c r="A16" t="s">
        <v>268</v>
      </c>
      <c r="B16" s="196">
        <v>0.25</v>
      </c>
      <c r="C16" s="195"/>
      <c r="D16" s="194"/>
      <c r="E16" s="192">
        <f>B16*$E$13</f>
        <v>5062500</v>
      </c>
      <c r="F16" s="194"/>
      <c r="G16" s="189"/>
      <c r="H16" s="186"/>
      <c r="I16" s="190"/>
    </row>
    <row r="17" spans="1:9">
      <c r="A17" t="s">
        <v>269</v>
      </c>
      <c r="B17" s="196">
        <v>0.25</v>
      </c>
      <c r="C17" s="195"/>
      <c r="D17" s="194"/>
      <c r="E17" s="192">
        <f>B17*$E$13</f>
        <v>5062500</v>
      </c>
      <c r="F17" s="194"/>
      <c r="G17" s="189"/>
      <c r="H17" s="186"/>
      <c r="I17" s="190"/>
    </row>
    <row r="18" spans="1:9">
      <c r="A18" t="s">
        <v>270</v>
      </c>
      <c r="B18" s="196">
        <v>0.25</v>
      </c>
      <c r="C18" s="195"/>
      <c r="D18" s="194"/>
      <c r="E18" s="192">
        <f>B18*$E$13</f>
        <v>5062500</v>
      </c>
      <c r="F18" s="194"/>
      <c r="G18" s="189"/>
      <c r="H18" s="186"/>
      <c r="I18" s="190"/>
    </row>
    <row r="19" spans="1:9">
      <c r="C19" s="195"/>
      <c r="D19" s="186"/>
      <c r="E19" s="197"/>
      <c r="F19" s="186"/>
      <c r="G19" s="186"/>
      <c r="H19" s="186"/>
      <c r="I19" s="190"/>
    </row>
    <row r="20" spans="1:9">
      <c r="C20" s="195"/>
      <c r="D20" s="186"/>
      <c r="E20" s="192"/>
      <c r="F20" s="186"/>
      <c r="G20" s="186"/>
      <c r="H20" s="186"/>
      <c r="I20" s="190"/>
    </row>
    <row r="21" spans="1:9">
      <c r="A21" t="s">
        <v>271</v>
      </c>
      <c r="C21" s="195"/>
      <c r="D21" s="194"/>
      <c r="E21" s="192">
        <f>SUM(E15:E19)</f>
        <v>20250000</v>
      </c>
      <c r="F21" s="194"/>
      <c r="G21" s="194"/>
      <c r="H21" s="186"/>
      <c r="I21" s="190"/>
    </row>
    <row r="22" spans="1:9">
      <c r="C22" s="195"/>
      <c r="D22" s="186"/>
      <c r="E22" s="192"/>
      <c r="F22" s="186"/>
      <c r="G22" s="186"/>
      <c r="H22" s="186"/>
      <c r="I22" s="190"/>
    </row>
    <row r="23" spans="1:9">
      <c r="C23" s="187"/>
      <c r="D23" s="189"/>
      <c r="E23" s="189"/>
      <c r="F23" s="189"/>
      <c r="G23" s="189"/>
      <c r="H23" s="186"/>
      <c r="I23" s="190"/>
    </row>
    <row r="24" spans="1:9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>
      <c r="A25" t="s">
        <v>286</v>
      </c>
      <c r="C25" s="192"/>
    </row>
    <row r="26" spans="1:9">
      <c r="A26" t="s">
        <v>405</v>
      </c>
      <c r="C26" s="192"/>
    </row>
    <row r="27" spans="1:9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>
      <c r="A1" s="98" t="s">
        <v>143</v>
      </c>
      <c r="H1" s="99"/>
      <c r="I1" s="99"/>
      <c r="J1" s="99"/>
      <c r="K1" s="99"/>
    </row>
    <row r="2" spans="1:11">
      <c r="H2" s="99"/>
      <c r="I2" s="100"/>
      <c r="J2" s="99"/>
      <c r="K2" s="99"/>
    </row>
    <row r="3" spans="1:11">
      <c r="A3" s="98" t="s">
        <v>144</v>
      </c>
      <c r="H3" s="99"/>
      <c r="I3" s="101"/>
      <c r="J3" s="99"/>
      <c r="K3" s="99"/>
    </row>
    <row r="4" spans="1:11">
      <c r="A4" s="98" t="s">
        <v>145</v>
      </c>
      <c r="H4" s="99"/>
      <c r="I4" s="100"/>
      <c r="J4" s="102"/>
      <c r="K4" s="99"/>
    </row>
    <row r="5" spans="1:11" ht="16.5" thickBot="1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>
      <c r="H6" s="99"/>
      <c r="I6" s="99"/>
      <c r="J6" s="99"/>
      <c r="K6" s="99"/>
    </row>
    <row r="7" spans="1:11">
      <c r="A7" s="98" t="s">
        <v>146</v>
      </c>
      <c r="D7" s="98">
        <f>'5. Financing Assumptions'!B15</f>
        <v>30</v>
      </c>
      <c r="H7" s="99"/>
      <c r="I7" s="99"/>
      <c r="J7" s="99"/>
      <c r="K7" s="99"/>
    </row>
    <row r="8" spans="1:11">
      <c r="A8" s="98" t="s">
        <v>147</v>
      </c>
      <c r="D8" s="98">
        <v>1</v>
      </c>
      <c r="H8" s="99"/>
      <c r="I8" s="104"/>
      <c r="J8" s="99"/>
      <c r="K8" s="99"/>
    </row>
    <row r="9" spans="1:11">
      <c r="A9" s="98" t="s">
        <v>148</v>
      </c>
      <c r="D9" s="105">
        <f>BOND_AMOUNT</f>
        <v>4766282.7501152651</v>
      </c>
      <c r="E9" s="98" t="s">
        <v>222</v>
      </c>
      <c r="G9" s="105">
        <f>E53</f>
        <v>1618141.8825157406</v>
      </c>
      <c r="H9" s="99"/>
      <c r="I9" s="106"/>
      <c r="J9" s="99"/>
      <c r="K9" s="99"/>
    </row>
    <row r="10" spans="1:11">
      <c r="A10" s="98" t="s">
        <v>149</v>
      </c>
      <c r="D10" s="107">
        <f>'5. Financing Assumptions'!B14</f>
        <v>0.02</v>
      </c>
      <c r="H10" s="99"/>
      <c r="I10" s="108"/>
      <c r="J10" s="99"/>
      <c r="K10" s="99"/>
    </row>
    <row r="11" spans="1:11">
      <c r="A11" s="98" t="s">
        <v>150</v>
      </c>
      <c r="D11" s="109">
        <v>0</v>
      </c>
      <c r="H11" s="99"/>
      <c r="I11" s="108"/>
      <c r="J11" s="99"/>
      <c r="K11" s="99"/>
    </row>
    <row r="12" spans="1:11">
      <c r="A12" s="98" t="s">
        <v>151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>
      <c r="A13" s="98" t="s">
        <v>152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>
      <c r="A14" s="98" t="s">
        <v>153</v>
      </c>
      <c r="D14" s="112">
        <f>D10/D8</f>
        <v>0.02</v>
      </c>
      <c r="G14" s="111"/>
      <c r="H14" s="99"/>
      <c r="I14" s="108"/>
      <c r="J14" s="99"/>
      <c r="K14" s="99"/>
    </row>
    <row r="15" spans="1:11">
      <c r="A15" s="98" t="s">
        <v>154</v>
      </c>
      <c r="D15" s="98">
        <f>D7*D8</f>
        <v>30</v>
      </c>
      <c r="G15" s="111"/>
      <c r="H15" s="99"/>
      <c r="I15" s="108"/>
      <c r="J15" s="102"/>
      <c r="K15" s="99"/>
    </row>
    <row r="16" spans="1:11">
      <c r="H16" s="99"/>
      <c r="I16" s="108"/>
      <c r="J16" s="99"/>
      <c r="K16" s="99"/>
    </row>
    <row r="17" spans="1:34">
      <c r="A17" s="113" t="s">
        <v>155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>
      <c r="A19" s="98" t="s">
        <v>156</v>
      </c>
      <c r="B19" s="114"/>
      <c r="C19" s="114" t="s">
        <v>157</v>
      </c>
      <c r="D19" s="114" t="s">
        <v>158</v>
      </c>
      <c r="E19" s="114"/>
      <c r="F19" s="114" t="s">
        <v>159</v>
      </c>
      <c r="G19" s="114" t="s">
        <v>160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>
      <c r="A20" s="119" t="s">
        <v>161</v>
      </c>
      <c r="B20" s="120" t="s">
        <v>162</v>
      </c>
      <c r="C20" s="120" t="s">
        <v>163</v>
      </c>
      <c r="D20" s="120" t="s">
        <v>164</v>
      </c>
      <c r="E20" s="120" t="s">
        <v>165</v>
      </c>
      <c r="F20" s="120" t="s">
        <v>166</v>
      </c>
      <c r="G20" s="120" t="s">
        <v>159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>
      <c r="A54" s="125"/>
      <c r="C54" s="127"/>
      <c r="D54" s="127"/>
      <c r="E54" s="127"/>
      <c r="F54" s="127"/>
      <c r="G54" s="127"/>
    </row>
    <row r="55" spans="1:11">
      <c r="A55" s="125"/>
      <c r="C55" s="127" t="s">
        <v>300</v>
      </c>
      <c r="D55" s="127"/>
      <c r="E55" s="250">
        <f>'5. Financing Assumptions'!B19</f>
        <v>11.316588960069623</v>
      </c>
      <c r="F55" s="127"/>
      <c r="G55" s="127"/>
    </row>
    <row r="56" spans="1:11">
      <c r="A56" s="125"/>
      <c r="C56" s="127" t="s">
        <v>403</v>
      </c>
      <c r="D56" s="127"/>
      <c r="E56" s="127">
        <f>D9/1000</f>
        <v>4766.2827501152651</v>
      </c>
      <c r="F56" s="127"/>
      <c r="G56" s="127"/>
    </row>
    <row r="57" spans="1:11">
      <c r="A57" s="125"/>
      <c r="C57" s="127" t="s">
        <v>404</v>
      </c>
      <c r="D57" s="127"/>
      <c r="E57" s="127">
        <f>E56*'5. Financing Assumptions'!B19*DEBT_SERVICE_V!D7</f>
        <v>1618141.8825157406</v>
      </c>
      <c r="F57" s="127"/>
      <c r="G57" s="127"/>
    </row>
    <row r="58" spans="1:11">
      <c r="A58" s="125"/>
      <c r="C58" s="127"/>
      <c r="D58" s="127"/>
      <c r="E58" s="127"/>
      <c r="F58" s="127"/>
      <c r="G58" s="127"/>
    </row>
    <row r="59" spans="1:11">
      <c r="A59" s="125"/>
      <c r="C59" s="127"/>
      <c r="D59" s="127"/>
      <c r="E59" s="127"/>
      <c r="F59" s="127"/>
      <c r="G59" s="127"/>
    </row>
    <row r="60" spans="1:11">
      <c r="A60" s="125"/>
      <c r="C60" s="127"/>
      <c r="D60" s="127"/>
      <c r="E60" s="127"/>
      <c r="F60" s="127"/>
      <c r="G60" s="127"/>
    </row>
    <row r="61" spans="1:11">
      <c r="A61" s="125"/>
      <c r="C61" s="127"/>
      <c r="D61" s="127"/>
      <c r="E61" s="127"/>
      <c r="F61" s="127"/>
      <c r="G61" s="127"/>
    </row>
    <row r="62" spans="1:11">
      <c r="A62" s="125"/>
      <c r="C62" s="127"/>
      <c r="D62" s="127"/>
      <c r="E62" s="127"/>
      <c r="F62" s="127"/>
      <c r="G62" s="127"/>
    </row>
    <row r="63" spans="1:11">
      <c r="A63" s="125"/>
      <c r="C63" s="127"/>
      <c r="D63" s="127"/>
      <c r="E63" s="127"/>
      <c r="F63" s="127"/>
      <c r="G63" s="127"/>
    </row>
    <row r="64" spans="1:11">
      <c r="A64" s="125"/>
      <c r="C64" s="127"/>
      <c r="D64" s="127"/>
      <c r="E64" s="127"/>
      <c r="F64" s="127"/>
      <c r="G64" s="127"/>
    </row>
    <row r="65" spans="1:7">
      <c r="A65" s="125"/>
      <c r="C65" s="127"/>
      <c r="D65" s="127"/>
      <c r="E65" s="127"/>
      <c r="F65" s="127"/>
      <c r="G65" s="127"/>
    </row>
    <row r="66" spans="1:7">
      <c r="A66" s="125"/>
      <c r="C66" s="127"/>
      <c r="D66" s="127"/>
      <c r="E66" s="127"/>
      <c r="F66" s="127"/>
      <c r="G66" s="127"/>
    </row>
    <row r="67" spans="1:7">
      <c r="A67" s="125"/>
      <c r="C67" s="127"/>
      <c r="D67" s="127"/>
      <c r="E67" s="127"/>
      <c r="F67" s="127"/>
      <c r="G67" s="127"/>
    </row>
    <row r="68" spans="1:7">
      <c r="A68" s="125"/>
      <c r="C68" s="127"/>
      <c r="D68" s="127"/>
      <c r="E68" s="127"/>
      <c r="F68" s="127"/>
      <c r="G68" s="127"/>
    </row>
    <row r="69" spans="1:7">
      <c r="A69" s="125"/>
      <c r="C69" s="127"/>
      <c r="D69" s="127"/>
      <c r="E69" s="127"/>
      <c r="F69" s="127"/>
      <c r="G69" s="127"/>
    </row>
    <row r="70" spans="1:7">
      <c r="A70" s="125"/>
      <c r="C70" s="127"/>
      <c r="D70" s="127"/>
      <c r="E70" s="127"/>
      <c r="F70" s="127"/>
      <c r="G70" s="127"/>
    </row>
    <row r="71" spans="1:7">
      <c r="A71" s="125"/>
      <c r="C71" s="127"/>
      <c r="D71" s="127"/>
      <c r="E71" s="127"/>
      <c r="F71" s="127"/>
      <c r="G71" s="127"/>
    </row>
    <row r="72" spans="1:7">
      <c r="A72" s="125"/>
      <c r="C72" s="127"/>
      <c r="D72" s="127"/>
      <c r="E72" s="127"/>
      <c r="F72" s="127"/>
      <c r="G72" s="127"/>
    </row>
    <row r="73" spans="1:7">
      <c r="A73" s="125"/>
      <c r="C73" s="127"/>
      <c r="D73" s="127"/>
      <c r="E73" s="127"/>
      <c r="F73" s="127"/>
      <c r="G73" s="127"/>
    </row>
    <row r="74" spans="1:7">
      <c r="A74" s="125"/>
      <c r="C74" s="127"/>
      <c r="D74" s="127"/>
      <c r="E74" s="127"/>
      <c r="F74" s="127"/>
      <c r="G74" s="127"/>
    </row>
    <row r="75" spans="1:7">
      <c r="A75" s="125"/>
      <c r="C75" s="127"/>
      <c r="D75" s="127"/>
      <c r="E75" s="127"/>
      <c r="F75" s="127"/>
      <c r="G75" s="127"/>
    </row>
    <row r="76" spans="1:7">
      <c r="A76" s="125"/>
      <c r="C76" s="127"/>
      <c r="D76" s="127"/>
      <c r="E76" s="127"/>
      <c r="F76" s="127"/>
      <c r="G76" s="127"/>
    </row>
    <row r="77" spans="1:7">
      <c r="A77" s="125"/>
      <c r="C77" s="127"/>
      <c r="D77" s="127"/>
      <c r="E77" s="127"/>
      <c r="F77" s="127"/>
      <c r="G77" s="127"/>
    </row>
    <row r="78" spans="1:7">
      <c r="A78" s="125"/>
      <c r="C78" s="127"/>
      <c r="D78" s="127"/>
      <c r="E78" s="127"/>
      <c r="F78" s="127"/>
      <c r="G78" s="127"/>
    </row>
    <row r="79" spans="1:7">
      <c r="A79" s="125"/>
      <c r="C79" s="127"/>
      <c r="D79" s="127"/>
      <c r="E79" s="127"/>
      <c r="F79" s="127"/>
      <c r="G79" s="127"/>
    </row>
    <row r="80" spans="1:7">
      <c r="A80" s="125"/>
      <c r="C80" s="127"/>
      <c r="D80" s="127"/>
      <c r="E80" s="127"/>
      <c r="F80" s="127"/>
      <c r="G80" s="127"/>
    </row>
    <row r="81" spans="1:7">
      <c r="A81" s="125"/>
      <c r="C81" s="127"/>
      <c r="D81" s="127"/>
      <c r="E81" s="127"/>
      <c r="F81" s="127"/>
      <c r="G81" s="127"/>
    </row>
    <row r="82" spans="1:7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QD2UCF5UJE4V-699202894-345</_dlc_DocId>
    <_dlc_DocIdUrl xmlns="7184055b-e5ea-4162-8b19-ace5c644b73a">
      <Url>http://intranet2/pw/_layouts/15/DocIdRedir.aspx?ID=QD2UCF5UJE4V-699202894-345</Url>
      <Description>QD2UCF5UJE4V-699202894-345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8A1E4-20F2-41D8-803E-E29577AF1749}"/>
</file>

<file path=customXml/itemProps2.xml><?xml version="1.0" encoding="utf-8"?>
<ds:datastoreItem xmlns:ds="http://schemas.openxmlformats.org/officeDocument/2006/customXml" ds:itemID="{9D80CAED-486A-4B69-876F-905522F77175}"/>
</file>

<file path=customXml/itemProps3.xml><?xml version="1.0" encoding="utf-8"?>
<ds:datastoreItem xmlns:ds="http://schemas.openxmlformats.org/officeDocument/2006/customXml" ds:itemID="{7180A3E2-191F-4913-94E7-7ED5239564E6}"/>
</file>

<file path=customXml/itemProps4.xml><?xml version="1.0" encoding="utf-8"?>
<ds:datastoreItem xmlns:ds="http://schemas.openxmlformats.org/officeDocument/2006/customXml" ds:itemID="{E029110A-6BD7-4557-B085-71EB4013FCF3}"/>
</file>

<file path=customXml/itemProps5.xml><?xml version="1.0" encoding="utf-8"?>
<ds:datastoreItem xmlns:ds="http://schemas.openxmlformats.org/officeDocument/2006/customXml" ds:itemID="{B733D1EC-38B9-481C-ACE9-1A741DFC65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Assumptions</vt:lpstr>
      <vt:lpstr>1. Wastewater Fee Calc Sum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</vt:lpstr>
      <vt:lpstr>DEBT_SERVICE_V</vt:lpstr>
      <vt:lpstr>Sum 2.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Govea, Phil</cp:lastModifiedBy>
  <cp:lastPrinted>2012-06-21T07:15:11Z</cp:lastPrinted>
  <dcterms:created xsi:type="dcterms:W3CDTF">2012-01-03T01:48:06Z</dcterms:created>
  <dcterms:modified xsi:type="dcterms:W3CDTF">2012-06-21T17:33:13Z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ad091a52-02b0-4584-aeaa-13303ace2387</vt:lpwstr>
  </property>
  <property fmtid="{D5CDD505-2E9C-101B-9397-08002B2CF9AE}" pid="4" name="Order">
    <vt:r8>5500</vt:r8>
  </property>
  <property fmtid="{D5CDD505-2E9C-101B-9397-08002B2CF9AE}" pid="5" name="TemplateUrl">
    <vt:lpwstr/>
  </property>
  <property fmtid="{D5CDD505-2E9C-101B-9397-08002B2CF9AE}" pid="6" name="_dlc_DocId">
    <vt:lpwstr>DS6S4WKU732Q-3-55</vt:lpwstr>
  </property>
  <property fmtid="{D5CDD505-2E9C-101B-9397-08002B2CF9AE}" pid="7" name="_dlc_DocIdUrl">
    <vt:lpwstr>http://intranet:12013/_layouts/DocIdRedir.aspx?ID=DS6S4WKU732Q-3-55, DS6S4WKU732Q-3-55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