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2980" windowHeight="10845" activeTab="1"/>
  </bookViews>
  <sheets>
    <sheet name="Assumptions" sheetId="4" r:id="rId1"/>
    <sheet name="1. Wastewater Fee Calc Sum" sheetId="1" r:id="rId2"/>
    <sheet name="2. CIP From Master Plan" sheetId="12" r:id="rId3"/>
    <sheet name="2. Zone 24 CIP Costs" sheetId="2" state="hidden" r:id="rId4"/>
    <sheet name="3. Fund Balance Sewer" sheetId="6" r:id="rId5"/>
    <sheet name="DEBT_SERVICE_V" sheetId="7" state="hidden" r:id="rId6"/>
    <sheet name="4. Und Land Sewer Zones" sheetId="9" r:id="rId7"/>
    <sheet name="5. City Admin Costs" sheetId="10" r:id="rId8"/>
    <sheet name="6. Financing Assumptions" sheetId="8" r:id="rId9"/>
    <sheet name="7. PFF Update Costs" sheetId="11" r:id="rId10"/>
    <sheet name="Fund Alloc" sheetId="3" r:id="rId11"/>
  </sheets>
  <externalReferences>
    <externalReference r:id="rId12"/>
  </externalReferences>
  <definedNames>
    <definedName name="_COMPUTER_NAME">[1]A!$C$12</definedName>
    <definedName name="_FILE_NAME">[1]A!$C$13</definedName>
    <definedName name="_FIN_ASSUM_03">'6. Financing Assumptions'!$A$1</definedName>
    <definedName name="_ISSUANCE_COST">'6. Financing Assumptions'!$A$51</definedName>
    <definedName name="_Order1" hidden="1">255</definedName>
    <definedName name="BOND_AMOUNT">'6. Financing Assumptions'!$B$35</definedName>
    <definedName name="bond_proceeds">#REF!</definedName>
    <definedName name="FIXED">'6. Financing Assumptions'!$B$74</definedName>
    <definedName name="N_1">[1]A!$O$169</definedName>
    <definedName name="P_FINANCE_ASSUM">'6. Financing Assumptions'!$A$4:$F$47</definedName>
    <definedName name="S_1">[1]A!$O$180</definedName>
    <definedName name="VARIABLE">'6. Financing Assumptions'!$C$74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/>
</workbook>
</file>

<file path=xl/calcChain.xml><?xml version="1.0" encoding="utf-8"?>
<calcChain xmlns="http://schemas.openxmlformats.org/spreadsheetml/2006/main">
  <c r="B3" i="8" l="1"/>
  <c r="A3" i="8"/>
  <c r="B2" i="8"/>
  <c r="A2" i="8"/>
  <c r="B1" i="8"/>
  <c r="A3" i="9"/>
  <c r="A2" i="9"/>
  <c r="M3" i="12"/>
  <c r="M2" i="12"/>
  <c r="M1" i="12"/>
  <c r="A3" i="12"/>
  <c r="A2" i="12"/>
  <c r="L91" i="12" l="1"/>
  <c r="M91" i="12" s="1"/>
  <c r="N91" i="12" s="1"/>
  <c r="L12" i="12"/>
  <c r="M12" i="12" s="1"/>
  <c r="L13" i="12"/>
  <c r="M13" i="12" s="1"/>
  <c r="L14" i="12"/>
  <c r="M14" i="12" s="1"/>
  <c r="L15" i="12"/>
  <c r="M15" i="12" s="1"/>
  <c r="L16" i="12"/>
  <c r="M16" i="12" s="1"/>
  <c r="L17" i="12"/>
  <c r="M17" i="12" s="1"/>
  <c r="L18" i="12"/>
  <c r="M18" i="12" s="1"/>
  <c r="L19" i="12"/>
  <c r="M19" i="12" s="1"/>
  <c r="L20" i="12"/>
  <c r="M20" i="12" s="1"/>
  <c r="L21" i="12"/>
  <c r="M21" i="12" s="1"/>
  <c r="L22" i="12"/>
  <c r="M22" i="12" s="1"/>
  <c r="L23" i="12"/>
  <c r="M23" i="12" s="1"/>
  <c r="L24" i="12"/>
  <c r="M24" i="12" s="1"/>
  <c r="L25" i="12"/>
  <c r="M25" i="12" s="1"/>
  <c r="L26" i="12"/>
  <c r="M26" i="12" s="1"/>
  <c r="L27" i="12"/>
  <c r="M27" i="12" s="1"/>
  <c r="L28" i="12"/>
  <c r="M28" i="12" s="1"/>
  <c r="L29" i="12"/>
  <c r="M29" i="12" s="1"/>
  <c r="L30" i="12"/>
  <c r="M30" i="12" s="1"/>
  <c r="L31" i="12"/>
  <c r="M31" i="12" s="1"/>
  <c r="L32" i="12"/>
  <c r="M32" i="12" s="1"/>
  <c r="L33" i="12"/>
  <c r="M33" i="12" s="1"/>
  <c r="L34" i="12"/>
  <c r="M34" i="12" s="1"/>
  <c r="L35" i="12"/>
  <c r="M35" i="12" s="1"/>
  <c r="L36" i="12"/>
  <c r="M36" i="12" s="1"/>
  <c r="L37" i="12"/>
  <c r="M37" i="12" s="1"/>
  <c r="L38" i="12"/>
  <c r="M38" i="12" s="1"/>
  <c r="L39" i="12"/>
  <c r="M39" i="12" s="1"/>
  <c r="L40" i="12"/>
  <c r="M40" i="12" s="1"/>
  <c r="L41" i="12"/>
  <c r="M41" i="12" s="1"/>
  <c r="L42" i="12"/>
  <c r="M42" i="12" s="1"/>
  <c r="L43" i="12"/>
  <c r="M43" i="12" s="1"/>
  <c r="L44" i="12"/>
  <c r="M44" i="12" s="1"/>
  <c r="L45" i="12"/>
  <c r="M45" i="12" s="1"/>
  <c r="L46" i="12"/>
  <c r="M46" i="12" s="1"/>
  <c r="L47" i="12"/>
  <c r="M47" i="12" s="1"/>
  <c r="L48" i="12"/>
  <c r="M48" i="12" s="1"/>
  <c r="L49" i="12"/>
  <c r="M49" i="12" s="1"/>
  <c r="L50" i="12"/>
  <c r="M50" i="12" s="1"/>
  <c r="L51" i="12"/>
  <c r="M51" i="12" s="1"/>
  <c r="N51" i="12" s="1"/>
  <c r="L52" i="12"/>
  <c r="M52" i="12" s="1"/>
  <c r="L53" i="12"/>
  <c r="M53" i="12" s="1"/>
  <c r="N53" i="12" s="1"/>
  <c r="L54" i="12"/>
  <c r="M54" i="12" s="1"/>
  <c r="L55" i="12"/>
  <c r="M55" i="12" s="1"/>
  <c r="N55" i="12" s="1"/>
  <c r="L56" i="12"/>
  <c r="M56" i="12" s="1"/>
  <c r="L57" i="12"/>
  <c r="M57" i="12" s="1"/>
  <c r="N57" i="12" s="1"/>
  <c r="L58" i="12"/>
  <c r="M58" i="12" s="1"/>
  <c r="N58" i="12" s="1"/>
  <c r="L59" i="12"/>
  <c r="M59" i="12" s="1"/>
  <c r="N59" i="12" s="1"/>
  <c r="L60" i="12"/>
  <c r="M60" i="12" s="1"/>
  <c r="L61" i="12"/>
  <c r="M61" i="12" s="1"/>
  <c r="N61" i="12" s="1"/>
  <c r="L62" i="12"/>
  <c r="M62" i="12" s="1"/>
  <c r="N62" i="12" s="1"/>
  <c r="L63" i="12"/>
  <c r="M63" i="12" s="1"/>
  <c r="N63" i="12" s="1"/>
  <c r="L64" i="12"/>
  <c r="M64" i="12" s="1"/>
  <c r="L65" i="12"/>
  <c r="M65" i="12" s="1"/>
  <c r="N65" i="12" s="1"/>
  <c r="L66" i="12"/>
  <c r="M66" i="12" s="1"/>
  <c r="N66" i="12" s="1"/>
  <c r="L67" i="12"/>
  <c r="M67" i="12" s="1"/>
  <c r="N67" i="12" s="1"/>
  <c r="L68" i="12"/>
  <c r="M68" i="12" s="1"/>
  <c r="L69" i="12"/>
  <c r="M69" i="12" s="1"/>
  <c r="N69" i="12" s="1"/>
  <c r="L70" i="12"/>
  <c r="M70" i="12" s="1"/>
  <c r="L71" i="12"/>
  <c r="M71" i="12" s="1"/>
  <c r="L72" i="12"/>
  <c r="M72" i="12" s="1"/>
  <c r="N72" i="12" s="1"/>
  <c r="L73" i="12"/>
  <c r="M73" i="12" s="1"/>
  <c r="L74" i="12"/>
  <c r="M74" i="12" s="1"/>
  <c r="N74" i="12" s="1"/>
  <c r="L75" i="12"/>
  <c r="M75" i="12" s="1"/>
  <c r="L76" i="12"/>
  <c r="M76" i="12" s="1"/>
  <c r="N76" i="12" s="1"/>
  <c r="L77" i="12"/>
  <c r="M77" i="12" s="1"/>
  <c r="L78" i="12"/>
  <c r="M78" i="12" s="1"/>
  <c r="N78" i="12" s="1"/>
  <c r="L79" i="12"/>
  <c r="M79" i="12" s="1"/>
  <c r="L80" i="12"/>
  <c r="M80" i="12" s="1"/>
  <c r="N80" i="12" s="1"/>
  <c r="L81" i="12"/>
  <c r="M81" i="12" s="1"/>
  <c r="L11" i="12"/>
  <c r="L85" i="12" s="1"/>
  <c r="G46" i="1"/>
  <c r="G52" i="1" s="1"/>
  <c r="H96" i="12"/>
  <c r="L96" i="12" s="1"/>
  <c r="M96" i="12" s="1"/>
  <c r="D85" i="12"/>
  <c r="D102" i="12" s="1"/>
  <c r="E85" i="12"/>
  <c r="E102" i="12" s="1"/>
  <c r="B18" i="1" s="1"/>
  <c r="F85" i="12"/>
  <c r="F102" i="12" s="1"/>
  <c r="C18" i="1" s="1"/>
  <c r="G85" i="12"/>
  <c r="G102" i="12" s="1"/>
  <c r="D18" i="1" s="1"/>
  <c r="H85" i="12"/>
  <c r="H102" i="12" s="1"/>
  <c r="E18" i="1" s="1"/>
  <c r="I85" i="12"/>
  <c r="I102" i="12" s="1"/>
  <c r="F18" i="1" s="1"/>
  <c r="F19" i="1" s="1"/>
  <c r="J85" i="12"/>
  <c r="J102" i="12" s="1"/>
  <c r="G18" i="1" s="1"/>
  <c r="G19" i="1" s="1"/>
  <c r="G21" i="1" s="1"/>
  <c r="K85" i="12"/>
  <c r="K102" i="12" s="1"/>
  <c r="H18" i="1" s="1"/>
  <c r="C85" i="12"/>
  <c r="C103" i="12" s="1"/>
  <c r="N81" i="12"/>
  <c r="N79" i="12"/>
  <c r="N77" i="12"/>
  <c r="N75" i="12"/>
  <c r="N73" i="12"/>
  <c r="N71" i="12"/>
  <c r="N68" i="12"/>
  <c r="N64" i="12"/>
  <c r="N60" i="12"/>
  <c r="N56" i="12"/>
  <c r="N54" i="12"/>
  <c r="N52" i="12"/>
  <c r="N50" i="12"/>
  <c r="N49" i="12"/>
  <c r="N48" i="12"/>
  <c r="N47" i="12"/>
  <c r="N46" i="12"/>
  <c r="N45" i="12"/>
  <c r="N44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F42" i="1"/>
  <c r="F46" i="1" s="1"/>
  <c r="F52" i="1" s="1"/>
  <c r="B17" i="8"/>
  <c r="B19" i="8" s="1"/>
  <c r="F26" i="1" l="1"/>
  <c r="F37" i="1" s="1"/>
  <c r="L102" i="12"/>
  <c r="L103" i="12"/>
  <c r="C102" i="12"/>
  <c r="M11" i="12"/>
  <c r="N11" i="12" s="1"/>
  <c r="N96" i="12"/>
  <c r="G26" i="1"/>
  <c r="G37" i="1" s="1"/>
  <c r="F21" i="1"/>
  <c r="K103" i="12"/>
  <c r="I103" i="12"/>
  <c r="G103" i="12"/>
  <c r="E103" i="12"/>
  <c r="J103" i="12"/>
  <c r="H103" i="12"/>
  <c r="F103" i="12"/>
  <c r="D103" i="12"/>
  <c r="F31" i="1"/>
  <c r="G31" i="1"/>
  <c r="G32" i="1" s="1"/>
  <c r="G33" i="1" s="1"/>
  <c r="N85" i="12"/>
  <c r="M85" i="12" l="1"/>
  <c r="M102" i="12" s="1"/>
  <c r="N102" i="12"/>
  <c r="N103" i="12"/>
  <c r="M103" i="12"/>
  <c r="G3" i="11" l="1"/>
  <c r="G2" i="11"/>
  <c r="G1" i="11"/>
  <c r="A3" i="11"/>
  <c r="A2" i="11"/>
  <c r="E3" i="10"/>
  <c r="E2" i="10"/>
  <c r="E1" i="10"/>
  <c r="A3" i="10"/>
  <c r="A2" i="10"/>
  <c r="E53" i="11"/>
  <c r="F53" i="11" s="1"/>
  <c r="F52" i="11"/>
  <c r="E52" i="11"/>
  <c r="G52" i="11" s="1"/>
  <c r="E46" i="11"/>
  <c r="F46" i="11" s="1"/>
  <c r="E45" i="11"/>
  <c r="E39" i="11"/>
  <c r="F39" i="11" s="1"/>
  <c r="E38" i="11"/>
  <c r="E32" i="11"/>
  <c r="F32" i="11" s="1"/>
  <c r="E31" i="11"/>
  <c r="D16" i="11"/>
  <c r="D21" i="11" s="1"/>
  <c r="D54" i="11" s="1"/>
  <c r="D55" i="11" s="1"/>
  <c r="C16" i="11"/>
  <c r="C22" i="11" s="1"/>
  <c r="E13" i="11"/>
  <c r="F13" i="11" s="1"/>
  <c r="E12" i="11"/>
  <c r="E16" i="11" s="1"/>
  <c r="D11" i="10"/>
  <c r="E11" i="10" s="1"/>
  <c r="C10" i="10"/>
  <c r="E10" i="10" s="1"/>
  <c r="E13" i="10" l="1"/>
  <c r="E22" i="11"/>
  <c r="E47" i="11" s="1"/>
  <c r="E20" i="11"/>
  <c r="E40" i="11" s="1"/>
  <c r="E21" i="11"/>
  <c r="E54" i="11" s="1"/>
  <c r="E19" i="11"/>
  <c r="C47" i="11"/>
  <c r="C13" i="10"/>
  <c r="F12" i="11"/>
  <c r="F16" i="11" s="1"/>
  <c r="G13" i="11"/>
  <c r="C19" i="11"/>
  <c r="D20" i="11"/>
  <c r="D40" i="11" s="1"/>
  <c r="D41" i="11" s="1"/>
  <c r="C21" i="11"/>
  <c r="D22" i="11"/>
  <c r="D47" i="11" s="1"/>
  <c r="D48" i="11" s="1"/>
  <c r="F31" i="11"/>
  <c r="G32" i="11"/>
  <c r="F38" i="11"/>
  <c r="G38" i="11" s="1"/>
  <c r="G39" i="11"/>
  <c r="E41" i="11"/>
  <c r="F45" i="11"/>
  <c r="G46" i="11"/>
  <c r="E48" i="11"/>
  <c r="G53" i="11"/>
  <c r="E55" i="11"/>
  <c r="G12" i="11"/>
  <c r="G16" i="11" s="1"/>
  <c r="D19" i="11"/>
  <c r="C20" i="11"/>
  <c r="C80" i="9"/>
  <c r="D25" i="11" l="1"/>
  <c r="D33" i="11"/>
  <c r="D34" i="11" s="1"/>
  <c r="D59" i="11" s="1"/>
  <c r="F48" i="11"/>
  <c r="C54" i="11"/>
  <c r="C33" i="11"/>
  <c r="C25" i="11"/>
  <c r="F21" i="11"/>
  <c r="F54" i="11" s="1"/>
  <c r="F55" i="11" s="1"/>
  <c r="F19" i="11"/>
  <c r="F22" i="11"/>
  <c r="F47" i="11" s="1"/>
  <c r="F20" i="11"/>
  <c r="F40" i="11" s="1"/>
  <c r="G22" i="11"/>
  <c r="E33" i="11"/>
  <c r="E34" i="11" s="1"/>
  <c r="E59" i="11" s="1"/>
  <c r="E25" i="11"/>
  <c r="E18" i="10"/>
  <c r="E16" i="10"/>
  <c r="E17" i="10"/>
  <c r="E15" i="10"/>
  <c r="E21" i="10" s="1"/>
  <c r="C40" i="11"/>
  <c r="G20" i="11"/>
  <c r="F41" i="11"/>
  <c r="G45" i="11"/>
  <c r="G31" i="11"/>
  <c r="G47" i="11"/>
  <c r="C48" i="11"/>
  <c r="G48" i="11" s="1"/>
  <c r="G40" i="11" l="1"/>
  <c r="C41" i="11"/>
  <c r="G41" i="11" s="1"/>
  <c r="G21" i="11"/>
  <c r="F25" i="11"/>
  <c r="F33" i="11"/>
  <c r="F34" i="11" s="1"/>
  <c r="F59" i="11" s="1"/>
  <c r="G19" i="11"/>
  <c r="G25" i="11" s="1"/>
  <c r="G33" i="11"/>
  <c r="C34" i="11"/>
  <c r="G34" i="11" s="1"/>
  <c r="G54" i="11"/>
  <c r="C55" i="11"/>
  <c r="B72" i="8"/>
  <c r="B74" i="8" s="1"/>
  <c r="B78" i="8" s="1"/>
  <c r="C74" i="8"/>
  <c r="A25" i="7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B24" i="7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A24" i="7"/>
  <c r="D10" i="7"/>
  <c r="D14" i="7" s="1"/>
  <c r="D7" i="7"/>
  <c r="D15" i="7" s="1"/>
  <c r="A3" i="6"/>
  <c r="A2" i="6"/>
  <c r="N3" i="6"/>
  <c r="N2" i="6"/>
  <c r="N1" i="6"/>
  <c r="H46" i="1"/>
  <c r="C42" i="1"/>
  <c r="C46" i="1" s="1"/>
  <c r="D42" i="1"/>
  <c r="D46" i="1" s="1"/>
  <c r="E42" i="1"/>
  <c r="E46" i="1" s="1"/>
  <c r="B42" i="1"/>
  <c r="B46" i="1" s="1"/>
  <c r="M78" i="6"/>
  <c r="M80" i="6" s="1"/>
  <c r="L78" i="6"/>
  <c r="L80" i="6" s="1"/>
  <c r="J78" i="6"/>
  <c r="J80" i="6" s="1"/>
  <c r="H78" i="6"/>
  <c r="H80" i="6" s="1"/>
  <c r="G78" i="6"/>
  <c r="F78" i="6"/>
  <c r="E78" i="6"/>
  <c r="D78" i="6"/>
  <c r="N77" i="6"/>
  <c r="K76" i="6"/>
  <c r="K78" i="6" s="1"/>
  <c r="N75" i="6"/>
  <c r="N73" i="6"/>
  <c r="N72" i="6"/>
  <c r="N71" i="6"/>
  <c r="N70" i="6"/>
  <c r="N69" i="6"/>
  <c r="M65" i="6"/>
  <c r="L65" i="6"/>
  <c r="J65" i="6"/>
  <c r="I65" i="6"/>
  <c r="H65" i="6"/>
  <c r="C65" i="6"/>
  <c r="N64" i="6"/>
  <c r="N61" i="6"/>
  <c r="N55" i="6"/>
  <c r="M47" i="6"/>
  <c r="L47" i="6"/>
  <c r="K47" i="6"/>
  <c r="J47" i="6"/>
  <c r="I47" i="6"/>
  <c r="H47" i="6"/>
  <c r="G47" i="6"/>
  <c r="F47" i="6"/>
  <c r="E47" i="6"/>
  <c r="D47" i="6"/>
  <c r="C47" i="6"/>
  <c r="N47" i="6" s="1"/>
  <c r="P47" i="6" s="1"/>
  <c r="N46" i="6"/>
  <c r="N45" i="6"/>
  <c r="M42" i="6"/>
  <c r="L42" i="6"/>
  <c r="K42" i="6"/>
  <c r="J42" i="6"/>
  <c r="I42" i="6"/>
  <c r="H42" i="6"/>
  <c r="G42" i="6"/>
  <c r="F42" i="6"/>
  <c r="E42" i="6"/>
  <c r="D42" i="6"/>
  <c r="C42" i="6"/>
  <c r="N42" i="6" s="1"/>
  <c r="P42" i="6" s="1"/>
  <c r="N41" i="6"/>
  <c r="N40" i="6"/>
  <c r="N39" i="6"/>
  <c r="N38" i="6"/>
  <c r="M37" i="6"/>
  <c r="L37" i="6"/>
  <c r="K37" i="6"/>
  <c r="J37" i="6"/>
  <c r="I37" i="6"/>
  <c r="H37" i="6"/>
  <c r="G37" i="6"/>
  <c r="F37" i="6"/>
  <c r="E37" i="6"/>
  <c r="D37" i="6"/>
  <c r="C37" i="6"/>
  <c r="N37" i="6" s="1"/>
  <c r="P37" i="6" s="1"/>
  <c r="N36" i="6"/>
  <c r="N35" i="6"/>
  <c r="N34" i="6"/>
  <c r="M32" i="6"/>
  <c r="L32" i="6"/>
  <c r="K32" i="6"/>
  <c r="J32" i="6"/>
  <c r="I32" i="6"/>
  <c r="H32" i="6"/>
  <c r="G32" i="6"/>
  <c r="F32" i="6"/>
  <c r="E32" i="6"/>
  <c r="D32" i="6"/>
  <c r="C32" i="6"/>
  <c r="N32" i="6" s="1"/>
  <c r="P32" i="6" s="1"/>
  <c r="N31" i="6"/>
  <c r="N30" i="6"/>
  <c r="N29" i="6"/>
  <c r="N28" i="6"/>
  <c r="M25" i="6"/>
  <c r="M51" i="6" s="1"/>
  <c r="L25" i="6"/>
  <c r="L51" i="6" s="1"/>
  <c r="K25" i="6"/>
  <c r="K51" i="6" s="1"/>
  <c r="K63" i="6" s="1"/>
  <c r="J25" i="6"/>
  <c r="J51" i="6" s="1"/>
  <c r="G62" i="6" s="1"/>
  <c r="N62" i="6" s="1"/>
  <c r="I25" i="6"/>
  <c r="I51" i="6" s="1"/>
  <c r="I74" i="6" s="1"/>
  <c r="H25" i="6"/>
  <c r="H51" i="6" s="1"/>
  <c r="G60" i="6" s="1"/>
  <c r="N60" i="6" s="1"/>
  <c r="G25" i="6"/>
  <c r="G51" i="6" s="1"/>
  <c r="G59" i="6" s="1"/>
  <c r="F25" i="6"/>
  <c r="F51" i="6" s="1"/>
  <c r="F58" i="6" s="1"/>
  <c r="E25" i="6"/>
  <c r="E51" i="6" s="1"/>
  <c r="E57" i="6" s="1"/>
  <c r="D25" i="6"/>
  <c r="D51" i="6" s="1"/>
  <c r="D56" i="6" s="1"/>
  <c r="C25" i="6"/>
  <c r="C51" i="6" s="1"/>
  <c r="N24" i="6"/>
  <c r="N23" i="6"/>
  <c r="N22" i="6"/>
  <c r="N21" i="6"/>
  <c r="N20" i="6"/>
  <c r="N19" i="6"/>
  <c r="N18" i="6"/>
  <c r="N15" i="6"/>
  <c r="P15" i="6" s="1"/>
  <c r="F3" i="2"/>
  <c r="F2" i="2"/>
  <c r="F1" i="2"/>
  <c r="J3" i="1"/>
  <c r="J2" i="1"/>
  <c r="J1" i="1"/>
  <c r="A3" i="1"/>
  <c r="A2" i="1"/>
  <c r="E50" i="2"/>
  <c r="E42" i="2"/>
  <c r="F42" i="2"/>
  <c r="F49" i="2" s="1"/>
  <c r="F28" i="2"/>
  <c r="F48" i="2" s="1"/>
  <c r="A3" i="2"/>
  <c r="A2" i="2"/>
  <c r="G14" i="3"/>
  <c r="F17" i="3"/>
  <c r="E15" i="3"/>
  <c r="D17" i="3"/>
  <c r="I43" i="1"/>
  <c r="I23" i="1"/>
  <c r="H19" i="1"/>
  <c r="D19" i="1"/>
  <c r="C19" i="1"/>
  <c r="C21" i="1" l="1"/>
  <c r="C26" i="1" s="1"/>
  <c r="C37" i="1" s="1"/>
  <c r="H21" i="1"/>
  <c r="H26" i="1" s="1"/>
  <c r="H37" i="1" s="1"/>
  <c r="D21" i="1"/>
  <c r="D26" i="1" s="1"/>
  <c r="D37" i="1" s="1"/>
  <c r="H31" i="1"/>
  <c r="D31" i="1"/>
  <c r="C31" i="1"/>
  <c r="I42" i="1"/>
  <c r="I46" i="1" s="1"/>
  <c r="C59" i="11"/>
  <c r="G55" i="11"/>
  <c r="G59" i="11" s="1"/>
  <c r="D65" i="6"/>
  <c r="N56" i="6"/>
  <c r="F65" i="6"/>
  <c r="N58" i="6"/>
  <c r="D80" i="6"/>
  <c r="F80" i="6"/>
  <c r="C68" i="6"/>
  <c r="N51" i="6"/>
  <c r="E65" i="6"/>
  <c r="N65" i="6" s="1"/>
  <c r="N57" i="6"/>
  <c r="G65" i="6"/>
  <c r="N59" i="6"/>
  <c r="N74" i="6"/>
  <c r="I78" i="6"/>
  <c r="I80" i="6" s="1"/>
  <c r="K65" i="6"/>
  <c r="K80" i="6" s="1"/>
  <c r="N63" i="6"/>
  <c r="E80" i="6"/>
  <c r="G80" i="6"/>
  <c r="N25" i="6"/>
  <c r="P25" i="6" s="1"/>
  <c r="P51" i="6" s="1"/>
  <c r="N76" i="6"/>
  <c r="F44" i="2"/>
  <c r="F53" i="2" s="1"/>
  <c r="F50" i="2"/>
  <c r="I18" i="1"/>
  <c r="D15" i="3"/>
  <c r="F15" i="3"/>
  <c r="E17" i="3"/>
  <c r="C17" i="3" s="1"/>
  <c r="C14" i="3"/>
  <c r="D16" i="3" s="1"/>
  <c r="B19" i="1"/>
  <c r="I50" i="1"/>
  <c r="B21" i="1" l="1"/>
  <c r="B26" i="1" s="1"/>
  <c r="B37" i="1" s="1"/>
  <c r="B31" i="1"/>
  <c r="G15" i="3"/>
  <c r="G17" i="3"/>
  <c r="C78" i="6"/>
  <c r="N68" i="6"/>
  <c r="E13" i="3"/>
  <c r="B13" i="3"/>
  <c r="F13" i="3"/>
  <c r="D13" i="3"/>
  <c r="E16" i="3"/>
  <c r="F16" i="3" s="1"/>
  <c r="C15" i="3"/>
  <c r="C18" i="3" s="1"/>
  <c r="D18" i="3" l="1"/>
  <c r="G13" i="3"/>
  <c r="G16" i="3"/>
  <c r="N78" i="6"/>
  <c r="N80" i="6" s="1"/>
  <c r="C80" i="6"/>
  <c r="E18" i="3"/>
  <c r="E11" i="3" s="1"/>
  <c r="F18" i="3"/>
  <c r="F11" i="3" s="1"/>
  <c r="D11" i="3"/>
  <c r="E13" i="2" l="1"/>
  <c r="G18" i="3"/>
  <c r="B21" i="8" l="1"/>
  <c r="B23" i="8" s="1"/>
  <c r="E28" i="2"/>
  <c r="E44" i="2" s="1"/>
  <c r="E53" i="2" s="1"/>
  <c r="I17" i="1" l="1"/>
  <c r="E19" i="1"/>
  <c r="B77" i="8"/>
  <c r="B35" i="8"/>
  <c r="H52" i="1"/>
  <c r="C52" i="1"/>
  <c r="D52" i="1"/>
  <c r="B52" i="1"/>
  <c r="E21" i="1" l="1"/>
  <c r="I21" i="1" s="1"/>
  <c r="E31" i="1"/>
  <c r="B79" i="8"/>
  <c r="B30" i="8"/>
  <c r="B27" i="8"/>
  <c r="C27" i="8" s="1"/>
  <c r="B39" i="8"/>
  <c r="B29" i="8"/>
  <c r="D9" i="7"/>
  <c r="B28" i="8"/>
  <c r="B31" i="8"/>
  <c r="B26" i="8"/>
  <c r="I19" i="1"/>
  <c r="I26" i="1" s="1"/>
  <c r="C23" i="8"/>
  <c r="B80" i="8"/>
  <c r="E26" i="1" l="1"/>
  <c r="E37" i="1" s="1"/>
  <c r="I37" i="1" s="1"/>
  <c r="I38" i="1" s="1"/>
  <c r="B33" i="8"/>
  <c r="C33" i="8" s="1"/>
  <c r="C35" i="8" s="1"/>
  <c r="C79" i="8"/>
  <c r="C78" i="8"/>
  <c r="B37" i="8"/>
  <c r="B18" i="8" s="1"/>
  <c r="C77" i="8"/>
  <c r="D12" i="7"/>
  <c r="D13" i="7" s="1"/>
  <c r="C23" i="7"/>
  <c r="F27" i="1" l="1"/>
  <c r="G27" i="1"/>
  <c r="F36" i="1"/>
  <c r="F32" i="1"/>
  <c r="F33" i="1" s="1"/>
  <c r="B27" i="1"/>
  <c r="C27" i="1"/>
  <c r="C32" i="1" s="1"/>
  <c r="C33" i="1" s="1"/>
  <c r="D27" i="1"/>
  <c r="D32" i="1" s="1"/>
  <c r="D33" i="1" s="1"/>
  <c r="I27" i="1"/>
  <c r="H27" i="1"/>
  <c r="H32" i="1" s="1"/>
  <c r="H33" i="1" s="1"/>
  <c r="D23" i="7"/>
  <c r="E23" i="7"/>
  <c r="E27" i="1"/>
  <c r="C80" i="8"/>
  <c r="G36" i="1" l="1"/>
  <c r="F38" i="1"/>
  <c r="F48" i="1" s="1"/>
  <c r="I31" i="1"/>
  <c r="B32" i="1"/>
  <c r="B33" i="1" s="1"/>
  <c r="F23" i="7"/>
  <c r="G23" i="7" s="1"/>
  <c r="C24" i="7" s="1"/>
  <c r="D24" i="7" s="1"/>
  <c r="C36" i="1"/>
  <c r="E36" i="1"/>
  <c r="H36" i="1"/>
  <c r="D36" i="1"/>
  <c r="B36" i="1"/>
  <c r="G38" i="1" l="1"/>
  <c r="G48" i="1" s="1"/>
  <c r="B38" i="1"/>
  <c r="B48" i="1" s="1"/>
  <c r="C38" i="1"/>
  <c r="C48" i="1" s="1"/>
  <c r="E24" i="7"/>
  <c r="F24" i="7"/>
  <c r="G24" i="7" s="1"/>
  <c r="C25" i="7" s="1"/>
  <c r="E25" i="7" s="1"/>
  <c r="D38" i="1"/>
  <c r="D48" i="1" s="1"/>
  <c r="H38" i="1"/>
  <c r="H48" i="1" s="1"/>
  <c r="E38" i="1"/>
  <c r="D25" i="7" l="1"/>
  <c r="F25" i="7" s="1"/>
  <c r="G25" i="7" s="1"/>
  <c r="C26" i="7" s="1"/>
  <c r="D26" i="7" l="1"/>
  <c r="E26" i="7"/>
  <c r="F26" i="7" l="1"/>
  <c r="G26" i="7" l="1"/>
  <c r="C27" i="7" s="1"/>
  <c r="E27" i="7" l="1"/>
  <c r="D27" i="7"/>
  <c r="F27" i="7" l="1"/>
  <c r="G27" i="7" s="1"/>
  <c r="C28" i="7" s="1"/>
  <c r="D28" i="7" l="1"/>
  <c r="E28" i="7"/>
  <c r="F28" i="7" l="1"/>
  <c r="G28" i="7" s="1"/>
  <c r="C29" i="7" s="1"/>
  <c r="E29" i="7" l="1"/>
  <c r="D29" i="7"/>
  <c r="F29" i="7" l="1"/>
  <c r="G29" i="7" s="1"/>
  <c r="C30" i="7" s="1"/>
  <c r="D30" i="7" s="1"/>
  <c r="E30" i="7" l="1"/>
  <c r="F30" i="7" s="1"/>
  <c r="G30" i="7" s="1"/>
  <c r="C31" i="7" s="1"/>
  <c r="E31" i="7" l="1"/>
  <c r="D31" i="7"/>
  <c r="F31" i="7" l="1"/>
  <c r="G31" i="7" s="1"/>
  <c r="C32" i="7" s="1"/>
  <c r="E32" i="7" l="1"/>
  <c r="D32" i="7"/>
  <c r="F32" i="7" l="1"/>
  <c r="G32" i="7" s="1"/>
  <c r="C33" i="7" s="1"/>
  <c r="E33" i="7" l="1"/>
  <c r="D33" i="7"/>
  <c r="F33" i="7" l="1"/>
  <c r="G33" i="7" s="1"/>
  <c r="C34" i="7" s="1"/>
  <c r="D34" i="7" s="1"/>
  <c r="E34" i="7" l="1"/>
  <c r="F34" i="7" s="1"/>
  <c r="G34" i="7" s="1"/>
  <c r="C35" i="7" s="1"/>
  <c r="E35" i="7" l="1"/>
  <c r="D35" i="7"/>
  <c r="F35" i="7" l="1"/>
  <c r="G35" i="7" s="1"/>
  <c r="C36" i="7" s="1"/>
  <c r="D36" i="7" l="1"/>
  <c r="E36" i="7"/>
  <c r="F36" i="7" l="1"/>
  <c r="G36" i="7" s="1"/>
  <c r="C37" i="7" s="1"/>
  <c r="E37" i="7" l="1"/>
  <c r="D37" i="7"/>
  <c r="F37" i="7" l="1"/>
  <c r="G37" i="7" s="1"/>
  <c r="C38" i="7" s="1"/>
  <c r="D38" i="7" s="1"/>
  <c r="E38" i="7" l="1"/>
  <c r="F38" i="7" s="1"/>
  <c r="G38" i="7" s="1"/>
  <c r="C39" i="7" s="1"/>
  <c r="E39" i="7" l="1"/>
  <c r="D39" i="7"/>
  <c r="F39" i="7" l="1"/>
  <c r="G39" i="7" s="1"/>
  <c r="C40" i="7" s="1"/>
  <c r="D40" i="7" s="1"/>
  <c r="E40" i="7" l="1"/>
  <c r="F40" i="7" s="1"/>
  <c r="G40" i="7" s="1"/>
  <c r="C41" i="7" s="1"/>
  <c r="E41" i="7" l="1"/>
  <c r="D41" i="7"/>
  <c r="F41" i="7" l="1"/>
  <c r="G41" i="7" s="1"/>
  <c r="C42" i="7" s="1"/>
  <c r="D42" i="7" s="1"/>
  <c r="E42" i="7" l="1"/>
  <c r="F42" i="7" s="1"/>
  <c r="G42" i="7" s="1"/>
  <c r="C43" i="7" s="1"/>
  <c r="E43" i="7" l="1"/>
  <c r="D43" i="7"/>
  <c r="F43" i="7" l="1"/>
  <c r="G43" i="7" s="1"/>
  <c r="C44" i="7" s="1"/>
  <c r="D44" i="7" s="1"/>
  <c r="E44" i="7" l="1"/>
  <c r="F44" i="7" s="1"/>
  <c r="G44" i="7" s="1"/>
  <c r="C45" i="7" s="1"/>
  <c r="E45" i="7" l="1"/>
  <c r="D45" i="7"/>
  <c r="F45" i="7" l="1"/>
  <c r="G45" i="7" s="1"/>
  <c r="C46" i="7" s="1"/>
  <c r="D46" i="7" s="1"/>
  <c r="E46" i="7" l="1"/>
  <c r="F46" i="7" s="1"/>
  <c r="G46" i="7" s="1"/>
  <c r="C47" i="7" s="1"/>
  <c r="E47" i="7" l="1"/>
  <c r="D47" i="7"/>
  <c r="F47" i="7" l="1"/>
  <c r="G47" i="7" s="1"/>
  <c r="C48" i="7" s="1"/>
  <c r="D48" i="7" s="1"/>
  <c r="E48" i="7" l="1"/>
  <c r="F48" i="7" s="1"/>
  <c r="G48" i="7" s="1"/>
  <c r="C49" i="7" s="1"/>
  <c r="E49" i="7" l="1"/>
  <c r="D49" i="7"/>
  <c r="F49" i="7" l="1"/>
  <c r="G49" i="7" s="1"/>
  <c r="C50" i="7" s="1"/>
  <c r="D50" i="7" s="1"/>
  <c r="E50" i="7" l="1"/>
  <c r="F50" i="7" s="1"/>
  <c r="G50" i="7" s="1"/>
  <c r="C51" i="7" s="1"/>
  <c r="E51" i="7" l="1"/>
  <c r="D51" i="7"/>
  <c r="F51" i="7" l="1"/>
  <c r="G51" i="7" s="1"/>
  <c r="C52" i="7" s="1"/>
  <c r="D52" i="7" s="1"/>
  <c r="E52" i="7" l="1"/>
  <c r="E53" i="7" s="1"/>
  <c r="G9" i="7" s="1"/>
  <c r="D17" i="7"/>
  <c r="E32" i="1" l="1"/>
  <c r="E33" i="1" s="1"/>
  <c r="F52" i="7"/>
  <c r="F53" i="7" s="1"/>
  <c r="I32" i="1" l="1"/>
  <c r="I48" i="1" s="1"/>
  <c r="E48" i="1"/>
  <c r="E52" i="1" s="1"/>
  <c r="G52" i="7"/>
</calcChain>
</file>

<file path=xl/sharedStrings.xml><?xml version="1.0" encoding="utf-8"?>
<sst xmlns="http://schemas.openxmlformats.org/spreadsheetml/2006/main" count="571" uniqueCount="428">
  <si>
    <t>Zone 21</t>
  </si>
  <si>
    <t>Zone 22</t>
  </si>
  <si>
    <t>Zone 23</t>
  </si>
  <si>
    <t>Zone 24</t>
  </si>
  <si>
    <t>Zone 25</t>
  </si>
  <si>
    <t>Cost</t>
  </si>
  <si>
    <t>Source/</t>
  </si>
  <si>
    <t>Description</t>
  </si>
  <si>
    <t>Estimate</t>
  </si>
  <si>
    <t>Totals</t>
  </si>
  <si>
    <t>Notes</t>
  </si>
  <si>
    <t>City Administrative Costs</t>
  </si>
  <si>
    <t>Notes:</t>
  </si>
  <si>
    <t>Capital Improvements Plan</t>
  </si>
  <si>
    <t>Total Master Plan CIP (__/__/__ $)</t>
  </si>
  <si>
    <t>Cost - 2011$</t>
  </si>
  <si>
    <t>Current Projects</t>
  </si>
  <si>
    <t>Future Projects</t>
  </si>
  <si>
    <t>Sanitary Sewer Gravity Pipes</t>
  </si>
  <si>
    <t>Woodward:  Galleria to Main [Links 7,8,9,10,22]</t>
  </si>
  <si>
    <t>Union:  Woodward to Peach [Link 10S]</t>
  </si>
  <si>
    <t>Main:  Woodward to Sedan [Link 22S]</t>
  </si>
  <si>
    <t>Airport:  Woodward to Peach [Link 8S]</t>
  </si>
  <si>
    <t>WQCF to Dutra Estates [Links 1-5]</t>
  </si>
  <si>
    <t>Sanitary Sewer Force Mains</t>
  </si>
  <si>
    <t>Main:  Sedan to Woodward [future reclaimed]</t>
  </si>
  <si>
    <t>Yos Square:  Austin to Spreckles [Link 36]</t>
  </si>
  <si>
    <t>Sedan: x to Austin [Link 25]</t>
  </si>
  <si>
    <t>Sedan:  Austin to x [Link 26]</t>
  </si>
  <si>
    <t>Austin: x to Woodward [Link 27]</t>
  </si>
  <si>
    <t>Woodward:  Spreckles to Austin [Link 28]</t>
  </si>
  <si>
    <t>Austin:  Woodward to Yos Square [Link 35]</t>
  </si>
  <si>
    <t>Woodward:  PS to Main</t>
  </si>
  <si>
    <t>Sanitary Sewer Lift Stations</t>
  </si>
  <si>
    <t>Woodward</t>
  </si>
  <si>
    <t>South Main</t>
  </si>
  <si>
    <t>South Airport</t>
  </si>
  <si>
    <t>South Union</t>
  </si>
  <si>
    <t>Sanitary Sewer Pump Stations</t>
  </si>
  <si>
    <t>WQCF Influent Pump Station - mech/elec</t>
  </si>
  <si>
    <t>Austin Business East</t>
  </si>
  <si>
    <t>Yosemite Square</t>
  </si>
  <si>
    <t>Austin Business West</t>
  </si>
  <si>
    <t>Soft Costs - Pipeline</t>
  </si>
  <si>
    <t>Soft Costs - Lift Stations &amp; Pump Stations</t>
  </si>
  <si>
    <t>Total Estimated CIP Costs</t>
  </si>
  <si>
    <t>Source: City of Manteca</t>
  </si>
  <si>
    <t>%</t>
  </si>
  <si>
    <t>Total</t>
  </si>
  <si>
    <t>PFIP Sewer</t>
  </si>
  <si>
    <t>PFIP Trans</t>
  </si>
  <si>
    <t>PFIP Storm</t>
  </si>
  <si>
    <t>Design</t>
  </si>
  <si>
    <t xml:space="preserve">Construction </t>
  </si>
  <si>
    <t>CM/CE</t>
  </si>
  <si>
    <t>Gen</t>
  </si>
  <si>
    <t>Contingency</t>
  </si>
  <si>
    <t>Source: ___________________________________________________</t>
  </si>
  <si>
    <t>Table __</t>
  </si>
  <si>
    <t>City of Manteca</t>
  </si>
  <si>
    <t>PFF Sewer Collection Fee</t>
  </si>
  <si>
    <t>Allocation Percentage</t>
  </si>
  <si>
    <t>Check</t>
  </si>
  <si>
    <t xml:space="preserve">     Current Projects</t>
  </si>
  <si>
    <t>Sewer Table Headers</t>
  </si>
  <si>
    <t>Header 1</t>
  </si>
  <si>
    <t>City Header</t>
  </si>
  <si>
    <t>Table 1</t>
  </si>
  <si>
    <t>Subtotal - Soft Costs</t>
  </si>
  <si>
    <t xml:space="preserve">    Total Pipeline Projects</t>
  </si>
  <si>
    <t xml:space="preserve">    Total Lift Stations and Pump Stations</t>
  </si>
  <si>
    <t>Subtotal - Hard Costs</t>
  </si>
  <si>
    <t>Proposed Capital Improvement Projects - Soft Costs</t>
  </si>
  <si>
    <t>Report Header 1</t>
  </si>
  <si>
    <t>Report Header 2</t>
  </si>
  <si>
    <t>Report Header 3</t>
  </si>
  <si>
    <t>Internal</t>
  </si>
  <si>
    <t>Sewer Fee Calculation Summary</t>
  </si>
  <si>
    <t>Table 2</t>
  </si>
  <si>
    <t>(1) Soft costs for lift stations and pump stations excludes Woodward lift station as ____________.</t>
  </si>
  <si>
    <t>Need source and method for allocation between PFIP infrastructure categories</t>
  </si>
  <si>
    <t>"Gen" total does not tie to detail allocation, appears to be a formula issue.</t>
  </si>
  <si>
    <t>Proposed Pipeline Projects</t>
  </si>
  <si>
    <t>Proposed Lift Stations and Pump Stations</t>
  </si>
  <si>
    <t>Summary of Collection Capital Improvement Costs - Sewer Zone 24</t>
  </si>
  <si>
    <t>Zone</t>
  </si>
  <si>
    <t>Market</t>
  </si>
  <si>
    <t>Value</t>
  </si>
  <si>
    <t>Primavera</t>
  </si>
  <si>
    <t>Table 3</t>
  </si>
  <si>
    <t xml:space="preserve">Waste Water </t>
  </si>
  <si>
    <t xml:space="preserve">PFIP </t>
  </si>
  <si>
    <t>ABC</t>
  </si>
  <si>
    <t xml:space="preserve">Sewer </t>
  </si>
  <si>
    <t>DUE Pump</t>
  </si>
  <si>
    <t>Agreement</t>
  </si>
  <si>
    <t>Louise Ave.</t>
  </si>
  <si>
    <t>24A</t>
  </si>
  <si>
    <t>Station</t>
  </si>
  <si>
    <t>Cash Balance 6/30/07</t>
  </si>
  <si>
    <t xml:space="preserve">Developer Liabilites </t>
  </si>
  <si>
    <t>Woodward Park</t>
  </si>
  <si>
    <t>Antiqua</t>
  </si>
  <si>
    <t>Dutra Estates</t>
  </si>
  <si>
    <t>Tesoro</t>
  </si>
  <si>
    <t>Union Ranch</t>
  </si>
  <si>
    <t>Total Developer</t>
  </si>
  <si>
    <t xml:space="preserve">  </t>
  </si>
  <si>
    <t>Interfund Borrowing - Transportation</t>
  </si>
  <si>
    <t>Bianchi Ranch</t>
  </si>
  <si>
    <t>Tara Park</t>
  </si>
  <si>
    <t>Dutra Farms</t>
  </si>
  <si>
    <t>Total Interfund Transportation</t>
  </si>
  <si>
    <t>Interfund Borrowing - Water</t>
  </si>
  <si>
    <t xml:space="preserve">   Woodward</t>
  </si>
  <si>
    <t xml:space="preserve">   Bella Vista</t>
  </si>
  <si>
    <t>Total Interfund Water</t>
  </si>
  <si>
    <t>Interfund Borrowing - Draininage</t>
  </si>
  <si>
    <t>Dutra</t>
  </si>
  <si>
    <t>Total Interfund Drainage</t>
  </si>
  <si>
    <t>TBD or Approved FY 08/09</t>
  </si>
  <si>
    <t>Woodward Ranch</t>
  </si>
  <si>
    <t>Ken Hill  Estates - R2008-404</t>
  </si>
  <si>
    <t>Total TBD</t>
  </si>
  <si>
    <t>Fund Balance 6/30/07</t>
  </si>
  <si>
    <t>Fund Balance - Fee Calculations</t>
  </si>
  <si>
    <t>PFIP Louise Ave.</t>
  </si>
  <si>
    <t>Zone 24A</t>
  </si>
  <si>
    <t>DUE Pump Station</t>
  </si>
  <si>
    <t>ABC Agreement 24</t>
  </si>
  <si>
    <t>Zone 51</t>
  </si>
  <si>
    <t xml:space="preserve">   Totals</t>
  </si>
  <si>
    <t>Fund Balance - Not Included</t>
  </si>
  <si>
    <t>Out of date 2007 balances</t>
  </si>
  <si>
    <t>Beginning Fund Balance - Sewer Funds</t>
  </si>
  <si>
    <t>PROJECT CONSTRUCTION COSTS</t>
  </si>
  <si>
    <t>PFF ADMINISTRATION COSTS</t>
  </si>
  <si>
    <t>FINANCING COSTS COSTS</t>
  </si>
  <si>
    <t>Total PFF Admin Costs</t>
  </si>
  <si>
    <t>FUND BALANCES</t>
  </si>
  <si>
    <t>Net Fund Balance (Deficit)</t>
  </si>
  <si>
    <t>Total Fund Balances</t>
  </si>
  <si>
    <t>.</t>
  </si>
  <si>
    <t>Capacity Provided (GPD)</t>
  </si>
  <si>
    <t>Fee Per Gallon</t>
  </si>
  <si>
    <t>TABLE 1.</t>
  </si>
  <si>
    <t>PROJECT NAME</t>
  </si>
  <si>
    <t>LOAN AMORTIZATION SCHEDULE</t>
  </si>
  <si>
    <t>Number of Years:</t>
  </si>
  <si>
    <t>Payments Per Year:</t>
  </si>
  <si>
    <t>Beginning Balance:</t>
  </si>
  <si>
    <t>Annual Interest Rate:</t>
  </si>
  <si>
    <t>Payment Timing (0=end, 1=beg):</t>
  </si>
  <si>
    <t>Period Payment:</t>
  </si>
  <si>
    <t>Annual Payment:</t>
  </si>
  <si>
    <t>Periodic Interest Rate:</t>
  </si>
  <si>
    <t>Number of Payment Periods:</t>
  </si>
  <si>
    <t>Calc Check:</t>
  </si>
  <si>
    <t>Period</t>
  </si>
  <si>
    <t>Beginning</t>
  </si>
  <si>
    <t>Debt</t>
  </si>
  <si>
    <t>Principle</t>
  </si>
  <si>
    <t>Remaining</t>
  </si>
  <si>
    <t>Number</t>
  </si>
  <si>
    <t>Year</t>
  </si>
  <si>
    <t>Balance</t>
  </si>
  <si>
    <t>Service</t>
  </si>
  <si>
    <t>Interest</t>
  </si>
  <si>
    <t>Reduction</t>
  </si>
  <si>
    <t>|</t>
  </si>
  <si>
    <t>Amount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</si>
  <si>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</si>
  <si>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</si>
  <si>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</si>
  <si>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</si>
  <si>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</si>
  <si>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</si>
  <si>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</si>
  <si>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</si>
  <si>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</si>
  <si>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</si>
  <si>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</si>
  <si>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</si>
  <si>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</si>
  <si>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</si>
  <si>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</si>
  <si>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</si>
  <si>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</si>
  <si>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</si>
  <si>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</si>
  <si>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</si>
  <si>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</si>
  <si>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</si>
  <si>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</si>
  <si>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</si>
  <si>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</si>
  <si>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</si>
  <si>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</si>
  <si>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</si>
  <si>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</si>
  <si>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</si>
  <si>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</si>
  <si>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</si>
  <si>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</si>
  <si>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</si>
  <si>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</si>
  <si>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</si>
  <si>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</si>
  <si>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</si>
  <si>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</si>
  <si>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</si>
  <si>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</si>
  <si>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</si>
  <si>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</si>
  <si>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</si>
  <si>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</si>
  <si>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</si>
  <si>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</si>
  <si>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</si>
  <si>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</si>
  <si>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</si>
  <si>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</si>
  <si>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</si>
  <si>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</si>
  <si>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Cost of Financing:</t>
  </si>
  <si>
    <t>(2) Assumes entire cost of current projects funded by 30 year debt service with 2.0% interest.</t>
  </si>
  <si>
    <t>(2)  Need ENR for cost estimates.</t>
  </si>
  <si>
    <t>Working Draft - v1</t>
  </si>
  <si>
    <t>SEWER ZONE</t>
  </si>
  <si>
    <t>LAND USE</t>
  </si>
  <si>
    <t>UNDEVELOPED
ACRES</t>
  </si>
  <si>
    <t>ZONE 21</t>
  </si>
  <si>
    <t>BP</t>
  </si>
  <si>
    <t>CMU</t>
  </si>
  <si>
    <t>GC</t>
  </si>
  <si>
    <t>HDR</t>
  </si>
  <si>
    <t>LDR</t>
  </si>
  <si>
    <t>LI</t>
  </si>
  <si>
    <t>MDR</t>
  </si>
  <si>
    <t>NC</t>
  </si>
  <si>
    <t>P</t>
  </si>
  <si>
    <t>VLDR</t>
  </si>
  <si>
    <t>ZONE 22</t>
  </si>
  <si>
    <t>AG</t>
  </si>
  <si>
    <t>HI</t>
  </si>
  <si>
    <t>OS</t>
  </si>
  <si>
    <t>PQP</t>
  </si>
  <si>
    <t>UR</t>
  </si>
  <si>
    <t>UR-AG</t>
  </si>
  <si>
    <t>UR-CMU</t>
  </si>
  <si>
    <t>UR-GC</t>
  </si>
  <si>
    <t>UR-LDR</t>
  </si>
  <si>
    <t>UR-LI</t>
  </si>
  <si>
    <t>UR-MDR</t>
  </si>
  <si>
    <t>UR-P</t>
  </si>
  <si>
    <t>UR-PQP</t>
  </si>
  <si>
    <t>UR-VLDR</t>
  </si>
  <si>
    <t>ZONE 23</t>
  </si>
  <si>
    <t>ZONE 24</t>
  </si>
  <si>
    <t>BIP</t>
  </si>
  <si>
    <t>UR-BIP</t>
  </si>
  <si>
    <t>ZONE 25</t>
  </si>
  <si>
    <t>TOTAL</t>
  </si>
  <si>
    <t>Annual</t>
  </si>
  <si>
    <t>Years In</t>
  </si>
  <si>
    <t>Program</t>
  </si>
  <si>
    <t>PFIP</t>
  </si>
  <si>
    <t>Personnel</t>
  </si>
  <si>
    <t>Equipment, Audit, Professional Services, Legal</t>
  </si>
  <si>
    <t>Costs To Be Allocated To Each Fee Fund</t>
  </si>
  <si>
    <t>Wastewater</t>
  </si>
  <si>
    <t>Storm Drain</t>
  </si>
  <si>
    <t>Transportation</t>
  </si>
  <si>
    <t>Water</t>
  </si>
  <si>
    <t>Total City Administrative Costs</t>
  </si>
  <si>
    <t>(1) Source: City of Manteca, Finance Department.</t>
  </si>
  <si>
    <t>(2) Cost will be allocated to each fee zone based on the percentage of CIP costs.</t>
  </si>
  <si>
    <t>PFIP UPDATE COSTS - EVERY 5 YEARS</t>
  </si>
  <si>
    <t>2006/07</t>
  </si>
  <si>
    <t>2011/12</t>
  </si>
  <si>
    <t>2016/17</t>
  </si>
  <si>
    <t>2021/22</t>
  </si>
  <si>
    <t>PFIP Program Update</t>
  </si>
  <si>
    <t>Legal assistance on Program Update</t>
  </si>
  <si>
    <t>Costs To Be Allocated To Each Facility Category</t>
  </si>
  <si>
    <t>PFIP Update Allocated</t>
  </si>
  <si>
    <t>Total PFIP Update Costs</t>
  </si>
  <si>
    <t>WASTEWATER</t>
  </si>
  <si>
    <t>Sewer Master Plan</t>
  </si>
  <si>
    <t>EIR for Sewer Master Plan</t>
  </si>
  <si>
    <t>PFIP Update - Allocated Costs</t>
  </si>
  <si>
    <t xml:space="preserve">     Total Admin Costs</t>
  </si>
  <si>
    <t>DRAINAGE</t>
  </si>
  <si>
    <t>Storm Drain Master Plan</t>
  </si>
  <si>
    <t>EIR for Storm Drain Master Plan</t>
  </si>
  <si>
    <t>Allocated Costs</t>
  </si>
  <si>
    <t>WATER</t>
  </si>
  <si>
    <t>Water Master Plan</t>
  </si>
  <si>
    <t>EIR for Water Master Plan</t>
  </si>
  <si>
    <t>TRANSPORTATION</t>
  </si>
  <si>
    <t>Transportation Master Plan</t>
  </si>
  <si>
    <t>EIR for Transportation Master Plan</t>
  </si>
  <si>
    <t>Grand Total</t>
  </si>
  <si>
    <t>(1) Source: City of Manteca.</t>
  </si>
  <si>
    <t>(2) In the current update, only the Water Master Plan has an EIR .  However, in the future, it is anticipated</t>
  </si>
  <si>
    <t xml:space="preserve">      that all master plans with require EIR's.</t>
  </si>
  <si>
    <t>(3) Cost will be allocated to each fee zone based on the percentage of CIP costs.</t>
  </si>
  <si>
    <t>Table 5</t>
  </si>
  <si>
    <t>City Administration Costs</t>
  </si>
  <si>
    <t>PFF Update Costs</t>
  </si>
  <si>
    <t xml:space="preserve">Source:  </t>
  </si>
  <si>
    <t>File Reference:</t>
  </si>
  <si>
    <t>(1) Dollar amounts are in January 1, 2011 dollars.</t>
  </si>
  <si>
    <t>Formula has issues</t>
  </si>
  <si>
    <t>Converted formula to values</t>
  </si>
  <si>
    <t>Additional CIP Costs - 2012/13 Budget</t>
  </si>
  <si>
    <t>Term - Years</t>
  </si>
  <si>
    <t>Payments per year</t>
  </si>
  <si>
    <t>Annual Interest Rate</t>
  </si>
  <si>
    <t>Loan Constant - Annual Debt Service (per $1,000)</t>
  </si>
  <si>
    <t>Annual Finance Cost (per $1,000)</t>
  </si>
  <si>
    <t>Total PFF CIP</t>
  </si>
  <si>
    <t xml:space="preserve">     % of PFF CIP</t>
  </si>
  <si>
    <t>Future PFF Updates</t>
  </si>
  <si>
    <t xml:space="preserve">     Total Estimated Financing Costs</t>
  </si>
  <si>
    <t xml:space="preserve">          Finance Cost % of CIP</t>
  </si>
  <si>
    <t>Zone 26</t>
  </si>
  <si>
    <t>Fees From Remainig PFIP Development</t>
  </si>
  <si>
    <t>Project</t>
  </si>
  <si>
    <t>City</t>
  </si>
  <si>
    <t>Project Description</t>
  </si>
  <si>
    <t>Link 90</t>
  </si>
  <si>
    <t>Link 91</t>
  </si>
  <si>
    <t>Link 92</t>
  </si>
  <si>
    <t>Link 93</t>
  </si>
  <si>
    <t>Link 94</t>
  </si>
  <si>
    <t>Link 95</t>
  </si>
  <si>
    <t>Link 96</t>
  </si>
  <si>
    <t>Link 97</t>
  </si>
  <si>
    <t>Link 98</t>
  </si>
  <si>
    <t>Link 99</t>
  </si>
  <si>
    <t>Link 100</t>
  </si>
  <si>
    <t>Link 93SI</t>
  </si>
  <si>
    <t>Link 80</t>
  </si>
  <si>
    <t>Link 81</t>
  </si>
  <si>
    <t>Link 77</t>
  </si>
  <si>
    <t>Link 79</t>
  </si>
  <si>
    <t>Link 74</t>
  </si>
  <si>
    <t>Link 75</t>
  </si>
  <si>
    <t>Link 76</t>
  </si>
  <si>
    <t>Link 71</t>
  </si>
  <si>
    <t>Link 72</t>
  </si>
  <si>
    <t>Link 72A</t>
  </si>
  <si>
    <t>Link 73</t>
  </si>
  <si>
    <t>Link 73B</t>
  </si>
  <si>
    <t>SR-99 Lift Station</t>
  </si>
  <si>
    <t>Link 69S1</t>
  </si>
  <si>
    <t>Link 69S2</t>
  </si>
  <si>
    <t>Link 66S2</t>
  </si>
  <si>
    <t>Link 66S3</t>
  </si>
  <si>
    <t>Link 66S4</t>
  </si>
  <si>
    <t>Force Main FMN-01</t>
  </si>
  <si>
    <t>Link 54</t>
  </si>
  <si>
    <t>Zone 41</t>
  </si>
  <si>
    <t>Link 56</t>
  </si>
  <si>
    <t>Link 51</t>
  </si>
  <si>
    <t>Link 52</t>
  </si>
  <si>
    <t>Link 53</t>
  </si>
  <si>
    <t>Chadwick Pump Station</t>
  </si>
  <si>
    <t>South Main Pump Station</t>
  </si>
  <si>
    <t>Force Main 22S</t>
  </si>
  <si>
    <t>Link 2</t>
  </si>
  <si>
    <t>Link 22S1</t>
  </si>
  <si>
    <t>Link 25</t>
  </si>
  <si>
    <t>Austin Business Pump Station</t>
  </si>
  <si>
    <t>Force Main 27</t>
  </si>
  <si>
    <t>Force Main 28</t>
  </si>
  <si>
    <t>Force Main 27S</t>
  </si>
  <si>
    <t>Yosemite Square Pump Station</t>
  </si>
  <si>
    <t>Force Main 35</t>
  </si>
  <si>
    <t>Force Main 36</t>
  </si>
  <si>
    <t>Link 16A-02</t>
  </si>
  <si>
    <t>Link 10</t>
  </si>
  <si>
    <t>Link 10S</t>
  </si>
  <si>
    <t>South Union Lift Station</t>
  </si>
  <si>
    <t>Link 9</t>
  </si>
  <si>
    <t>Link 9S</t>
  </si>
  <si>
    <t>Link 8</t>
  </si>
  <si>
    <t>Link 8S</t>
  </si>
  <si>
    <t>South Airport Lift Station</t>
  </si>
  <si>
    <t>Link 7</t>
  </si>
  <si>
    <t>Link 3</t>
  </si>
  <si>
    <t>Link 4</t>
  </si>
  <si>
    <t>Link 5</t>
  </si>
  <si>
    <t>Link 1</t>
  </si>
  <si>
    <t>Woodward Park, Stage 1 Updgrade</t>
  </si>
  <si>
    <t>Tara Park, Stage 1 Updgrade</t>
  </si>
  <si>
    <t>Tara Park, Stage 2 Updgrade</t>
  </si>
  <si>
    <t>Link 33</t>
  </si>
  <si>
    <t>Trails of Manteca Lift Station</t>
  </si>
  <si>
    <t>Subtotal</t>
  </si>
  <si>
    <t>Woodward Park Pressure Reduction Alternatives</t>
  </si>
  <si>
    <t>Alternative 1:</t>
  </si>
  <si>
    <t>Increase Woodward Force Main</t>
  </si>
  <si>
    <t>Diameter to 15-inch</t>
  </si>
  <si>
    <t>Alternative 2:</t>
  </si>
  <si>
    <t>Extend Yosemite Square Force Man</t>
  </si>
  <si>
    <t>to Link 22</t>
  </si>
  <si>
    <t>Total By Alternative</t>
  </si>
  <si>
    <t xml:space="preserve">     Alternative 1</t>
  </si>
  <si>
    <t xml:space="preserve">     Alternative 2</t>
  </si>
  <si>
    <t xml:space="preserve">     Future Projects (Alternative 1)</t>
  </si>
  <si>
    <t>PFF</t>
  </si>
  <si>
    <t>Share</t>
  </si>
  <si>
    <t xml:space="preserve">(1) </t>
  </si>
  <si>
    <t>(3) Assumes 100% of PFF CIP costs are financed, see Table 6 for financing assumptions.</t>
  </si>
  <si>
    <t>(4) Contingency estimate of 19% from City of Manteca.</t>
  </si>
  <si>
    <t>(5) City Admistrative Costs assumed to by 2% of PFF CIP costs.</t>
  </si>
  <si>
    <t>Soft Costs (19% of Construction Costs)</t>
  </si>
  <si>
    <t>See Note (4)</t>
  </si>
  <si>
    <t>See Note (5)</t>
  </si>
  <si>
    <t>Forthcoming</t>
  </si>
  <si>
    <t>Net Costs Funded From PFF Fee</t>
  </si>
  <si>
    <t>Source:  City of Manteca.</t>
  </si>
  <si>
    <t>Sewer Capital Improvements Program</t>
  </si>
  <si>
    <t>Undeveloped Acreage - Sewer Zones</t>
  </si>
  <si>
    <t>Table 6</t>
  </si>
  <si>
    <t>Financing Assumptions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</si>
</sst>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General_)"/>
    <numFmt numFmtId="169" formatCode="0.00000000%"/>
    <numFmt numFmtId="170" formatCode="dd\-mmm\-yy_)"/>
    <numFmt numFmtId="171" formatCode="hh:mm\ AM/PM_)"/>
    <numFmt numFmtId="172" formatCode="0.0000"/>
  </numFmts>
  <fonts count="18">
    <font>
      <sz val="10"/>
      <name val="Arial"/>
    </font>
    <font>
      <sz val="10"/>
      <name val="Arial"/>
      <family val="2"/>
    </font>
    <font>
      <sz val="10"/>
      <color indexed="7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name val="Helv"/>
    </font>
    <font>
      <u/>
      <sz val="12"/>
      <name val="Helv"/>
    </font>
    <font>
      <sz val="6"/>
      <name val="Tms Rmn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indexed="7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7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5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62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/>
    <xf numFmtId="37" fontId="5" fillId="0" borderId="0" xfId="0" applyNumberFormat="1" applyFont="1"/>
    <xf numFmtId="37" fontId="4" fillId="0" borderId="0" xfId="0" applyNumberFormat="1" applyFont="1"/>
    <xf numFmtId="6" fontId="4" fillId="0" borderId="0" xfId="0" applyNumberFormat="1" applyFont="1"/>
    <xf numFmtId="6" fontId="3" fillId="0" borderId="0" xfId="0" applyNumberFormat="1" applyFont="1"/>
    <xf numFmtId="9" fontId="4" fillId="0" borderId="0" xfId="0" applyNumberFormat="1" applyFont="1"/>
    <xf numFmtId="6" fontId="4" fillId="0" borderId="0" xfId="0" applyNumberFormat="1" applyFont="1" applyAlignment="1">
      <alignment horizontal="right"/>
    </xf>
    <xf numFmtId="0" fontId="3" fillId="0" borderId="6" xfId="0" applyFont="1" applyBorder="1" applyAlignment="1">
      <alignment vertical="center"/>
    </xf>
    <xf numFmtId="6" fontId="3" fillId="0" borderId="6" xfId="0" applyNumberFormat="1" applyFont="1" applyBorder="1" applyAlignment="1">
      <alignment vertical="center"/>
    </xf>
    <xf numFmtId="0" fontId="5" fillId="0" borderId="0" xfId="0" applyFont="1"/>
    <xf numFmtId="9" fontId="0" fillId="0" borderId="0" xfId="2" applyFont="1" applyAlignment="1">
      <alignment horizontal="center"/>
    </xf>
    <xf numFmtId="9" fontId="0" fillId="0" borderId="0" xfId="2" applyNumberFormat="1" applyFont="1"/>
    <xf numFmtId="44" fontId="0" fillId="0" borderId="0" xfId="4" applyFont="1"/>
    <xf numFmtId="44" fontId="0" fillId="0" borderId="0" xfId="0" applyNumberFormat="1"/>
    <xf numFmtId="9" fontId="0" fillId="0" borderId="0" xfId="2" applyFont="1"/>
    <xf numFmtId="44" fontId="0" fillId="0" borderId="4" xfId="0" applyNumberFormat="1" applyBorder="1"/>
    <xf numFmtId="44" fontId="0" fillId="0" borderId="4" xfId="4" applyFont="1" applyBorder="1"/>
    <xf numFmtId="0" fontId="4" fillId="0" borderId="4" xfId="0" applyFont="1" applyBorder="1"/>
    <xf numFmtId="6" fontId="4" fillId="0" borderId="4" xfId="0" applyNumberFormat="1" applyFont="1" applyBorder="1"/>
    <xf numFmtId="0" fontId="4" fillId="0" borderId="0" xfId="0" applyFont="1" applyBorder="1"/>
    <xf numFmtId="6" fontId="4" fillId="0" borderId="0" xfId="0" applyNumberFormat="1" applyFont="1" applyBorder="1"/>
    <xf numFmtId="9" fontId="4" fillId="0" borderId="4" xfId="0" applyNumberFormat="1" applyFont="1" applyBorder="1"/>
    <xf numFmtId="6" fontId="4" fillId="0" borderId="4" xfId="0" applyNumberFormat="1" applyFont="1" applyBorder="1" applyAlignment="1">
      <alignment horizontal="right"/>
    </xf>
    <xf numFmtId="0" fontId="3" fillId="3" borderId="0" xfId="0" applyFont="1" applyFill="1"/>
    <xf numFmtId="6" fontId="3" fillId="3" borderId="0" xfId="0" applyNumberFormat="1" applyFont="1" applyFill="1"/>
    <xf numFmtId="0" fontId="4" fillId="3" borderId="0" xfId="0" applyFont="1" applyFill="1"/>
    <xf numFmtId="9" fontId="4" fillId="3" borderId="0" xfId="0" applyNumberFormat="1" applyFont="1" applyFill="1"/>
    <xf numFmtId="6" fontId="4" fillId="3" borderId="0" xfId="0" applyNumberFormat="1" applyFont="1" applyFill="1" applyAlignment="1">
      <alignment horizontal="right"/>
    </xf>
    <xf numFmtId="0" fontId="0" fillId="3" borderId="0" xfId="0" applyFill="1"/>
    <xf numFmtId="0" fontId="4" fillId="0" borderId="8" xfId="0" applyFont="1" applyBorder="1"/>
    <xf numFmtId="6" fontId="3" fillId="0" borderId="9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166" fontId="0" fillId="3" borderId="2" xfId="0" applyNumberFormat="1" applyFill="1" applyBorder="1"/>
    <xf numFmtId="166" fontId="0" fillId="0" borderId="3" xfId="0" applyNumberFormat="1" applyBorder="1"/>
    <xf numFmtId="0" fontId="0" fillId="0" borderId="3" xfId="0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5"/>
    <xf numFmtId="0" fontId="4" fillId="2" borderId="1" xfId="5" applyFill="1" applyBorder="1" applyAlignment="1">
      <alignment horizontal="center"/>
    </xf>
    <xf numFmtId="0" fontId="4" fillId="2" borderId="2" xfId="5" applyFill="1" applyBorder="1" applyAlignment="1">
      <alignment horizontal="center"/>
    </xf>
    <xf numFmtId="14" fontId="4" fillId="2" borderId="3" xfId="5" applyNumberFormat="1" applyFill="1" applyBorder="1" applyAlignment="1">
      <alignment horizontal="center"/>
    </xf>
    <xf numFmtId="0" fontId="4" fillId="0" borderId="0" xfId="5" applyBorder="1" applyAlignment="1">
      <alignment horizontal="center"/>
    </xf>
    <xf numFmtId="0" fontId="4" fillId="0" borderId="12" xfId="5" applyBorder="1" applyAlignment="1">
      <alignment horizontal="center"/>
    </xf>
    <xf numFmtId="0" fontId="4" fillId="0" borderId="13" xfId="5" applyBorder="1" applyAlignment="1">
      <alignment horizontal="center"/>
    </xf>
    <xf numFmtId="0" fontId="4" fillId="0" borderId="0" xfId="5" applyAlignment="1">
      <alignment horizontal="center"/>
    </xf>
    <xf numFmtId="0" fontId="4" fillId="0" borderId="14" xfId="5" applyBorder="1" applyAlignment="1">
      <alignment horizontal="center"/>
    </xf>
    <xf numFmtId="0" fontId="4" fillId="0" borderId="4" xfId="5" applyBorder="1" applyAlignment="1">
      <alignment horizontal="center"/>
    </xf>
    <xf numFmtId="0" fontId="4" fillId="0" borderId="15" xfId="5" applyBorder="1" applyAlignment="1">
      <alignment horizontal="center"/>
    </xf>
    <xf numFmtId="164" fontId="4" fillId="0" borderId="0" xfId="6" applyNumberFormat="1"/>
    <xf numFmtId="164" fontId="4" fillId="0" borderId="0" xfId="5" applyNumberFormat="1"/>
    <xf numFmtId="164" fontId="4" fillId="0" borderId="4" xfId="6" applyNumberFormat="1" applyBorder="1"/>
    <xf numFmtId="0" fontId="4" fillId="0" borderId="4" xfId="5" applyBorder="1"/>
    <xf numFmtId="164" fontId="4" fillId="0" borderId="16" xfId="6" applyNumberFormat="1" applyBorder="1"/>
    <xf numFmtId="0" fontId="3" fillId="0" borderId="0" xfId="5" applyFont="1"/>
    <xf numFmtId="164" fontId="4" fillId="4" borderId="8" xfId="6" applyNumberFormat="1" applyFill="1" applyBorder="1"/>
    <xf numFmtId="164" fontId="4" fillId="4" borderId="6" xfId="6" applyNumberFormat="1" applyFill="1" applyBorder="1"/>
    <xf numFmtId="164" fontId="0" fillId="4" borderId="9" xfId="6" applyNumberFormat="1" applyFont="1" applyFill="1" applyBorder="1"/>
    <xf numFmtId="0" fontId="3" fillId="0" borderId="0" xfId="5" applyNumberFormat="1" applyFont="1" applyAlignment="1"/>
    <xf numFmtId="0" fontId="4" fillId="0" borderId="0" xfId="5" applyFill="1" applyBorder="1"/>
    <xf numFmtId="164" fontId="4" fillId="0" borderId="0" xfId="6" applyNumberFormat="1" applyFill="1" applyBorder="1"/>
    <xf numFmtId="4" fontId="4" fillId="0" borderId="0" xfId="5" applyNumberFormat="1" applyFont="1"/>
    <xf numFmtId="0" fontId="4" fillId="0" borderId="0" xfId="5" applyNumberFormat="1" applyAlignment="1"/>
    <xf numFmtId="164" fontId="0" fillId="0" borderId="0" xfId="6" applyNumberFormat="1" applyFont="1"/>
    <xf numFmtId="0" fontId="4" fillId="0" borderId="0" xfId="5" applyNumberFormat="1" applyFill="1" applyBorder="1" applyAlignment="1"/>
    <xf numFmtId="0" fontId="4" fillId="0" borderId="0" xfId="5" applyNumberFormat="1" applyFont="1" applyFill="1" applyBorder="1" applyAlignment="1"/>
    <xf numFmtId="0" fontId="3" fillId="0" borderId="0" xfId="5" applyNumberFormat="1" applyFont="1" applyFill="1" applyBorder="1" applyAlignment="1"/>
    <xf numFmtId="164" fontId="0" fillId="4" borderId="8" xfId="6" applyNumberFormat="1" applyFont="1" applyFill="1" applyBorder="1"/>
    <xf numFmtId="164" fontId="0" fillId="4" borderId="6" xfId="6" applyNumberFormat="1" applyFont="1" applyFill="1" applyBorder="1"/>
    <xf numFmtId="0" fontId="4" fillId="0" borderId="0" xfId="5" applyNumberFormat="1" applyFont="1" applyAlignment="1"/>
    <xf numFmtId="164" fontId="4" fillId="0" borderId="0" xfId="6" applyNumberFormat="1" applyBorder="1"/>
    <xf numFmtId="0" fontId="4" fillId="0" borderId="0" xfId="5" applyNumberFormat="1" applyFont="1" applyFill="1" applyAlignment="1"/>
    <xf numFmtId="164" fontId="0" fillId="0" borderId="0" xfId="6" applyNumberFormat="1" applyFont="1" applyBorder="1"/>
    <xf numFmtId="164" fontId="0" fillId="0" borderId="0" xfId="6" applyNumberFormat="1" applyFont="1" applyAlignment="1"/>
    <xf numFmtId="164" fontId="0" fillId="4" borderId="8" xfId="6" applyNumberFormat="1" applyFont="1" applyFill="1" applyBorder="1" applyAlignment="1"/>
    <xf numFmtId="164" fontId="0" fillId="4" borderId="6" xfId="6" applyNumberFormat="1" applyFont="1" applyFill="1" applyBorder="1" applyAlignment="1"/>
    <xf numFmtId="4" fontId="4" fillId="0" borderId="0" xfId="5" applyNumberFormat="1" applyFont="1" applyBorder="1" applyAlignment="1"/>
    <xf numFmtId="164" fontId="3" fillId="2" borderId="8" xfId="6" applyNumberFormat="1" applyFont="1" applyFill="1" applyBorder="1"/>
    <xf numFmtId="164" fontId="3" fillId="2" borderId="6" xfId="6" applyNumberFormat="1" applyFont="1" applyFill="1" applyBorder="1"/>
    <xf numFmtId="164" fontId="3" fillId="2" borderId="9" xfId="6" applyNumberFormat="1" applyFont="1" applyFill="1" applyBorder="1"/>
    <xf numFmtId="0" fontId="4" fillId="2" borderId="7" xfId="5" applyFill="1" applyBorder="1"/>
    <xf numFmtId="164" fontId="0" fillId="2" borderId="0" xfId="6" applyNumberFormat="1" applyFont="1" applyFill="1"/>
    <xf numFmtId="164" fontId="4" fillId="2" borderId="0" xfId="6" applyNumberFormat="1" applyFill="1"/>
    <xf numFmtId="14" fontId="4" fillId="0" borderId="0" xfId="5" applyNumberFormat="1" applyFill="1" applyBorder="1" applyAlignment="1">
      <alignment horizontal="center"/>
    </xf>
    <xf numFmtId="0" fontId="6" fillId="0" borderId="0" xfId="0" applyFont="1"/>
    <xf numFmtId="164" fontId="0" fillId="0" borderId="0" xfId="1" applyNumberFormat="1" applyFont="1"/>
    <xf numFmtId="168" fontId="7" fillId="0" borderId="0" xfId="7"/>
    <xf numFmtId="168" fontId="7" fillId="0" borderId="0" xfId="7" applyFill="1" applyBorder="1"/>
    <xf numFmtId="6" fontId="7" fillId="0" borderId="0" xfId="7" applyNumberFormat="1" applyFill="1" applyBorder="1"/>
    <xf numFmtId="165" fontId="7" fillId="0" borderId="0" xfId="8" applyNumberFormat="1" applyFont="1" applyFill="1" applyBorder="1"/>
    <xf numFmtId="9" fontId="7" fillId="0" borderId="0" xfId="8" applyFont="1" applyFill="1" applyBorder="1"/>
    <xf numFmtId="168" fontId="7" fillId="0" borderId="16" xfId="7" applyBorder="1"/>
    <xf numFmtId="10" fontId="7" fillId="0" borderId="0" xfId="8" applyNumberFormat="1" applyFont="1" applyFill="1" applyBorder="1"/>
    <xf numFmtId="167" fontId="7" fillId="0" borderId="0" xfId="7" applyNumberFormat="1" applyAlignment="1">
      <alignment horizontal="right"/>
    </xf>
    <xf numFmtId="44" fontId="7" fillId="0" borderId="0" xfId="9" applyFont="1" applyFill="1" applyBorder="1"/>
    <xf numFmtId="10" fontId="7" fillId="0" borderId="0" xfId="7" applyNumberFormat="1"/>
    <xf numFmtId="164" fontId="7" fillId="0" borderId="0" xfId="6" applyNumberFormat="1" applyFont="1" applyFill="1" applyBorder="1"/>
    <xf numFmtId="1" fontId="7" fillId="0" borderId="0" xfId="6" applyNumberFormat="1" applyFont="1"/>
    <xf numFmtId="167" fontId="7" fillId="2" borderId="0" xfId="9" applyNumberFormat="1" applyFont="1" applyFill="1"/>
    <xf numFmtId="167" fontId="7" fillId="0" borderId="0" xfId="9" applyNumberFormat="1" applyFont="1"/>
    <xf numFmtId="10" fontId="7" fillId="0" borderId="0" xfId="8" applyNumberFormat="1" applyFont="1"/>
    <xf numFmtId="168" fontId="7" fillId="0" borderId="0" xfId="7" applyFont="1"/>
    <xf numFmtId="168" fontId="7" fillId="0" borderId="0" xfId="7" applyAlignment="1">
      <alignment horizontal="center"/>
    </xf>
    <xf numFmtId="164" fontId="7" fillId="0" borderId="0" xfId="6" applyNumberFormat="1" applyFont="1"/>
    <xf numFmtId="168" fontId="7" fillId="0" borderId="0" xfId="7" applyFill="1" applyBorder="1" applyAlignment="1">
      <alignment horizontal="center"/>
    </xf>
    <xf numFmtId="165" fontId="7" fillId="0" borderId="0" xfId="8" applyNumberFormat="1" applyFont="1" applyFill="1" applyBorder="1" applyAlignment="1">
      <alignment horizontal="center"/>
    </xf>
    <xf numFmtId="168" fontId="7" fillId="0" borderId="0" xfId="7" applyBorder="1" applyAlignment="1">
      <alignment horizontal="center"/>
    </xf>
    <xf numFmtId="168" fontId="7" fillId="0" borderId="4" xfId="7" applyFont="1" applyBorder="1" applyAlignment="1">
      <alignment horizontal="left"/>
    </xf>
    <xf numFmtId="168" fontId="7" fillId="0" borderId="4" xfId="7" applyBorder="1" applyAlignment="1">
      <alignment horizontal="center"/>
    </xf>
    <xf numFmtId="168" fontId="7" fillId="0" borderId="0" xfId="7" applyFont="1" applyFill="1" applyBorder="1" applyAlignment="1">
      <alignment horizontal="center"/>
    </xf>
    <xf numFmtId="168" fontId="7" fillId="0" borderId="0" xfId="7" applyFont="1" applyBorder="1" applyAlignment="1">
      <alignment horizontal="center"/>
    </xf>
    <xf numFmtId="168" fontId="7" fillId="0" borderId="0" xfId="7" applyBorder="1"/>
    <xf numFmtId="169" fontId="7" fillId="0" borderId="0" xfId="8" applyNumberFormat="1" applyFont="1"/>
    <xf numFmtId="168" fontId="7" fillId="0" borderId="0" xfId="7" applyAlignment="1">
      <alignment horizontal="left"/>
    </xf>
    <xf numFmtId="167" fontId="7" fillId="0" borderId="0" xfId="7" applyNumberFormat="1"/>
    <xf numFmtId="6" fontId="7" fillId="0" borderId="0" xfId="7" applyNumberFormat="1"/>
    <xf numFmtId="6" fontId="7" fillId="0" borderId="0" xfId="7" applyNumberFormat="1" applyBorder="1"/>
    <xf numFmtId="6" fontId="7" fillId="0" borderId="4" xfId="7" applyNumberFormat="1" applyBorder="1"/>
    <xf numFmtId="0" fontId="7" fillId="0" borderId="0" xfId="10"/>
    <xf numFmtId="0" fontId="7" fillId="0" borderId="0" xfId="10" applyAlignment="1">
      <alignment horizontal="right"/>
    </xf>
    <xf numFmtId="0" fontId="8" fillId="0" borderId="0" xfId="10" applyFont="1"/>
    <xf numFmtId="170" fontId="7" fillId="0" borderId="0" xfId="10" applyNumberFormat="1" applyAlignment="1" applyProtection="1">
      <alignment horizontal="left"/>
    </xf>
    <xf numFmtId="171" fontId="7" fillId="0" borderId="0" xfId="10" applyNumberFormat="1" applyAlignment="1" applyProtection="1">
      <alignment horizontal="left"/>
    </xf>
    <xf numFmtId="8" fontId="7" fillId="0" borderId="0" xfId="10" applyNumberFormat="1"/>
    <xf numFmtId="0" fontId="7" fillId="0" borderId="0" xfId="10" applyBorder="1"/>
    <xf numFmtId="0" fontId="7" fillId="0" borderId="4" xfId="10" applyBorder="1"/>
    <xf numFmtId="0" fontId="7" fillId="0" borderId="4" xfId="10" applyBorder="1" applyAlignment="1">
      <alignment horizontal="center"/>
    </xf>
    <xf numFmtId="0" fontId="7" fillId="0" borderId="0" xfId="10" applyAlignment="1">
      <alignment horizontal="fill"/>
    </xf>
    <xf numFmtId="0" fontId="7" fillId="0" borderId="0" xfId="10" applyBorder="1" applyAlignment="1">
      <alignment horizontal="fill"/>
    </xf>
    <xf numFmtId="10" fontId="7" fillId="0" borderId="0" xfId="10" applyNumberFormat="1" applyProtection="1"/>
    <xf numFmtId="5" fontId="7" fillId="0" borderId="0" xfId="10" applyNumberFormat="1" applyProtection="1"/>
    <xf numFmtId="0" fontId="7" fillId="0" borderId="0" xfId="10" applyFont="1"/>
    <xf numFmtId="37" fontId="7" fillId="0" borderId="4" xfId="10" applyNumberFormat="1" applyBorder="1" applyAlignment="1" applyProtection="1">
      <alignment horizontal="fill"/>
    </xf>
    <xf numFmtId="165" fontId="7" fillId="0" borderId="0" xfId="10" applyNumberFormat="1" applyProtection="1"/>
    <xf numFmtId="165" fontId="7" fillId="0" borderId="0" xfId="8" applyNumberFormat="1" applyFont="1" applyProtection="1"/>
    <xf numFmtId="37" fontId="7" fillId="0" borderId="0" xfId="10" applyNumberFormat="1" applyProtection="1"/>
    <xf numFmtId="0" fontId="9" fillId="0" borderId="0" xfId="10" applyFont="1"/>
    <xf numFmtId="170" fontId="7" fillId="0" borderId="0" xfId="10" applyNumberFormat="1" applyProtection="1"/>
    <xf numFmtId="171" fontId="7" fillId="0" borderId="0" xfId="10" applyNumberFormat="1" applyProtection="1"/>
    <xf numFmtId="0" fontId="7" fillId="0" borderId="0" xfId="10" applyBorder="1" applyAlignment="1">
      <alignment horizontal="center"/>
    </xf>
    <xf numFmtId="0" fontId="7" fillId="0" borderId="0" xfId="10" applyAlignment="1">
      <alignment horizontal="center"/>
    </xf>
    <xf numFmtId="43" fontId="7" fillId="2" borderId="0" xfId="6" applyFont="1" applyFill="1"/>
    <xf numFmtId="10" fontId="7" fillId="5" borderId="0" xfId="10" applyNumberFormat="1" applyFill="1" applyProtection="1"/>
    <xf numFmtId="10" fontId="7" fillId="2" borderId="0" xfId="10" applyNumberFormat="1" applyFill="1" applyProtection="1"/>
    <xf numFmtId="5" fontId="7" fillId="2" borderId="0" xfId="10" applyNumberFormat="1" applyFill="1" applyProtection="1"/>
    <xf numFmtId="43" fontId="7" fillId="2" borderId="0" xfId="6" applyFont="1" applyFill="1" applyProtection="1"/>
    <xf numFmtId="43" fontId="7" fillId="0" borderId="0" xfId="6" applyFont="1" applyProtection="1"/>
    <xf numFmtId="5" fontId="7" fillId="5" borderId="0" xfId="10" applyNumberFormat="1" applyFill="1" applyProtection="1"/>
    <xf numFmtId="5" fontId="7" fillId="0" borderId="0" xfId="10" applyNumberFormat="1" applyAlignment="1" applyProtection="1">
      <alignment horizontal="right"/>
    </xf>
    <xf numFmtId="10" fontId="7" fillId="0" borderId="0" xfId="10" applyNumberFormat="1"/>
    <xf numFmtId="5" fontId="7" fillId="0" borderId="0" xfId="10" applyNumberFormat="1"/>
    <xf numFmtId="165" fontId="7" fillId="0" borderId="0" xfId="8" applyNumberFormat="1" applyFont="1"/>
    <xf numFmtId="7" fontId="7" fillId="0" borderId="0" xfId="10" applyNumberFormat="1"/>
    <xf numFmtId="5" fontId="7" fillId="0" borderId="4" xfId="10" applyNumberFormat="1" applyBorder="1"/>
    <xf numFmtId="165" fontId="7" fillId="0" borderId="4" xfId="8" applyNumberFormat="1" applyFont="1" applyBorder="1"/>
    <xf numFmtId="165" fontId="7" fillId="0" borderId="0" xfId="10" applyNumberFormat="1"/>
    <xf numFmtId="0" fontId="7" fillId="0" borderId="8" xfId="10" applyBorder="1"/>
    <xf numFmtId="0" fontId="7" fillId="0" borderId="9" xfId="10" applyBorder="1"/>
    <xf numFmtId="0" fontId="7" fillId="0" borderId="4" xfId="10" applyBorder="1" applyAlignment="1">
      <alignment horizontal="righ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0" fillId="7" borderId="7" xfId="13" applyFont="1" applyFill="1" applyBorder="1" applyAlignment="1">
      <alignment horizontal="center" wrapText="1"/>
    </xf>
    <xf numFmtId="172" fontId="10" fillId="7" borderId="7" xfId="13" applyNumberFormat="1" applyFont="1" applyFill="1" applyBorder="1" applyAlignment="1">
      <alignment horizontal="center" wrapText="1"/>
    </xf>
    <xf numFmtId="0" fontId="1" fillId="0" borderId="0" xfId="13"/>
    <xf numFmtId="0" fontId="11" fillId="8" borderId="7" xfId="13" applyFont="1" applyFill="1" applyBorder="1" applyAlignment="1">
      <alignment horizontal="center"/>
    </xf>
    <xf numFmtId="0" fontId="12" fillId="0" borderId="7" xfId="13" applyFont="1" applyBorder="1"/>
    <xf numFmtId="172" fontId="12" fillId="0" borderId="7" xfId="13" applyNumberFormat="1" applyFont="1" applyBorder="1"/>
    <xf numFmtId="0" fontId="11" fillId="0" borderId="7" xfId="13" applyFont="1" applyBorder="1" applyAlignment="1">
      <alignment horizontal="center"/>
    </xf>
    <xf numFmtId="172" fontId="1" fillId="0" borderId="0" xfId="13" applyNumberFormat="1"/>
    <xf numFmtId="0" fontId="11" fillId="0" borderId="0" xfId="13" applyFont="1" applyAlignment="1">
      <alignment horizontal="center"/>
    </xf>
    <xf numFmtId="0" fontId="12" fillId="0" borderId="0" xfId="13" applyFont="1"/>
    <xf numFmtId="172" fontId="12" fillId="0" borderId="0" xfId="13" applyNumberFormat="1" applyFont="1"/>
    <xf numFmtId="0" fontId="1" fillId="0" borderId="0" xfId="13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4" xfId="0" applyFill="1" applyBorder="1" applyAlignment="1">
      <alignment horizontal="center"/>
    </xf>
    <xf numFmtId="167" fontId="13" fillId="0" borderId="0" xfId="14" applyNumberFormat="1" applyFill="1"/>
    <xf numFmtId="164" fontId="0" fillId="0" borderId="0" xfId="15" applyNumberFormat="1" applyFont="1" applyFill="1" applyBorder="1"/>
    <xf numFmtId="167" fontId="0" fillId="0" borderId="0" xfId="0" applyNumberFormat="1" applyFill="1" applyBorder="1"/>
    <xf numFmtId="164" fontId="0" fillId="0" borderId="0" xfId="15" applyNumberFormat="1" applyFont="1"/>
    <xf numFmtId="167" fontId="13" fillId="0" borderId="4" xfId="14" applyNumberFormat="1" applyFill="1" applyBorder="1"/>
    <xf numFmtId="167" fontId="13" fillId="0" borderId="0" xfId="14" applyNumberFormat="1"/>
    <xf numFmtId="164" fontId="13" fillId="0" borderId="0" xfId="15" applyNumberFormat="1" applyFill="1" applyBorder="1"/>
    <xf numFmtId="167" fontId="13" fillId="0" borderId="0" xfId="14" applyNumberFormat="1" applyFill="1" applyBorder="1"/>
    <xf numFmtId="167" fontId="13" fillId="0" borderId="0" xfId="14" applyNumberFormat="1" applyBorder="1"/>
    <xf numFmtId="9" fontId="0" fillId="0" borderId="0" xfId="16" applyFont="1"/>
    <xf numFmtId="167" fontId="13" fillId="0" borderId="4" xfId="14" applyNumberFormat="1" applyBorder="1"/>
    <xf numFmtId="167" fontId="0" fillId="0" borderId="0" xfId="0" applyNumberFormat="1" applyFill="1"/>
    <xf numFmtId="0" fontId="0" fillId="0" borderId="0" xfId="0" applyFill="1"/>
    <xf numFmtId="44" fontId="13" fillId="0" borderId="0" xfId="14"/>
    <xf numFmtId="164" fontId="13" fillId="0" borderId="0" xfId="15" applyNumberFormat="1"/>
    <xf numFmtId="167" fontId="13" fillId="0" borderId="8" xfId="14" quotePrefix="1" applyNumberFormat="1" applyFont="1" applyFill="1" applyBorder="1" applyAlignment="1">
      <alignment horizontal="center"/>
    </xf>
    <xf numFmtId="167" fontId="13" fillId="0" borderId="6" xfId="14" quotePrefix="1" applyNumberFormat="1" applyFont="1" applyFill="1" applyBorder="1" applyAlignment="1">
      <alignment horizontal="center"/>
    </xf>
    <xf numFmtId="167" fontId="0" fillId="0" borderId="9" xfId="0" applyNumberFormat="1" applyFill="1" applyBorder="1" applyAlignment="1">
      <alignment horizontal="center"/>
    </xf>
    <xf numFmtId="167" fontId="0" fillId="0" borderId="0" xfId="0" applyNumberFormat="1"/>
    <xf numFmtId="9" fontId="13" fillId="0" borderId="0" xfId="16"/>
    <xf numFmtId="0" fontId="0" fillId="2" borderId="7" xfId="0" applyFill="1" applyBorder="1" applyAlignment="1">
      <alignment horizontal="center"/>
    </xf>
    <xf numFmtId="167" fontId="0" fillId="0" borderId="4" xfId="0" applyNumberFormat="1" applyBorder="1"/>
    <xf numFmtId="167" fontId="13" fillId="0" borderId="17" xfId="14" applyNumberFormat="1" applyBorder="1"/>
    <xf numFmtId="167" fontId="0" fillId="0" borderId="17" xfId="0" applyNumberFormat="1" applyBorder="1"/>
    <xf numFmtId="0" fontId="0" fillId="0" borderId="17" xfId="0" applyBorder="1"/>
    <xf numFmtId="0" fontId="14" fillId="0" borderId="0" xfId="0" applyFont="1"/>
    <xf numFmtId="0" fontId="1" fillId="0" borderId="0" xfId="5" applyFont="1"/>
    <xf numFmtId="0" fontId="15" fillId="0" borderId="0" xfId="5" applyFont="1"/>
    <xf numFmtId="44" fontId="0" fillId="3" borderId="0" xfId="4" applyFont="1" applyFill="1"/>
    <xf numFmtId="43" fontId="7" fillId="0" borderId="0" xfId="1" applyFont="1"/>
    <xf numFmtId="0" fontId="16" fillId="0" borderId="4" xfId="10" applyFont="1" applyBorder="1"/>
    <xf numFmtId="0" fontId="16" fillId="0" borderId="4" xfId="10" applyFont="1" applyBorder="1" applyAlignment="1">
      <alignment horizontal="center"/>
    </xf>
    <xf numFmtId="0" fontId="16" fillId="0" borderId="0" xfId="10" applyFont="1" applyAlignment="1">
      <alignment horizontal="fill"/>
    </xf>
    <xf numFmtId="0" fontId="16" fillId="0" borderId="0" xfId="10" applyFont="1"/>
    <xf numFmtId="10" fontId="16" fillId="0" borderId="0" xfId="10" applyNumberFormat="1" applyFont="1" applyProtection="1"/>
    <xf numFmtId="164" fontId="16" fillId="0" borderId="0" xfId="15" applyNumberFormat="1" applyFont="1"/>
    <xf numFmtId="7" fontId="16" fillId="0" borderId="0" xfId="10" applyNumberFormat="1" applyFont="1" applyProtection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/>
    <xf numFmtId="0" fontId="17" fillId="0" borderId="0" xfId="3" applyFont="1"/>
    <xf numFmtId="164" fontId="17" fillId="0" borderId="0" xfId="1" applyNumberFormat="1" applyFont="1"/>
    <xf numFmtId="164" fontId="17" fillId="0" borderId="4" xfId="1" applyNumberFormat="1" applyFont="1" applyBorder="1"/>
    <xf numFmtId="164" fontId="17" fillId="0" borderId="0" xfId="3" applyNumberFormat="1" applyFont="1"/>
    <xf numFmtId="0" fontId="1" fillId="0" borderId="0" xfId="0" quotePrefix="1" applyFont="1" applyAlignment="1">
      <alignment horizontal="center"/>
    </xf>
    <xf numFmtId="164" fontId="1" fillId="0" borderId="0" xfId="1" applyNumberFormat="1" applyFont="1" applyFill="1"/>
    <xf numFmtId="164" fontId="17" fillId="0" borderId="0" xfId="1" applyNumberFormat="1" applyFont="1" applyFill="1"/>
    <xf numFmtId="164" fontId="1" fillId="0" borderId="4" xfId="1" applyNumberFormat="1" applyFont="1" applyBorder="1"/>
    <xf numFmtId="165" fontId="1" fillId="0" borderId="0" xfId="2" applyNumberFormat="1" applyFont="1"/>
    <xf numFmtId="164" fontId="1" fillId="0" borderId="0" xfId="1" applyNumberFormat="1" applyFont="1"/>
    <xf numFmtId="0" fontId="1" fillId="0" borderId="0" xfId="0" quotePrefix="1" applyFont="1" applyAlignment="1">
      <alignment horizontal="left"/>
    </xf>
    <xf numFmtId="164" fontId="1" fillId="6" borderId="0" xfId="0" applyNumberFormat="1" applyFont="1" applyFill="1"/>
    <xf numFmtId="43" fontId="1" fillId="0" borderId="0" xfId="0" applyNumberFormat="1" applyFont="1"/>
    <xf numFmtId="43" fontId="1" fillId="0" borderId="0" xfId="1" applyFont="1"/>
    <xf numFmtId="0" fontId="14" fillId="0" borderId="0" xfId="3" applyFont="1" applyBorder="1"/>
    <xf numFmtId="164" fontId="1" fillId="0" borderId="4" xfId="0" applyNumberFormat="1" applyFont="1" applyBorder="1"/>
    <xf numFmtId="0" fontId="1" fillId="0" borderId="0" xfId="0" applyFont="1" applyFill="1" applyBorder="1" applyAlignment="1">
      <alignment horizontal="center"/>
    </xf>
    <xf numFmtId="164" fontId="0" fillId="0" borderId="4" xfId="1" applyNumberFormat="1" applyFont="1" applyBorder="1"/>
    <xf numFmtId="0" fontId="1" fillId="0" borderId="0" xfId="3" quotePrefix="1" applyFont="1" applyBorder="1"/>
    <xf numFmtId="0" fontId="17" fillId="0" borderId="0" xfId="3" applyFont="1" applyFill="1"/>
    <xf numFmtId="164" fontId="17" fillId="0" borderId="0" xfId="6" applyNumberFormat="1" applyFont="1"/>
    <xf numFmtId="0" fontId="3" fillId="0" borderId="6" xfId="0" applyFont="1" applyBorder="1" applyAlignment="1">
      <alignment horizontal="center"/>
    </xf>
    <xf numFmtId="0" fontId="4" fillId="0" borderId="10" xfId="5" applyBorder="1" applyAlignment="1">
      <alignment horizontal="center"/>
    </xf>
    <xf numFmtId="0" fontId="4" fillId="0" borderId="5" xfId="5" applyBorder="1" applyAlignment="1">
      <alignment horizontal="center"/>
    </xf>
    <xf numFmtId="0" fontId="4" fillId="0" borderId="11" xfId="5" applyBorder="1" applyAlignment="1">
      <alignment horizontal="center"/>
    </xf>
    <xf numFmtId="167" fontId="13" fillId="2" borderId="8" xfId="14" applyNumberFormat="1" applyFont="1" applyFill="1" applyBorder="1" applyAlignment="1">
      <alignment horizontal="center"/>
    </xf>
    <xf numFmtId="167" fontId="13" fillId="2" borderId="6" xfId="14" applyNumberFormat="1" applyFill="1" applyBorder="1" applyAlignment="1">
      <alignment horizontal="center"/>
    </xf>
    <xf numFmtId="167" fontId="13" fillId="2" borderId="9" xfId="14" applyNumberFormat="1" applyFill="1" applyBorder="1" applyAlignment="1">
      <alignment horizontal="center"/>
    </xf>
  </cellXfs>
  <cellStyles count="17">
    <cellStyle name="Comma" xfId="1" builtinId="3"/>
    <cellStyle name="Comma 2" xfId="6"/>
    <cellStyle name="Comma 3" xfId="15"/>
    <cellStyle name="Currency" xfId="14" builtinId="4"/>
    <cellStyle name="Currency 2" xfId="4"/>
    <cellStyle name="Currency 3" xfId="9"/>
    <cellStyle name="Currency0" xfId="11"/>
    <cellStyle name="Fixed" xfId="12"/>
    <cellStyle name="Normal" xfId="0" builtinId="0"/>
    <cellStyle name="Normal 2" xfId="5"/>
    <cellStyle name="Normal 3" xfId="13"/>
    <cellStyle name="Normal_BNDSIZ01 Template ver 2.0" xfId="10"/>
    <cellStyle name="Normal_Equivalence_drainage_taz2 ver 2" xfId="3"/>
    <cellStyle name="Normal_Home.Payment" xfId="7"/>
    <cellStyle name="Percent" xfId="2" builtinId="5"/>
    <cellStyle name="Percent 2" xfId="8"/>
    <cellStyle name="Percent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off\Projects\BNDSIZ01%20Template%20ver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ond Size"/>
      <sheetName val="B"/>
      <sheetName val="C"/>
      <sheetName val="D"/>
      <sheetName val="E"/>
      <sheetName val="F"/>
      <sheetName val="G"/>
    </sheetNames>
    <sheetDataSet>
      <sheetData sheetId="0" refreshError="1">
        <row r="8">
          <cell r="B8">
            <v>34535.477407407408</v>
          </cell>
        </row>
        <row r="12">
          <cell r="C12" t="str">
            <v>H</v>
          </cell>
        </row>
        <row r="13">
          <cell r="C13" t="str">
            <v>W:\Geoff\Projects\[BNDSIZ01 Template ver 2.0.xls]A</v>
          </cell>
        </row>
        <row r="169">
          <cell r="O169" t="str">
            <v>(1) Dollar amounts are in January 1, 1994 dollars.</v>
          </cell>
        </row>
        <row r="180">
          <cell r="O180" t="str">
            <v>Source:  Angus McDonald &amp; Associates.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21"/>
  <sheetViews>
    <sheetView workbookViewId="0"/>
  </sheetViews>
  <sheetFormatPr defaultRowHeight="12.75"/>
  <cols>
    <col min="1" max="1" width="18.5703125" bestFit="1" customWidth="1"/>
    <col min="2" max="2" width="22.5703125" bestFit="1" customWidth="1"/>
  </cols>
  <sheetData>
    <row r="10" spans="1:2">
      <c r="A10" t="s">
        <v>66</v>
      </c>
      <c r="B10" t="s">
        <v>59</v>
      </c>
    </row>
    <row r="12" spans="1:2">
      <c r="A12" t="s">
        <v>73</v>
      </c>
      <c r="B12" t="s">
        <v>76</v>
      </c>
    </row>
    <row r="13" spans="1:2">
      <c r="A13" t="s">
        <v>74</v>
      </c>
      <c r="B13" s="171" t="s">
        <v>227</v>
      </c>
    </row>
    <row r="14" spans="1:2">
      <c r="A14" t="s">
        <v>75</v>
      </c>
      <c r="B14" s="172">
        <v>41075</v>
      </c>
    </row>
    <row r="17" spans="1:2">
      <c r="A17" s="5" t="s">
        <v>64</v>
      </c>
    </row>
    <row r="18" spans="1:2">
      <c r="A18" t="s">
        <v>65</v>
      </c>
      <c r="B18" t="s">
        <v>60</v>
      </c>
    </row>
    <row r="21" spans="1:2">
      <c r="A21" t="s">
        <v>311</v>
      </c>
      <c r="B21" s="21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topLeftCell="A7" zoomScale="75" workbookViewId="0">
      <selection activeCell="C11" sqref="C11"/>
    </sheetView>
  </sheetViews>
  <sheetFormatPr defaultRowHeight="12.75"/>
  <cols>
    <col min="1" max="1" width="41.28515625" customWidth="1"/>
    <col min="3" max="3" width="12.28515625" bestFit="1" customWidth="1"/>
    <col min="4" max="4" width="9.7109375" bestFit="1" customWidth="1"/>
    <col min="5" max="5" width="11.42578125" bestFit="1" customWidth="1"/>
    <col min="6" max="6" width="9.7109375" bestFit="1" customWidth="1"/>
    <col min="7" max="7" width="16.140625" bestFit="1" customWidth="1"/>
    <col min="8" max="8" width="11.42578125" bestFit="1" customWidth="1"/>
    <col min="9" max="9" width="11.28515625" bestFit="1" customWidth="1"/>
    <col min="257" max="257" width="41.28515625" customWidth="1"/>
    <col min="259" max="259" width="12.28515625" bestFit="1" customWidth="1"/>
    <col min="260" max="260" width="9.7109375" bestFit="1" customWidth="1"/>
    <col min="261" max="261" width="11.42578125" bestFit="1" customWidth="1"/>
    <col min="262" max="262" width="9.7109375" bestFit="1" customWidth="1"/>
    <col min="263" max="263" width="11.28515625" bestFit="1" customWidth="1"/>
    <col min="265" max="265" width="11.28515625" bestFit="1" customWidth="1"/>
    <col min="513" max="513" width="41.28515625" customWidth="1"/>
    <col min="515" max="515" width="12.28515625" bestFit="1" customWidth="1"/>
    <col min="516" max="516" width="9.7109375" bestFit="1" customWidth="1"/>
    <col min="517" max="517" width="11.42578125" bestFit="1" customWidth="1"/>
    <col min="518" max="518" width="9.7109375" bestFit="1" customWidth="1"/>
    <col min="519" max="519" width="11.28515625" bestFit="1" customWidth="1"/>
    <col min="521" max="521" width="11.28515625" bestFit="1" customWidth="1"/>
    <col min="769" max="769" width="41.28515625" customWidth="1"/>
    <col min="771" max="771" width="12.28515625" bestFit="1" customWidth="1"/>
    <col min="772" max="772" width="9.7109375" bestFit="1" customWidth="1"/>
    <col min="773" max="773" width="11.42578125" bestFit="1" customWidth="1"/>
    <col min="774" max="774" width="9.7109375" bestFit="1" customWidth="1"/>
    <col min="775" max="775" width="11.28515625" bestFit="1" customWidth="1"/>
    <col min="777" max="777" width="11.28515625" bestFit="1" customWidth="1"/>
    <col min="1025" max="1025" width="41.28515625" customWidth="1"/>
    <col min="1027" max="1027" width="12.28515625" bestFit="1" customWidth="1"/>
    <col min="1028" max="1028" width="9.7109375" bestFit="1" customWidth="1"/>
    <col min="1029" max="1029" width="11.42578125" bestFit="1" customWidth="1"/>
    <col min="1030" max="1030" width="9.7109375" bestFit="1" customWidth="1"/>
    <col min="1031" max="1031" width="11.28515625" bestFit="1" customWidth="1"/>
    <col min="1033" max="1033" width="11.28515625" bestFit="1" customWidth="1"/>
    <col min="1281" max="1281" width="41.28515625" customWidth="1"/>
    <col min="1283" max="1283" width="12.28515625" bestFit="1" customWidth="1"/>
    <col min="1284" max="1284" width="9.7109375" bestFit="1" customWidth="1"/>
    <col min="1285" max="1285" width="11.42578125" bestFit="1" customWidth="1"/>
    <col min="1286" max="1286" width="9.7109375" bestFit="1" customWidth="1"/>
    <col min="1287" max="1287" width="11.28515625" bestFit="1" customWidth="1"/>
    <col min="1289" max="1289" width="11.28515625" bestFit="1" customWidth="1"/>
    <col min="1537" max="1537" width="41.28515625" customWidth="1"/>
    <col min="1539" max="1539" width="12.28515625" bestFit="1" customWidth="1"/>
    <col min="1540" max="1540" width="9.7109375" bestFit="1" customWidth="1"/>
    <col min="1541" max="1541" width="11.42578125" bestFit="1" customWidth="1"/>
    <col min="1542" max="1542" width="9.7109375" bestFit="1" customWidth="1"/>
    <col min="1543" max="1543" width="11.28515625" bestFit="1" customWidth="1"/>
    <col min="1545" max="1545" width="11.28515625" bestFit="1" customWidth="1"/>
    <col min="1793" max="1793" width="41.28515625" customWidth="1"/>
    <col min="1795" max="1795" width="12.28515625" bestFit="1" customWidth="1"/>
    <col min="1796" max="1796" width="9.7109375" bestFit="1" customWidth="1"/>
    <col min="1797" max="1797" width="11.42578125" bestFit="1" customWidth="1"/>
    <col min="1798" max="1798" width="9.7109375" bestFit="1" customWidth="1"/>
    <col min="1799" max="1799" width="11.28515625" bestFit="1" customWidth="1"/>
    <col min="1801" max="1801" width="11.28515625" bestFit="1" customWidth="1"/>
    <col min="2049" max="2049" width="41.28515625" customWidth="1"/>
    <col min="2051" max="2051" width="12.28515625" bestFit="1" customWidth="1"/>
    <col min="2052" max="2052" width="9.7109375" bestFit="1" customWidth="1"/>
    <col min="2053" max="2053" width="11.42578125" bestFit="1" customWidth="1"/>
    <col min="2054" max="2054" width="9.7109375" bestFit="1" customWidth="1"/>
    <col min="2055" max="2055" width="11.28515625" bestFit="1" customWidth="1"/>
    <col min="2057" max="2057" width="11.28515625" bestFit="1" customWidth="1"/>
    <col min="2305" max="2305" width="41.28515625" customWidth="1"/>
    <col min="2307" max="2307" width="12.28515625" bestFit="1" customWidth="1"/>
    <col min="2308" max="2308" width="9.7109375" bestFit="1" customWidth="1"/>
    <col min="2309" max="2309" width="11.42578125" bestFit="1" customWidth="1"/>
    <col min="2310" max="2310" width="9.7109375" bestFit="1" customWidth="1"/>
    <col min="2311" max="2311" width="11.28515625" bestFit="1" customWidth="1"/>
    <col min="2313" max="2313" width="11.28515625" bestFit="1" customWidth="1"/>
    <col min="2561" max="2561" width="41.28515625" customWidth="1"/>
    <col min="2563" max="2563" width="12.28515625" bestFit="1" customWidth="1"/>
    <col min="2564" max="2564" width="9.7109375" bestFit="1" customWidth="1"/>
    <col min="2565" max="2565" width="11.42578125" bestFit="1" customWidth="1"/>
    <col min="2566" max="2566" width="9.7109375" bestFit="1" customWidth="1"/>
    <col min="2567" max="2567" width="11.28515625" bestFit="1" customWidth="1"/>
    <col min="2569" max="2569" width="11.28515625" bestFit="1" customWidth="1"/>
    <col min="2817" max="2817" width="41.28515625" customWidth="1"/>
    <col min="2819" max="2819" width="12.28515625" bestFit="1" customWidth="1"/>
    <col min="2820" max="2820" width="9.7109375" bestFit="1" customWidth="1"/>
    <col min="2821" max="2821" width="11.42578125" bestFit="1" customWidth="1"/>
    <col min="2822" max="2822" width="9.7109375" bestFit="1" customWidth="1"/>
    <col min="2823" max="2823" width="11.28515625" bestFit="1" customWidth="1"/>
    <col min="2825" max="2825" width="11.28515625" bestFit="1" customWidth="1"/>
    <col min="3073" max="3073" width="41.28515625" customWidth="1"/>
    <col min="3075" max="3075" width="12.28515625" bestFit="1" customWidth="1"/>
    <col min="3076" max="3076" width="9.7109375" bestFit="1" customWidth="1"/>
    <col min="3077" max="3077" width="11.42578125" bestFit="1" customWidth="1"/>
    <col min="3078" max="3078" width="9.7109375" bestFit="1" customWidth="1"/>
    <col min="3079" max="3079" width="11.28515625" bestFit="1" customWidth="1"/>
    <col min="3081" max="3081" width="11.28515625" bestFit="1" customWidth="1"/>
    <col min="3329" max="3329" width="41.28515625" customWidth="1"/>
    <col min="3331" max="3331" width="12.28515625" bestFit="1" customWidth="1"/>
    <col min="3332" max="3332" width="9.7109375" bestFit="1" customWidth="1"/>
    <col min="3333" max="3333" width="11.42578125" bestFit="1" customWidth="1"/>
    <col min="3334" max="3334" width="9.7109375" bestFit="1" customWidth="1"/>
    <col min="3335" max="3335" width="11.28515625" bestFit="1" customWidth="1"/>
    <col min="3337" max="3337" width="11.28515625" bestFit="1" customWidth="1"/>
    <col min="3585" max="3585" width="41.28515625" customWidth="1"/>
    <col min="3587" max="3587" width="12.28515625" bestFit="1" customWidth="1"/>
    <col min="3588" max="3588" width="9.7109375" bestFit="1" customWidth="1"/>
    <col min="3589" max="3589" width="11.42578125" bestFit="1" customWidth="1"/>
    <col min="3590" max="3590" width="9.7109375" bestFit="1" customWidth="1"/>
    <col min="3591" max="3591" width="11.28515625" bestFit="1" customWidth="1"/>
    <col min="3593" max="3593" width="11.28515625" bestFit="1" customWidth="1"/>
    <col min="3841" max="3841" width="41.28515625" customWidth="1"/>
    <col min="3843" max="3843" width="12.28515625" bestFit="1" customWidth="1"/>
    <col min="3844" max="3844" width="9.7109375" bestFit="1" customWidth="1"/>
    <col min="3845" max="3845" width="11.42578125" bestFit="1" customWidth="1"/>
    <col min="3846" max="3846" width="9.7109375" bestFit="1" customWidth="1"/>
    <col min="3847" max="3847" width="11.28515625" bestFit="1" customWidth="1"/>
    <col min="3849" max="3849" width="11.28515625" bestFit="1" customWidth="1"/>
    <col min="4097" max="4097" width="41.28515625" customWidth="1"/>
    <col min="4099" max="4099" width="12.28515625" bestFit="1" customWidth="1"/>
    <col min="4100" max="4100" width="9.7109375" bestFit="1" customWidth="1"/>
    <col min="4101" max="4101" width="11.42578125" bestFit="1" customWidth="1"/>
    <col min="4102" max="4102" width="9.7109375" bestFit="1" customWidth="1"/>
    <col min="4103" max="4103" width="11.28515625" bestFit="1" customWidth="1"/>
    <col min="4105" max="4105" width="11.28515625" bestFit="1" customWidth="1"/>
    <col min="4353" max="4353" width="41.28515625" customWidth="1"/>
    <col min="4355" max="4355" width="12.28515625" bestFit="1" customWidth="1"/>
    <col min="4356" max="4356" width="9.7109375" bestFit="1" customWidth="1"/>
    <col min="4357" max="4357" width="11.42578125" bestFit="1" customWidth="1"/>
    <col min="4358" max="4358" width="9.7109375" bestFit="1" customWidth="1"/>
    <col min="4359" max="4359" width="11.28515625" bestFit="1" customWidth="1"/>
    <col min="4361" max="4361" width="11.28515625" bestFit="1" customWidth="1"/>
    <col min="4609" max="4609" width="41.28515625" customWidth="1"/>
    <col min="4611" max="4611" width="12.28515625" bestFit="1" customWidth="1"/>
    <col min="4612" max="4612" width="9.7109375" bestFit="1" customWidth="1"/>
    <col min="4613" max="4613" width="11.42578125" bestFit="1" customWidth="1"/>
    <col min="4614" max="4614" width="9.7109375" bestFit="1" customWidth="1"/>
    <col min="4615" max="4615" width="11.28515625" bestFit="1" customWidth="1"/>
    <col min="4617" max="4617" width="11.28515625" bestFit="1" customWidth="1"/>
    <col min="4865" max="4865" width="41.28515625" customWidth="1"/>
    <col min="4867" max="4867" width="12.28515625" bestFit="1" customWidth="1"/>
    <col min="4868" max="4868" width="9.7109375" bestFit="1" customWidth="1"/>
    <col min="4869" max="4869" width="11.42578125" bestFit="1" customWidth="1"/>
    <col min="4870" max="4870" width="9.7109375" bestFit="1" customWidth="1"/>
    <col min="4871" max="4871" width="11.28515625" bestFit="1" customWidth="1"/>
    <col min="4873" max="4873" width="11.28515625" bestFit="1" customWidth="1"/>
    <col min="5121" max="5121" width="41.28515625" customWidth="1"/>
    <col min="5123" max="5123" width="12.28515625" bestFit="1" customWidth="1"/>
    <col min="5124" max="5124" width="9.7109375" bestFit="1" customWidth="1"/>
    <col min="5125" max="5125" width="11.42578125" bestFit="1" customWidth="1"/>
    <col min="5126" max="5126" width="9.7109375" bestFit="1" customWidth="1"/>
    <col min="5127" max="5127" width="11.28515625" bestFit="1" customWidth="1"/>
    <col min="5129" max="5129" width="11.28515625" bestFit="1" customWidth="1"/>
    <col min="5377" max="5377" width="41.28515625" customWidth="1"/>
    <col min="5379" max="5379" width="12.28515625" bestFit="1" customWidth="1"/>
    <col min="5380" max="5380" width="9.7109375" bestFit="1" customWidth="1"/>
    <col min="5381" max="5381" width="11.42578125" bestFit="1" customWidth="1"/>
    <col min="5382" max="5382" width="9.7109375" bestFit="1" customWidth="1"/>
    <col min="5383" max="5383" width="11.28515625" bestFit="1" customWidth="1"/>
    <col min="5385" max="5385" width="11.28515625" bestFit="1" customWidth="1"/>
    <col min="5633" max="5633" width="41.28515625" customWidth="1"/>
    <col min="5635" max="5635" width="12.28515625" bestFit="1" customWidth="1"/>
    <col min="5636" max="5636" width="9.7109375" bestFit="1" customWidth="1"/>
    <col min="5637" max="5637" width="11.42578125" bestFit="1" customWidth="1"/>
    <col min="5638" max="5638" width="9.7109375" bestFit="1" customWidth="1"/>
    <col min="5639" max="5639" width="11.28515625" bestFit="1" customWidth="1"/>
    <col min="5641" max="5641" width="11.28515625" bestFit="1" customWidth="1"/>
    <col min="5889" max="5889" width="41.28515625" customWidth="1"/>
    <col min="5891" max="5891" width="12.28515625" bestFit="1" customWidth="1"/>
    <col min="5892" max="5892" width="9.7109375" bestFit="1" customWidth="1"/>
    <col min="5893" max="5893" width="11.42578125" bestFit="1" customWidth="1"/>
    <col min="5894" max="5894" width="9.7109375" bestFit="1" customWidth="1"/>
    <col min="5895" max="5895" width="11.28515625" bestFit="1" customWidth="1"/>
    <col min="5897" max="5897" width="11.28515625" bestFit="1" customWidth="1"/>
    <col min="6145" max="6145" width="41.28515625" customWidth="1"/>
    <col min="6147" max="6147" width="12.28515625" bestFit="1" customWidth="1"/>
    <col min="6148" max="6148" width="9.7109375" bestFit="1" customWidth="1"/>
    <col min="6149" max="6149" width="11.42578125" bestFit="1" customWidth="1"/>
    <col min="6150" max="6150" width="9.7109375" bestFit="1" customWidth="1"/>
    <col min="6151" max="6151" width="11.28515625" bestFit="1" customWidth="1"/>
    <col min="6153" max="6153" width="11.28515625" bestFit="1" customWidth="1"/>
    <col min="6401" max="6401" width="41.28515625" customWidth="1"/>
    <col min="6403" max="6403" width="12.28515625" bestFit="1" customWidth="1"/>
    <col min="6404" max="6404" width="9.7109375" bestFit="1" customWidth="1"/>
    <col min="6405" max="6405" width="11.42578125" bestFit="1" customWidth="1"/>
    <col min="6406" max="6406" width="9.7109375" bestFit="1" customWidth="1"/>
    <col min="6407" max="6407" width="11.28515625" bestFit="1" customWidth="1"/>
    <col min="6409" max="6409" width="11.28515625" bestFit="1" customWidth="1"/>
    <col min="6657" max="6657" width="41.28515625" customWidth="1"/>
    <col min="6659" max="6659" width="12.28515625" bestFit="1" customWidth="1"/>
    <col min="6660" max="6660" width="9.7109375" bestFit="1" customWidth="1"/>
    <col min="6661" max="6661" width="11.42578125" bestFit="1" customWidth="1"/>
    <col min="6662" max="6662" width="9.7109375" bestFit="1" customWidth="1"/>
    <col min="6663" max="6663" width="11.28515625" bestFit="1" customWidth="1"/>
    <col min="6665" max="6665" width="11.28515625" bestFit="1" customWidth="1"/>
    <col min="6913" max="6913" width="41.28515625" customWidth="1"/>
    <col min="6915" max="6915" width="12.28515625" bestFit="1" customWidth="1"/>
    <col min="6916" max="6916" width="9.7109375" bestFit="1" customWidth="1"/>
    <col min="6917" max="6917" width="11.42578125" bestFit="1" customWidth="1"/>
    <col min="6918" max="6918" width="9.7109375" bestFit="1" customWidth="1"/>
    <col min="6919" max="6919" width="11.28515625" bestFit="1" customWidth="1"/>
    <col min="6921" max="6921" width="11.28515625" bestFit="1" customWidth="1"/>
    <col min="7169" max="7169" width="41.28515625" customWidth="1"/>
    <col min="7171" max="7171" width="12.28515625" bestFit="1" customWidth="1"/>
    <col min="7172" max="7172" width="9.7109375" bestFit="1" customWidth="1"/>
    <col min="7173" max="7173" width="11.42578125" bestFit="1" customWidth="1"/>
    <col min="7174" max="7174" width="9.7109375" bestFit="1" customWidth="1"/>
    <col min="7175" max="7175" width="11.28515625" bestFit="1" customWidth="1"/>
    <col min="7177" max="7177" width="11.28515625" bestFit="1" customWidth="1"/>
    <col min="7425" max="7425" width="41.28515625" customWidth="1"/>
    <col min="7427" max="7427" width="12.28515625" bestFit="1" customWidth="1"/>
    <col min="7428" max="7428" width="9.7109375" bestFit="1" customWidth="1"/>
    <col min="7429" max="7429" width="11.42578125" bestFit="1" customWidth="1"/>
    <col min="7430" max="7430" width="9.7109375" bestFit="1" customWidth="1"/>
    <col min="7431" max="7431" width="11.28515625" bestFit="1" customWidth="1"/>
    <col min="7433" max="7433" width="11.28515625" bestFit="1" customWidth="1"/>
    <col min="7681" max="7681" width="41.28515625" customWidth="1"/>
    <col min="7683" max="7683" width="12.28515625" bestFit="1" customWidth="1"/>
    <col min="7684" max="7684" width="9.7109375" bestFit="1" customWidth="1"/>
    <col min="7685" max="7685" width="11.42578125" bestFit="1" customWidth="1"/>
    <col min="7686" max="7686" width="9.7109375" bestFit="1" customWidth="1"/>
    <col min="7687" max="7687" width="11.28515625" bestFit="1" customWidth="1"/>
    <col min="7689" max="7689" width="11.28515625" bestFit="1" customWidth="1"/>
    <col min="7937" max="7937" width="41.28515625" customWidth="1"/>
    <col min="7939" max="7939" width="12.28515625" bestFit="1" customWidth="1"/>
    <col min="7940" max="7940" width="9.7109375" bestFit="1" customWidth="1"/>
    <col min="7941" max="7941" width="11.42578125" bestFit="1" customWidth="1"/>
    <col min="7942" max="7942" width="9.7109375" bestFit="1" customWidth="1"/>
    <col min="7943" max="7943" width="11.28515625" bestFit="1" customWidth="1"/>
    <col min="7945" max="7945" width="11.28515625" bestFit="1" customWidth="1"/>
    <col min="8193" max="8193" width="41.28515625" customWidth="1"/>
    <col min="8195" max="8195" width="12.28515625" bestFit="1" customWidth="1"/>
    <col min="8196" max="8196" width="9.7109375" bestFit="1" customWidth="1"/>
    <col min="8197" max="8197" width="11.42578125" bestFit="1" customWidth="1"/>
    <col min="8198" max="8198" width="9.7109375" bestFit="1" customWidth="1"/>
    <col min="8199" max="8199" width="11.28515625" bestFit="1" customWidth="1"/>
    <col min="8201" max="8201" width="11.28515625" bestFit="1" customWidth="1"/>
    <col min="8449" max="8449" width="41.28515625" customWidth="1"/>
    <col min="8451" max="8451" width="12.28515625" bestFit="1" customWidth="1"/>
    <col min="8452" max="8452" width="9.7109375" bestFit="1" customWidth="1"/>
    <col min="8453" max="8453" width="11.42578125" bestFit="1" customWidth="1"/>
    <col min="8454" max="8454" width="9.7109375" bestFit="1" customWidth="1"/>
    <col min="8455" max="8455" width="11.28515625" bestFit="1" customWidth="1"/>
    <col min="8457" max="8457" width="11.28515625" bestFit="1" customWidth="1"/>
    <col min="8705" max="8705" width="41.28515625" customWidth="1"/>
    <col min="8707" max="8707" width="12.28515625" bestFit="1" customWidth="1"/>
    <col min="8708" max="8708" width="9.7109375" bestFit="1" customWidth="1"/>
    <col min="8709" max="8709" width="11.42578125" bestFit="1" customWidth="1"/>
    <col min="8710" max="8710" width="9.7109375" bestFit="1" customWidth="1"/>
    <col min="8711" max="8711" width="11.28515625" bestFit="1" customWidth="1"/>
    <col min="8713" max="8713" width="11.28515625" bestFit="1" customWidth="1"/>
    <col min="8961" max="8961" width="41.28515625" customWidth="1"/>
    <col min="8963" max="8963" width="12.28515625" bestFit="1" customWidth="1"/>
    <col min="8964" max="8964" width="9.7109375" bestFit="1" customWidth="1"/>
    <col min="8965" max="8965" width="11.42578125" bestFit="1" customWidth="1"/>
    <col min="8966" max="8966" width="9.7109375" bestFit="1" customWidth="1"/>
    <col min="8967" max="8967" width="11.28515625" bestFit="1" customWidth="1"/>
    <col min="8969" max="8969" width="11.28515625" bestFit="1" customWidth="1"/>
    <col min="9217" max="9217" width="41.28515625" customWidth="1"/>
    <col min="9219" max="9219" width="12.28515625" bestFit="1" customWidth="1"/>
    <col min="9220" max="9220" width="9.7109375" bestFit="1" customWidth="1"/>
    <col min="9221" max="9221" width="11.42578125" bestFit="1" customWidth="1"/>
    <col min="9222" max="9222" width="9.7109375" bestFit="1" customWidth="1"/>
    <col min="9223" max="9223" width="11.28515625" bestFit="1" customWidth="1"/>
    <col min="9225" max="9225" width="11.28515625" bestFit="1" customWidth="1"/>
    <col min="9473" max="9473" width="41.28515625" customWidth="1"/>
    <col min="9475" max="9475" width="12.28515625" bestFit="1" customWidth="1"/>
    <col min="9476" max="9476" width="9.7109375" bestFit="1" customWidth="1"/>
    <col min="9477" max="9477" width="11.42578125" bestFit="1" customWidth="1"/>
    <col min="9478" max="9478" width="9.7109375" bestFit="1" customWidth="1"/>
    <col min="9479" max="9479" width="11.28515625" bestFit="1" customWidth="1"/>
    <col min="9481" max="9481" width="11.28515625" bestFit="1" customWidth="1"/>
    <col min="9729" max="9729" width="41.28515625" customWidth="1"/>
    <col min="9731" max="9731" width="12.28515625" bestFit="1" customWidth="1"/>
    <col min="9732" max="9732" width="9.7109375" bestFit="1" customWidth="1"/>
    <col min="9733" max="9733" width="11.42578125" bestFit="1" customWidth="1"/>
    <col min="9734" max="9734" width="9.7109375" bestFit="1" customWidth="1"/>
    <col min="9735" max="9735" width="11.28515625" bestFit="1" customWidth="1"/>
    <col min="9737" max="9737" width="11.28515625" bestFit="1" customWidth="1"/>
    <col min="9985" max="9985" width="41.28515625" customWidth="1"/>
    <col min="9987" max="9987" width="12.28515625" bestFit="1" customWidth="1"/>
    <col min="9988" max="9988" width="9.7109375" bestFit="1" customWidth="1"/>
    <col min="9989" max="9989" width="11.42578125" bestFit="1" customWidth="1"/>
    <col min="9990" max="9990" width="9.7109375" bestFit="1" customWidth="1"/>
    <col min="9991" max="9991" width="11.28515625" bestFit="1" customWidth="1"/>
    <col min="9993" max="9993" width="11.28515625" bestFit="1" customWidth="1"/>
    <col min="10241" max="10241" width="41.28515625" customWidth="1"/>
    <col min="10243" max="10243" width="12.28515625" bestFit="1" customWidth="1"/>
    <col min="10244" max="10244" width="9.7109375" bestFit="1" customWidth="1"/>
    <col min="10245" max="10245" width="11.42578125" bestFit="1" customWidth="1"/>
    <col min="10246" max="10246" width="9.7109375" bestFit="1" customWidth="1"/>
    <col min="10247" max="10247" width="11.28515625" bestFit="1" customWidth="1"/>
    <col min="10249" max="10249" width="11.28515625" bestFit="1" customWidth="1"/>
    <col min="10497" max="10497" width="41.28515625" customWidth="1"/>
    <col min="10499" max="10499" width="12.28515625" bestFit="1" customWidth="1"/>
    <col min="10500" max="10500" width="9.7109375" bestFit="1" customWidth="1"/>
    <col min="10501" max="10501" width="11.42578125" bestFit="1" customWidth="1"/>
    <col min="10502" max="10502" width="9.7109375" bestFit="1" customWidth="1"/>
    <col min="10503" max="10503" width="11.28515625" bestFit="1" customWidth="1"/>
    <col min="10505" max="10505" width="11.28515625" bestFit="1" customWidth="1"/>
    <col min="10753" max="10753" width="41.28515625" customWidth="1"/>
    <col min="10755" max="10755" width="12.28515625" bestFit="1" customWidth="1"/>
    <col min="10756" max="10756" width="9.7109375" bestFit="1" customWidth="1"/>
    <col min="10757" max="10757" width="11.42578125" bestFit="1" customWidth="1"/>
    <col min="10758" max="10758" width="9.7109375" bestFit="1" customWidth="1"/>
    <col min="10759" max="10759" width="11.28515625" bestFit="1" customWidth="1"/>
    <col min="10761" max="10761" width="11.28515625" bestFit="1" customWidth="1"/>
    <col min="11009" max="11009" width="41.28515625" customWidth="1"/>
    <col min="11011" max="11011" width="12.28515625" bestFit="1" customWidth="1"/>
    <col min="11012" max="11012" width="9.7109375" bestFit="1" customWidth="1"/>
    <col min="11013" max="11013" width="11.42578125" bestFit="1" customWidth="1"/>
    <col min="11014" max="11014" width="9.7109375" bestFit="1" customWidth="1"/>
    <col min="11015" max="11015" width="11.28515625" bestFit="1" customWidth="1"/>
    <col min="11017" max="11017" width="11.28515625" bestFit="1" customWidth="1"/>
    <col min="11265" max="11265" width="41.28515625" customWidth="1"/>
    <col min="11267" max="11267" width="12.28515625" bestFit="1" customWidth="1"/>
    <col min="11268" max="11268" width="9.7109375" bestFit="1" customWidth="1"/>
    <col min="11269" max="11269" width="11.42578125" bestFit="1" customWidth="1"/>
    <col min="11270" max="11270" width="9.7109375" bestFit="1" customWidth="1"/>
    <col min="11271" max="11271" width="11.28515625" bestFit="1" customWidth="1"/>
    <col min="11273" max="11273" width="11.28515625" bestFit="1" customWidth="1"/>
    <col min="11521" max="11521" width="41.28515625" customWidth="1"/>
    <col min="11523" max="11523" width="12.28515625" bestFit="1" customWidth="1"/>
    <col min="11524" max="11524" width="9.7109375" bestFit="1" customWidth="1"/>
    <col min="11525" max="11525" width="11.42578125" bestFit="1" customWidth="1"/>
    <col min="11526" max="11526" width="9.7109375" bestFit="1" customWidth="1"/>
    <col min="11527" max="11527" width="11.28515625" bestFit="1" customWidth="1"/>
    <col min="11529" max="11529" width="11.28515625" bestFit="1" customWidth="1"/>
    <col min="11777" max="11777" width="41.28515625" customWidth="1"/>
    <col min="11779" max="11779" width="12.28515625" bestFit="1" customWidth="1"/>
    <col min="11780" max="11780" width="9.7109375" bestFit="1" customWidth="1"/>
    <col min="11781" max="11781" width="11.42578125" bestFit="1" customWidth="1"/>
    <col min="11782" max="11782" width="9.7109375" bestFit="1" customWidth="1"/>
    <col min="11783" max="11783" width="11.28515625" bestFit="1" customWidth="1"/>
    <col min="11785" max="11785" width="11.28515625" bestFit="1" customWidth="1"/>
    <col min="12033" max="12033" width="41.28515625" customWidth="1"/>
    <col min="12035" max="12035" width="12.28515625" bestFit="1" customWidth="1"/>
    <col min="12036" max="12036" width="9.7109375" bestFit="1" customWidth="1"/>
    <col min="12037" max="12037" width="11.42578125" bestFit="1" customWidth="1"/>
    <col min="12038" max="12038" width="9.7109375" bestFit="1" customWidth="1"/>
    <col min="12039" max="12039" width="11.28515625" bestFit="1" customWidth="1"/>
    <col min="12041" max="12041" width="11.28515625" bestFit="1" customWidth="1"/>
    <col min="12289" max="12289" width="41.28515625" customWidth="1"/>
    <col min="12291" max="12291" width="12.28515625" bestFit="1" customWidth="1"/>
    <col min="12292" max="12292" width="9.7109375" bestFit="1" customWidth="1"/>
    <col min="12293" max="12293" width="11.42578125" bestFit="1" customWidth="1"/>
    <col min="12294" max="12294" width="9.7109375" bestFit="1" customWidth="1"/>
    <col min="12295" max="12295" width="11.28515625" bestFit="1" customWidth="1"/>
    <col min="12297" max="12297" width="11.28515625" bestFit="1" customWidth="1"/>
    <col min="12545" max="12545" width="41.28515625" customWidth="1"/>
    <col min="12547" max="12547" width="12.28515625" bestFit="1" customWidth="1"/>
    <col min="12548" max="12548" width="9.7109375" bestFit="1" customWidth="1"/>
    <col min="12549" max="12549" width="11.42578125" bestFit="1" customWidth="1"/>
    <col min="12550" max="12550" width="9.7109375" bestFit="1" customWidth="1"/>
    <col min="12551" max="12551" width="11.28515625" bestFit="1" customWidth="1"/>
    <col min="12553" max="12553" width="11.28515625" bestFit="1" customWidth="1"/>
    <col min="12801" max="12801" width="41.28515625" customWidth="1"/>
    <col min="12803" max="12803" width="12.28515625" bestFit="1" customWidth="1"/>
    <col min="12804" max="12804" width="9.7109375" bestFit="1" customWidth="1"/>
    <col min="12805" max="12805" width="11.42578125" bestFit="1" customWidth="1"/>
    <col min="12806" max="12806" width="9.7109375" bestFit="1" customWidth="1"/>
    <col min="12807" max="12807" width="11.28515625" bestFit="1" customWidth="1"/>
    <col min="12809" max="12809" width="11.28515625" bestFit="1" customWidth="1"/>
    <col min="13057" max="13057" width="41.28515625" customWidth="1"/>
    <col min="13059" max="13059" width="12.28515625" bestFit="1" customWidth="1"/>
    <col min="13060" max="13060" width="9.7109375" bestFit="1" customWidth="1"/>
    <col min="13061" max="13061" width="11.42578125" bestFit="1" customWidth="1"/>
    <col min="13062" max="13062" width="9.7109375" bestFit="1" customWidth="1"/>
    <col min="13063" max="13063" width="11.28515625" bestFit="1" customWidth="1"/>
    <col min="13065" max="13065" width="11.28515625" bestFit="1" customWidth="1"/>
    <col min="13313" max="13313" width="41.28515625" customWidth="1"/>
    <col min="13315" max="13315" width="12.28515625" bestFit="1" customWidth="1"/>
    <col min="13316" max="13316" width="9.7109375" bestFit="1" customWidth="1"/>
    <col min="13317" max="13317" width="11.42578125" bestFit="1" customWidth="1"/>
    <col min="13318" max="13318" width="9.7109375" bestFit="1" customWidth="1"/>
    <col min="13319" max="13319" width="11.28515625" bestFit="1" customWidth="1"/>
    <col min="13321" max="13321" width="11.28515625" bestFit="1" customWidth="1"/>
    <col min="13569" max="13569" width="41.28515625" customWidth="1"/>
    <col min="13571" max="13571" width="12.28515625" bestFit="1" customWidth="1"/>
    <col min="13572" max="13572" width="9.7109375" bestFit="1" customWidth="1"/>
    <col min="13573" max="13573" width="11.42578125" bestFit="1" customWidth="1"/>
    <col min="13574" max="13574" width="9.7109375" bestFit="1" customWidth="1"/>
    <col min="13575" max="13575" width="11.28515625" bestFit="1" customWidth="1"/>
    <col min="13577" max="13577" width="11.28515625" bestFit="1" customWidth="1"/>
    <col min="13825" max="13825" width="41.28515625" customWidth="1"/>
    <col min="13827" max="13827" width="12.28515625" bestFit="1" customWidth="1"/>
    <col min="13828" max="13828" width="9.7109375" bestFit="1" customWidth="1"/>
    <col min="13829" max="13829" width="11.42578125" bestFit="1" customWidth="1"/>
    <col min="13830" max="13830" width="9.7109375" bestFit="1" customWidth="1"/>
    <col min="13831" max="13831" width="11.28515625" bestFit="1" customWidth="1"/>
    <col min="13833" max="13833" width="11.28515625" bestFit="1" customWidth="1"/>
    <col min="14081" max="14081" width="41.28515625" customWidth="1"/>
    <col min="14083" max="14083" width="12.28515625" bestFit="1" customWidth="1"/>
    <col min="14084" max="14084" width="9.7109375" bestFit="1" customWidth="1"/>
    <col min="14085" max="14085" width="11.42578125" bestFit="1" customWidth="1"/>
    <col min="14086" max="14086" width="9.7109375" bestFit="1" customWidth="1"/>
    <col min="14087" max="14087" width="11.28515625" bestFit="1" customWidth="1"/>
    <col min="14089" max="14089" width="11.28515625" bestFit="1" customWidth="1"/>
    <col min="14337" max="14337" width="41.28515625" customWidth="1"/>
    <col min="14339" max="14339" width="12.28515625" bestFit="1" customWidth="1"/>
    <col min="14340" max="14340" width="9.7109375" bestFit="1" customWidth="1"/>
    <col min="14341" max="14341" width="11.42578125" bestFit="1" customWidth="1"/>
    <col min="14342" max="14342" width="9.7109375" bestFit="1" customWidth="1"/>
    <col min="14343" max="14343" width="11.28515625" bestFit="1" customWidth="1"/>
    <col min="14345" max="14345" width="11.28515625" bestFit="1" customWidth="1"/>
    <col min="14593" max="14593" width="41.28515625" customWidth="1"/>
    <col min="14595" max="14595" width="12.28515625" bestFit="1" customWidth="1"/>
    <col min="14596" max="14596" width="9.7109375" bestFit="1" customWidth="1"/>
    <col min="14597" max="14597" width="11.42578125" bestFit="1" customWidth="1"/>
    <col min="14598" max="14598" width="9.7109375" bestFit="1" customWidth="1"/>
    <col min="14599" max="14599" width="11.28515625" bestFit="1" customWidth="1"/>
    <col min="14601" max="14601" width="11.28515625" bestFit="1" customWidth="1"/>
    <col min="14849" max="14849" width="41.28515625" customWidth="1"/>
    <col min="14851" max="14851" width="12.28515625" bestFit="1" customWidth="1"/>
    <col min="14852" max="14852" width="9.7109375" bestFit="1" customWidth="1"/>
    <col min="14853" max="14853" width="11.42578125" bestFit="1" customWidth="1"/>
    <col min="14854" max="14854" width="9.7109375" bestFit="1" customWidth="1"/>
    <col min="14855" max="14855" width="11.28515625" bestFit="1" customWidth="1"/>
    <col min="14857" max="14857" width="11.28515625" bestFit="1" customWidth="1"/>
    <col min="15105" max="15105" width="41.28515625" customWidth="1"/>
    <col min="15107" max="15107" width="12.28515625" bestFit="1" customWidth="1"/>
    <col min="15108" max="15108" width="9.7109375" bestFit="1" customWidth="1"/>
    <col min="15109" max="15109" width="11.42578125" bestFit="1" customWidth="1"/>
    <col min="15110" max="15110" width="9.7109375" bestFit="1" customWidth="1"/>
    <col min="15111" max="15111" width="11.28515625" bestFit="1" customWidth="1"/>
    <col min="15113" max="15113" width="11.28515625" bestFit="1" customWidth="1"/>
    <col min="15361" max="15361" width="41.28515625" customWidth="1"/>
    <col min="15363" max="15363" width="12.28515625" bestFit="1" customWidth="1"/>
    <col min="15364" max="15364" width="9.7109375" bestFit="1" customWidth="1"/>
    <col min="15365" max="15365" width="11.42578125" bestFit="1" customWidth="1"/>
    <col min="15366" max="15366" width="9.7109375" bestFit="1" customWidth="1"/>
    <col min="15367" max="15367" width="11.28515625" bestFit="1" customWidth="1"/>
    <col min="15369" max="15369" width="11.28515625" bestFit="1" customWidth="1"/>
    <col min="15617" max="15617" width="41.28515625" customWidth="1"/>
    <col min="15619" max="15619" width="12.28515625" bestFit="1" customWidth="1"/>
    <col min="15620" max="15620" width="9.7109375" bestFit="1" customWidth="1"/>
    <col min="15621" max="15621" width="11.42578125" bestFit="1" customWidth="1"/>
    <col min="15622" max="15622" width="9.7109375" bestFit="1" customWidth="1"/>
    <col min="15623" max="15623" width="11.28515625" bestFit="1" customWidth="1"/>
    <col min="15625" max="15625" width="11.28515625" bestFit="1" customWidth="1"/>
    <col min="15873" max="15873" width="41.28515625" customWidth="1"/>
    <col min="15875" max="15875" width="12.28515625" bestFit="1" customWidth="1"/>
    <col min="15876" max="15876" width="9.7109375" bestFit="1" customWidth="1"/>
    <col min="15877" max="15877" width="11.42578125" bestFit="1" customWidth="1"/>
    <col min="15878" max="15878" width="9.7109375" bestFit="1" customWidth="1"/>
    <col min="15879" max="15879" width="11.28515625" bestFit="1" customWidth="1"/>
    <col min="15881" max="15881" width="11.28515625" bestFit="1" customWidth="1"/>
    <col min="16129" max="16129" width="41.28515625" customWidth="1"/>
    <col min="16131" max="16131" width="12.28515625" bestFit="1" customWidth="1"/>
    <col min="16132" max="16132" width="9.7109375" bestFit="1" customWidth="1"/>
    <col min="16133" max="16133" width="11.42578125" bestFit="1" customWidth="1"/>
    <col min="16134" max="16134" width="9.7109375" bestFit="1" customWidth="1"/>
    <col min="16135" max="16135" width="11.28515625" bestFit="1" customWidth="1"/>
    <col min="16137" max="16137" width="11.28515625" bestFit="1" customWidth="1"/>
  </cols>
  <sheetData>
    <row r="1" spans="1:9">
      <c r="A1" s="214" t="s">
        <v>307</v>
      </c>
      <c r="G1" s="51" t="str">
        <f>Assumptions!$B$12</f>
        <v>Internal</v>
      </c>
    </row>
    <row r="2" spans="1:9">
      <c r="A2" s="50" t="str">
        <f>Assumptions!B10</f>
        <v>City of Manteca</v>
      </c>
      <c r="G2" s="52" t="str">
        <f>Assumptions!$B$13</f>
        <v>Working Draft - v1</v>
      </c>
    </row>
    <row r="3" spans="1:9">
      <c r="A3" s="50" t="str">
        <f>Assumptions!B18</f>
        <v>PFF Sewer Collection Fee</v>
      </c>
      <c r="G3" s="53">
        <f>Assumptions!$B$14</f>
        <v>41075</v>
      </c>
    </row>
    <row r="4" spans="1:9">
      <c r="A4" s="214" t="s">
        <v>309</v>
      </c>
    </row>
    <row r="5" spans="1:9">
      <c r="C5" s="188"/>
      <c r="D5" s="190"/>
      <c r="E5" s="190"/>
      <c r="F5" s="190"/>
      <c r="G5" s="190"/>
      <c r="H5" s="186"/>
      <c r="I5" s="202"/>
    </row>
    <row r="6" spans="1:9">
      <c r="C6" s="188"/>
      <c r="D6" s="199"/>
      <c r="E6" s="199"/>
      <c r="F6" s="199"/>
      <c r="G6" s="199"/>
      <c r="H6" s="200"/>
      <c r="I6" s="202"/>
    </row>
    <row r="7" spans="1:9">
      <c r="C7" s="188"/>
      <c r="D7" s="199"/>
      <c r="E7" s="199"/>
      <c r="F7" s="199"/>
      <c r="G7" s="199"/>
      <c r="H7" s="200"/>
      <c r="I7" s="202"/>
    </row>
    <row r="8" spans="1:9">
      <c r="C8" s="259" t="s">
        <v>277</v>
      </c>
      <c r="D8" s="260"/>
      <c r="E8" s="260"/>
      <c r="F8" s="260"/>
      <c r="G8" s="261"/>
      <c r="H8" s="200"/>
      <c r="I8" s="202"/>
    </row>
    <row r="9" spans="1:9">
      <c r="A9" s="5" t="s">
        <v>7</v>
      </c>
      <c r="C9" s="203" t="s">
        <v>278</v>
      </c>
      <c r="D9" s="204" t="s">
        <v>279</v>
      </c>
      <c r="E9" s="204" t="s">
        <v>280</v>
      </c>
      <c r="F9" s="204" t="s">
        <v>281</v>
      </c>
      <c r="G9" s="205" t="s">
        <v>48</v>
      </c>
      <c r="H9" s="200"/>
      <c r="I9" s="202"/>
    </row>
    <row r="10" spans="1:9">
      <c r="H10" s="200"/>
      <c r="I10" s="202"/>
    </row>
    <row r="11" spans="1:9">
      <c r="C11" s="188"/>
      <c r="D11" s="199"/>
      <c r="E11" s="199"/>
      <c r="F11" s="199"/>
      <c r="G11" s="199"/>
      <c r="H11" s="200"/>
      <c r="I11" s="202"/>
    </row>
    <row r="12" spans="1:9">
      <c r="A12" t="s">
        <v>282</v>
      </c>
      <c r="C12" s="188">
        <v>0</v>
      </c>
      <c r="D12" s="188">
        <v>400000</v>
      </c>
      <c r="E12" s="199">
        <f>D12</f>
        <v>400000</v>
      </c>
      <c r="F12" s="199">
        <f>E12</f>
        <v>400000</v>
      </c>
      <c r="G12" s="199">
        <f>SUM(C12:F12)</f>
        <v>1200000</v>
      </c>
      <c r="H12" s="200"/>
      <c r="I12" s="206"/>
    </row>
    <row r="13" spans="1:9">
      <c r="A13" t="s">
        <v>283</v>
      </c>
      <c r="C13" s="193">
        <v>0</v>
      </c>
      <c r="D13" s="193">
        <v>25000</v>
      </c>
      <c r="E13" s="206">
        <f>D13</f>
        <v>25000</v>
      </c>
      <c r="F13" s="206">
        <f>E13</f>
        <v>25000</v>
      </c>
      <c r="G13" s="206">
        <f>SUM(C13:F13)</f>
        <v>75000</v>
      </c>
    </row>
    <row r="14" spans="1:9">
      <c r="C14" s="198"/>
      <c r="D14" s="5"/>
      <c r="E14" s="5"/>
      <c r="F14" s="5"/>
      <c r="G14" s="5"/>
    </row>
    <row r="15" spans="1:9">
      <c r="C15" s="193"/>
    </row>
    <row r="16" spans="1:9">
      <c r="A16" t="s">
        <v>284</v>
      </c>
      <c r="C16" s="193">
        <f>SUM(C9:C14)</f>
        <v>0</v>
      </c>
      <c r="D16" s="193">
        <f>SUM(D9:D14)</f>
        <v>425000</v>
      </c>
      <c r="E16" s="193">
        <f>SUM(E9:E14)</f>
        <v>425000</v>
      </c>
      <c r="F16" s="193">
        <f>SUM(F9:F14)</f>
        <v>425000</v>
      </c>
      <c r="G16" s="193">
        <f>SUM(G9:G14)</f>
        <v>1275000</v>
      </c>
    </row>
    <row r="17" spans="1:7">
      <c r="C17" s="193"/>
      <c r="D17" s="193"/>
      <c r="E17" s="193"/>
      <c r="F17" s="193"/>
    </row>
    <row r="18" spans="1:7">
      <c r="A18" t="s">
        <v>285</v>
      </c>
      <c r="C18" s="193"/>
      <c r="D18" s="193"/>
      <c r="E18" s="193"/>
      <c r="F18" s="193"/>
    </row>
    <row r="19" spans="1:7">
      <c r="A19" t="s">
        <v>270</v>
      </c>
      <c r="B19" s="207">
        <v>0.25</v>
      </c>
      <c r="C19" s="193">
        <f>$B$19*C16</f>
        <v>0</v>
      </c>
      <c r="D19" s="193">
        <f>$B$19*D16</f>
        <v>106250</v>
      </c>
      <c r="E19" s="193">
        <f>$B$19*E16</f>
        <v>106250</v>
      </c>
      <c r="F19" s="193">
        <f>$B$19*F16</f>
        <v>106250</v>
      </c>
      <c r="G19" s="206">
        <f>SUM(C19:F19)</f>
        <v>318750</v>
      </c>
    </row>
    <row r="20" spans="1:7">
      <c r="A20" t="s">
        <v>271</v>
      </c>
      <c r="B20" s="207">
        <v>0.25</v>
      </c>
      <c r="C20" s="193">
        <f>$B$20*C16</f>
        <v>0</v>
      </c>
      <c r="D20" s="193">
        <f>$B$20*D16</f>
        <v>106250</v>
      </c>
      <c r="E20" s="193">
        <f>$B$20*E16</f>
        <v>106250</v>
      </c>
      <c r="F20" s="193">
        <f>$B$20*F16</f>
        <v>106250</v>
      </c>
      <c r="G20" s="206">
        <f>SUM(C20:F20)</f>
        <v>318750</v>
      </c>
    </row>
    <row r="21" spans="1:7">
      <c r="A21" t="s">
        <v>272</v>
      </c>
      <c r="B21" s="207">
        <v>0.25</v>
      </c>
      <c r="C21" s="193">
        <f>$B$21*C16</f>
        <v>0</v>
      </c>
      <c r="D21" s="193">
        <f>$B$21*D16</f>
        <v>106250</v>
      </c>
      <c r="E21" s="193">
        <f>$B$21*E16</f>
        <v>106250</v>
      </c>
      <c r="F21" s="193">
        <f>$B$21*F16</f>
        <v>106250</v>
      </c>
      <c r="G21" s="206">
        <f>SUM(C21:F21)</f>
        <v>318750</v>
      </c>
    </row>
    <row r="22" spans="1:7">
      <c r="A22" t="s">
        <v>273</v>
      </c>
      <c r="B22" s="207">
        <v>0.25</v>
      </c>
      <c r="C22" s="193">
        <f>$B$22*C16</f>
        <v>0</v>
      </c>
      <c r="D22" s="193">
        <f>$B$22*D16</f>
        <v>106250</v>
      </c>
      <c r="E22" s="193">
        <f>$B$22*E16</f>
        <v>106250</v>
      </c>
      <c r="F22" s="193">
        <f>$B$22*F16</f>
        <v>106250</v>
      </c>
      <c r="G22" s="206">
        <f>SUM(C22:F22)</f>
        <v>318750</v>
      </c>
    </row>
    <row r="23" spans="1:7">
      <c r="C23" s="198"/>
      <c r="D23" s="5"/>
      <c r="E23" s="5"/>
      <c r="F23" s="5"/>
      <c r="G23" s="5"/>
    </row>
    <row r="24" spans="1:7">
      <c r="C24" s="193"/>
    </row>
    <row r="25" spans="1:7">
      <c r="A25" t="s">
        <v>286</v>
      </c>
      <c r="C25" s="193">
        <f>SUM(C19:C23)</f>
        <v>0</v>
      </c>
      <c r="D25" s="193">
        <f>SUM(D19:D23)</f>
        <v>425000</v>
      </c>
      <c r="E25" s="193">
        <f>SUM(E19:E23)</f>
        <v>425000</v>
      </c>
      <c r="F25" s="193">
        <f>SUM(F19:F23)</f>
        <v>425000</v>
      </c>
      <c r="G25" s="193">
        <f>SUM(G19:G23)</f>
        <v>1275000</v>
      </c>
    </row>
    <row r="26" spans="1:7">
      <c r="C26" s="193"/>
    </row>
    <row r="27" spans="1:7">
      <c r="C27" s="193"/>
    </row>
    <row r="28" spans="1:7">
      <c r="C28" s="193"/>
    </row>
    <row r="29" spans="1:7">
      <c r="C29" s="193"/>
    </row>
    <row r="30" spans="1:7">
      <c r="A30" s="208" t="s">
        <v>287</v>
      </c>
      <c r="C30" s="193"/>
    </row>
    <row r="31" spans="1:7">
      <c r="A31" t="s">
        <v>288</v>
      </c>
      <c r="C31" s="193">
        <v>0</v>
      </c>
      <c r="D31" s="193">
        <v>408400</v>
      </c>
      <c r="E31" s="206">
        <f>D31</f>
        <v>408400</v>
      </c>
      <c r="F31" s="206">
        <f>E31</f>
        <v>408400</v>
      </c>
      <c r="G31" s="206">
        <f>SUM(C31:F31)</f>
        <v>1225200</v>
      </c>
    </row>
    <row r="32" spans="1:7">
      <c r="A32" t="s">
        <v>289</v>
      </c>
      <c r="C32" s="193">
        <v>0</v>
      </c>
      <c r="D32" s="206">
        <v>100000</v>
      </c>
      <c r="E32" s="206">
        <f>D32</f>
        <v>100000</v>
      </c>
      <c r="F32" s="206">
        <f>E32</f>
        <v>100000</v>
      </c>
      <c r="G32" s="206">
        <f>SUM(C32:F32)</f>
        <v>300000</v>
      </c>
    </row>
    <row r="33" spans="1:8">
      <c r="A33" t="s">
        <v>290</v>
      </c>
      <c r="C33" s="198">
        <f>C19</f>
        <v>0</v>
      </c>
      <c r="D33" s="198">
        <f>D19</f>
        <v>106250</v>
      </c>
      <c r="E33" s="198">
        <f>E19</f>
        <v>106250</v>
      </c>
      <c r="F33" s="198">
        <f>F19</f>
        <v>106250</v>
      </c>
      <c r="G33" s="209">
        <f>SUM(C33:F33)</f>
        <v>318750</v>
      </c>
    </row>
    <row r="34" spans="1:8">
      <c r="A34" t="s">
        <v>291</v>
      </c>
      <c r="C34" s="206">
        <f>SUM(C31:C33)</f>
        <v>0</v>
      </c>
      <c r="D34" s="206">
        <f>SUM(D31:D33)</f>
        <v>614650</v>
      </c>
      <c r="E34" s="206">
        <f>SUM(E31:E33)</f>
        <v>614650</v>
      </c>
      <c r="F34" s="206">
        <f>SUM(F31:F33)</f>
        <v>614650</v>
      </c>
      <c r="G34" s="206">
        <f>SUM(C34:F34)</f>
        <v>1843950</v>
      </c>
      <c r="H34" s="206"/>
    </row>
    <row r="35" spans="1:8">
      <c r="C35" s="193"/>
      <c r="D35" s="206"/>
      <c r="E35" s="206"/>
      <c r="F35" s="206"/>
    </row>
    <row r="36" spans="1:8">
      <c r="C36" s="193"/>
      <c r="D36" s="206"/>
      <c r="E36" s="206"/>
      <c r="F36" s="206"/>
    </row>
    <row r="37" spans="1:8">
      <c r="A37" s="208" t="s">
        <v>292</v>
      </c>
      <c r="C37" s="193"/>
      <c r="D37" s="206"/>
      <c r="E37" s="206"/>
      <c r="F37" s="206"/>
    </row>
    <row r="38" spans="1:8">
      <c r="A38" t="s">
        <v>293</v>
      </c>
      <c r="C38" s="193">
        <v>0</v>
      </c>
      <c r="D38" s="193">
        <v>256249</v>
      </c>
      <c r="E38" s="206">
        <f>D38</f>
        <v>256249</v>
      </c>
      <c r="F38" s="206">
        <f>E38</f>
        <v>256249</v>
      </c>
      <c r="G38" s="206">
        <f>SUM(C38:F38)</f>
        <v>768747</v>
      </c>
    </row>
    <row r="39" spans="1:8">
      <c r="A39" t="s">
        <v>294</v>
      </c>
      <c r="C39" s="193">
        <v>0</v>
      </c>
      <c r="D39" s="206">
        <v>100000</v>
      </c>
      <c r="E39" s="206">
        <f>D39</f>
        <v>100000</v>
      </c>
      <c r="F39" s="206">
        <f>E39</f>
        <v>100000</v>
      </c>
      <c r="G39" s="206">
        <f>SUM(C39:F39)</f>
        <v>300000</v>
      </c>
    </row>
    <row r="40" spans="1:8">
      <c r="A40" t="s">
        <v>295</v>
      </c>
      <c r="C40" s="198">
        <f>C20</f>
        <v>0</v>
      </c>
      <c r="D40" s="198">
        <f>D20</f>
        <v>106250</v>
      </c>
      <c r="E40" s="198">
        <f>E20</f>
        <v>106250</v>
      </c>
      <c r="F40" s="198">
        <f>F20</f>
        <v>106250</v>
      </c>
      <c r="G40" s="209">
        <f>SUM(C40:F40)</f>
        <v>318750</v>
      </c>
    </row>
    <row r="41" spans="1:8">
      <c r="A41" t="s">
        <v>291</v>
      </c>
      <c r="C41" s="206">
        <f>SUM(C38:C40)</f>
        <v>0</v>
      </c>
      <c r="D41" s="206">
        <f>SUM(D38:D40)</f>
        <v>462499</v>
      </c>
      <c r="E41" s="206">
        <f>SUM(E38:E40)</f>
        <v>462499</v>
      </c>
      <c r="F41" s="206">
        <f>SUM(F38:F40)</f>
        <v>462499</v>
      </c>
      <c r="G41" s="206">
        <f>SUM(C41:F41)</f>
        <v>1387497</v>
      </c>
    </row>
    <row r="42" spans="1:8">
      <c r="C42" s="193"/>
      <c r="D42" s="206"/>
      <c r="E42" s="206"/>
      <c r="F42" s="206"/>
    </row>
    <row r="43" spans="1:8">
      <c r="C43" s="193"/>
      <c r="D43" s="206"/>
      <c r="E43" s="206"/>
      <c r="F43" s="206"/>
    </row>
    <row r="44" spans="1:8">
      <c r="A44" s="208" t="s">
        <v>296</v>
      </c>
      <c r="C44" s="193"/>
      <c r="D44" s="206"/>
      <c r="E44" s="206"/>
      <c r="F44" s="206"/>
    </row>
    <row r="45" spans="1:8">
      <c r="A45" t="s">
        <v>297</v>
      </c>
      <c r="C45" s="193">
        <v>0</v>
      </c>
      <c r="D45" s="193">
        <v>124876</v>
      </c>
      <c r="E45" s="206">
        <f>D45</f>
        <v>124876</v>
      </c>
      <c r="F45" s="206">
        <f>E45</f>
        <v>124876</v>
      </c>
      <c r="G45" s="206">
        <f>SUM(C45:F45)</f>
        <v>374628</v>
      </c>
    </row>
    <row r="46" spans="1:8">
      <c r="A46" t="s">
        <v>298</v>
      </c>
      <c r="C46" s="193">
        <v>0</v>
      </c>
      <c r="D46" s="193">
        <v>103600</v>
      </c>
      <c r="E46" s="206">
        <f>D46</f>
        <v>103600</v>
      </c>
      <c r="F46" s="206">
        <f>E46</f>
        <v>103600</v>
      </c>
      <c r="G46" s="206">
        <f>SUM(C46:F46)</f>
        <v>310800</v>
      </c>
    </row>
    <row r="47" spans="1:8">
      <c r="A47" t="s">
        <v>295</v>
      </c>
      <c r="C47" s="198">
        <f>C22</f>
        <v>0</v>
      </c>
      <c r="D47" s="198">
        <f>D22</f>
        <v>106250</v>
      </c>
      <c r="E47" s="198">
        <f>E22</f>
        <v>106250</v>
      </c>
      <c r="F47" s="198">
        <f>F22</f>
        <v>106250</v>
      </c>
      <c r="G47" s="209">
        <f>SUM(C47:F47)</f>
        <v>318750</v>
      </c>
    </row>
    <row r="48" spans="1:8">
      <c r="A48" t="s">
        <v>291</v>
      </c>
      <c r="C48" s="206">
        <f>SUM(C45:C47)</f>
        <v>0</v>
      </c>
      <c r="D48" s="206">
        <f>SUM(D45:D47)</f>
        <v>334726</v>
      </c>
      <c r="E48" s="206">
        <f>SUM(E45:E47)</f>
        <v>334726</v>
      </c>
      <c r="F48" s="206">
        <f>SUM(F45:F47)</f>
        <v>334726</v>
      </c>
      <c r="G48" s="206">
        <f>SUM(C48:F48)</f>
        <v>1004178</v>
      </c>
    </row>
    <row r="49" spans="1:7">
      <c r="C49" s="193"/>
      <c r="D49" s="206"/>
      <c r="E49" s="206"/>
      <c r="F49" s="206"/>
    </row>
    <row r="50" spans="1:7">
      <c r="C50" s="193"/>
      <c r="D50" s="206"/>
      <c r="E50" s="206"/>
      <c r="F50" s="206"/>
    </row>
    <row r="51" spans="1:7">
      <c r="A51" s="208" t="s">
        <v>299</v>
      </c>
    </row>
    <row r="52" spans="1:7">
      <c r="A52" t="s">
        <v>300</v>
      </c>
      <c r="C52" s="193">
        <v>0</v>
      </c>
      <c r="D52" s="193">
        <v>200000</v>
      </c>
      <c r="E52" s="206">
        <f>D52</f>
        <v>200000</v>
      </c>
      <c r="F52" s="206">
        <f>E52</f>
        <v>200000</v>
      </c>
      <c r="G52" s="206">
        <f>SUM(C52:F52)</f>
        <v>600000</v>
      </c>
    </row>
    <row r="53" spans="1:7">
      <c r="A53" t="s">
        <v>301</v>
      </c>
      <c r="C53" s="193">
        <v>0</v>
      </c>
      <c r="D53" s="206">
        <v>100000</v>
      </c>
      <c r="E53" s="206">
        <f>D53</f>
        <v>100000</v>
      </c>
      <c r="F53" s="206">
        <f>E53</f>
        <v>100000</v>
      </c>
      <c r="G53" s="206">
        <f>SUM(C53:F53)</f>
        <v>300000</v>
      </c>
    </row>
    <row r="54" spans="1:7">
      <c r="A54" t="s">
        <v>295</v>
      </c>
      <c r="C54" s="198">
        <f>C21</f>
        <v>0</v>
      </c>
      <c r="D54" s="198">
        <f>D21</f>
        <v>106250</v>
      </c>
      <c r="E54" s="198">
        <f>E21</f>
        <v>106250</v>
      </c>
      <c r="F54" s="198">
        <f>F21</f>
        <v>106250</v>
      </c>
      <c r="G54" s="209">
        <f>SUM(C54:F54)</f>
        <v>318750</v>
      </c>
    </row>
    <row r="55" spans="1:7">
      <c r="A55" t="s">
        <v>291</v>
      </c>
      <c r="C55" s="206">
        <f>SUM(C52:C54)</f>
        <v>0</v>
      </c>
      <c r="D55" s="206">
        <f>SUM(D52:D54)</f>
        <v>406250</v>
      </c>
      <c r="E55" s="206">
        <f>SUM(E52:E54)</f>
        <v>406250</v>
      </c>
      <c r="F55" s="206">
        <f>SUM(F52:F54)</f>
        <v>406250</v>
      </c>
      <c r="G55" s="206">
        <f>SUM(C55:F55)</f>
        <v>1218750</v>
      </c>
    </row>
    <row r="56" spans="1:7">
      <c r="C56" s="193"/>
      <c r="D56" s="206"/>
      <c r="E56" s="206"/>
      <c r="F56" s="206"/>
    </row>
    <row r="57" spans="1:7" ht="13.5" thickBot="1">
      <c r="C57" s="210"/>
      <c r="D57" s="211"/>
      <c r="E57" s="211"/>
      <c r="F57" s="211"/>
      <c r="G57" s="212"/>
    </row>
    <row r="58" spans="1:7">
      <c r="C58" s="193"/>
      <c r="D58" s="206"/>
      <c r="E58" s="206"/>
      <c r="F58" s="206"/>
    </row>
    <row r="59" spans="1:7">
      <c r="A59" t="s">
        <v>302</v>
      </c>
      <c r="C59" s="193">
        <f>C55+C48+C41+C34</f>
        <v>0</v>
      </c>
      <c r="D59" s="193">
        <f>D55+D48+D41+D34</f>
        <v>1818125</v>
      </c>
      <c r="E59" s="193">
        <f>E55+E48+E41+E34</f>
        <v>1818125</v>
      </c>
      <c r="F59" s="193">
        <f>F55+F48+F41+F34</f>
        <v>1818125</v>
      </c>
      <c r="G59" s="193">
        <f>G55+G48+G41+G34</f>
        <v>5454375</v>
      </c>
    </row>
    <row r="60" spans="1:7">
      <c r="C60" s="193"/>
      <c r="D60" s="206"/>
      <c r="E60" s="206"/>
      <c r="F60" s="206"/>
    </row>
    <row r="61" spans="1:7">
      <c r="C61" s="193"/>
      <c r="D61" s="206"/>
      <c r="E61" s="206"/>
      <c r="F61" s="206"/>
    </row>
    <row r="62" spans="1:7">
      <c r="C62" s="193"/>
      <c r="D62" s="206"/>
      <c r="E62" s="206"/>
      <c r="F62" s="206"/>
    </row>
    <row r="63" spans="1:7">
      <c r="C63" s="193"/>
    </row>
    <row r="64" spans="1:7">
      <c r="A64" s="213" t="s">
        <v>12</v>
      </c>
      <c r="C64" s="193"/>
    </row>
    <row r="65" spans="1:3">
      <c r="A65" t="s">
        <v>303</v>
      </c>
      <c r="C65" s="193"/>
    </row>
    <row r="66" spans="1:3">
      <c r="A66" t="s">
        <v>304</v>
      </c>
      <c r="C66" s="193"/>
    </row>
    <row r="67" spans="1:3">
      <c r="A67" t="s">
        <v>305</v>
      </c>
      <c r="C67" s="193"/>
    </row>
    <row r="68" spans="1:3">
      <c r="A68" t="s">
        <v>306</v>
      </c>
      <c r="C68" s="193"/>
    </row>
    <row r="69" spans="1:3">
      <c r="C69" s="201"/>
    </row>
  </sheetData>
  <mergeCells count="1">
    <mergeCell ref="C8:G8"/>
  </mergeCells>
  <printOptions horizontalCentered="1" verticalCentered="1"/>
  <pageMargins left="0.5" right="0.5" top="1" bottom="1" header="0.5" footer="0.5"/>
  <pageSetup scale="76" orientation="portrait" r:id="rId1"/>
  <headerFooter alignWithMargins="0">
    <oddFooter>&amp;L&amp;8&amp;F  (&amp;A)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workbookViewId="0"/>
  </sheetViews>
  <sheetFormatPr defaultRowHeight="12.75"/>
  <cols>
    <col min="1" max="1" width="23.28515625" customWidth="1"/>
    <col min="2" max="2" width="8.28515625" customWidth="1"/>
    <col min="3" max="3" width="15" bestFit="1" customWidth="1"/>
    <col min="4" max="4" width="19.42578125" customWidth="1"/>
    <col min="5" max="5" width="14" bestFit="1" customWidth="1"/>
    <col min="6" max="6" width="14.7109375" customWidth="1"/>
    <col min="7" max="7" width="14.140625" bestFit="1" customWidth="1"/>
  </cols>
  <sheetData>
    <row r="1" spans="1:8">
      <c r="A1" t="s">
        <v>58</v>
      </c>
    </row>
    <row r="2" spans="1:8">
      <c r="A2" t="s">
        <v>59</v>
      </c>
    </row>
    <row r="3" spans="1:8">
      <c r="A3" t="s">
        <v>60</v>
      </c>
    </row>
    <row r="7" spans="1:8">
      <c r="G7" s="42" t="s">
        <v>62</v>
      </c>
    </row>
    <row r="8" spans="1:8">
      <c r="B8" s="6" t="s">
        <v>47</v>
      </c>
      <c r="C8" s="6" t="s">
        <v>48</v>
      </c>
      <c r="D8" s="6" t="s">
        <v>49</v>
      </c>
      <c r="E8" s="6" t="s">
        <v>50</v>
      </c>
      <c r="F8" s="6" t="s">
        <v>51</v>
      </c>
      <c r="G8" s="47" t="s">
        <v>9</v>
      </c>
    </row>
    <row r="9" spans="1:8">
      <c r="B9" s="4"/>
      <c r="G9" s="43"/>
    </row>
    <row r="10" spans="1:8">
      <c r="B10" s="4"/>
      <c r="G10" s="43"/>
    </row>
    <row r="11" spans="1:8">
      <c r="A11" t="s">
        <v>61</v>
      </c>
      <c r="B11" s="4"/>
      <c r="D11" s="21">
        <f>+D18/C18</f>
        <v>0.45083166717895345</v>
      </c>
      <c r="E11" s="21">
        <f>+E18/C18</f>
        <v>0.19562243405056154</v>
      </c>
      <c r="F11" s="21">
        <f>+F18/C18</f>
        <v>0.35234327321494685</v>
      </c>
      <c r="G11" s="43"/>
    </row>
    <row r="12" spans="1:8">
      <c r="B12" s="4"/>
      <c r="D12" s="21"/>
      <c r="E12" s="21"/>
      <c r="F12" s="21"/>
      <c r="G12" s="43"/>
    </row>
    <row r="13" spans="1:8">
      <c r="A13" t="s">
        <v>52</v>
      </c>
      <c r="B13" s="22">
        <f>+C13/C14</f>
        <v>1.9449705373640179E-2</v>
      </c>
      <c r="C13" s="23">
        <v>175000</v>
      </c>
      <c r="D13" s="23">
        <f>+D14/$C14*$C13</f>
        <v>78895.541756316845</v>
      </c>
      <c r="E13" s="23">
        <f>+E14/$C14*$C13</f>
        <v>34227.583736649838</v>
      </c>
      <c r="F13" s="23">
        <f>+F14/$C14*$C13</f>
        <v>61876.874507033332</v>
      </c>
      <c r="G13" s="44">
        <f>SUM(D13:F13)</f>
        <v>175000</v>
      </c>
    </row>
    <row r="14" spans="1:8">
      <c r="A14" t="s">
        <v>53</v>
      </c>
      <c r="C14" s="24">
        <f>+D14+E14+F14</f>
        <v>8997565.5999999996</v>
      </c>
      <c r="D14" s="216">
        <v>4056387.5</v>
      </c>
      <c r="E14" s="216">
        <v>1759799.6</v>
      </c>
      <c r="F14" s="216">
        <v>3181378.5</v>
      </c>
      <c r="G14" s="44">
        <f t="shared" ref="G14:G18" si="0">SUM(D14:F14)</f>
        <v>8997565.5999999996</v>
      </c>
      <c r="H14" t="s">
        <v>314</v>
      </c>
    </row>
    <row r="15" spans="1:8">
      <c r="A15" t="s">
        <v>54</v>
      </c>
      <c r="B15" s="25">
        <v>0.05</v>
      </c>
      <c r="C15" s="24">
        <f>SUM(D15:F15)</f>
        <v>449878.28</v>
      </c>
      <c r="D15" s="23">
        <f>+$B15*D14</f>
        <v>202819.375</v>
      </c>
      <c r="E15" s="23">
        <f>+$B15*E14</f>
        <v>87989.98000000001</v>
      </c>
      <c r="F15" s="23">
        <f>+$B15*F14</f>
        <v>159068.92500000002</v>
      </c>
      <c r="G15" s="44">
        <f t="shared" si="0"/>
        <v>449878.28</v>
      </c>
    </row>
    <row r="16" spans="1:8">
      <c r="A16" t="s">
        <v>55</v>
      </c>
      <c r="C16" s="23">
        <v>50000</v>
      </c>
      <c r="D16" s="23">
        <f>+$D14/$C14*C16</f>
        <v>22541.583358947672</v>
      </c>
      <c r="E16" s="23">
        <f>+$D14/$C14*D16</f>
        <v>10162.459606567731</v>
      </c>
      <c r="F16" s="23">
        <f>+$D14/$C14*E16</f>
        <v>4581.5586070677009</v>
      </c>
      <c r="G16" s="45">
        <f t="shared" si="0"/>
        <v>37285.601572583102</v>
      </c>
      <c r="H16" s="39" t="s">
        <v>313</v>
      </c>
    </row>
    <row r="17" spans="1:7">
      <c r="A17" t="s">
        <v>56</v>
      </c>
      <c r="B17" s="25">
        <v>0.1</v>
      </c>
      <c r="C17" s="26">
        <f>SUM(D17:F17)</f>
        <v>899756.56</v>
      </c>
      <c r="D17" s="27">
        <f>+D14*$B17</f>
        <v>405638.75</v>
      </c>
      <c r="E17" s="27">
        <f>+E14*$B17</f>
        <v>175979.96000000002</v>
      </c>
      <c r="F17" s="27">
        <f>+F14*$B17</f>
        <v>318137.85000000003</v>
      </c>
      <c r="G17" s="46">
        <f t="shared" si="0"/>
        <v>899756.56</v>
      </c>
    </row>
    <row r="18" spans="1:7">
      <c r="C18" s="24">
        <f>SUM(C13:C17)</f>
        <v>10572200.439999999</v>
      </c>
      <c r="D18" s="24">
        <f>SUM(D13:D17)</f>
        <v>4766282.7501152651</v>
      </c>
      <c r="E18" s="24">
        <f>SUM(E13:E17)</f>
        <v>2068159.5833432176</v>
      </c>
      <c r="F18" s="24">
        <f>SUM(F13:F17)</f>
        <v>3725043.7081141011</v>
      </c>
      <c r="G18" s="46">
        <f t="shared" si="0"/>
        <v>10559486.041572584</v>
      </c>
    </row>
    <row r="22" spans="1:7">
      <c r="A22" t="s">
        <v>57</v>
      </c>
    </row>
    <row r="25" spans="1:7">
      <c r="A25" t="s">
        <v>12</v>
      </c>
    </row>
    <row r="27" spans="1:7">
      <c r="A27" t="s">
        <v>80</v>
      </c>
    </row>
    <row r="28" spans="1:7">
      <c r="A28" t="s">
        <v>81</v>
      </c>
    </row>
    <row r="41" ht="12" customHeight="1"/>
  </sheetData>
  <printOptions verticalCentered="1"/>
  <pageMargins left="0.7" right="0.7" top="0.75" bottom="0.75" header="0.3" footer="0.3"/>
  <pageSetup orientation="portrait" r:id="rId1"/>
  <headerFooter>
    <oddFooter>&amp;L&amp;8&amp;Z&amp;F&amp;A&amp;R&amp;D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4" sqref="B14"/>
    </sheetView>
  </sheetViews>
  <sheetFormatPr defaultRowHeight="12.75"/>
  <cols>
    <col min="1" max="1" width="34.7109375" customWidth="1"/>
    <col min="2" max="3" width="11.42578125" bestFit="1" customWidth="1"/>
    <col min="4" max="4" width="11.140625" bestFit="1" customWidth="1"/>
    <col min="5" max="5" width="11.42578125" bestFit="1" customWidth="1"/>
    <col min="6" max="7" width="11.42578125" customWidth="1"/>
    <col min="8" max="8" width="10.28515625" bestFit="1" customWidth="1"/>
    <col min="9" max="9" width="12.42578125" bestFit="1" customWidth="1"/>
    <col min="10" max="10" width="22.5703125" bestFit="1" customWidth="1"/>
  </cols>
  <sheetData>
    <row r="1" spans="1:11">
      <c r="A1" s="171" t="s">
        <v>67</v>
      </c>
      <c r="B1" s="171"/>
      <c r="C1" s="171"/>
      <c r="D1" s="171"/>
      <c r="E1" s="171"/>
      <c r="F1" s="171"/>
      <c r="G1" s="171"/>
      <c r="H1" s="171"/>
      <c r="I1" s="171"/>
      <c r="J1" s="225" t="str">
        <f>Assumptions!$B$12</f>
        <v>Internal</v>
      </c>
      <c r="K1" s="171"/>
    </row>
    <row r="2" spans="1:11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6" t="str">
        <f>Assumptions!$B$13</f>
        <v>Working Draft - v1</v>
      </c>
      <c r="K2" s="171"/>
    </row>
    <row r="3" spans="1:11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7">
        <f>Assumptions!$B$14</f>
        <v>41075</v>
      </c>
      <c r="K3" s="171"/>
    </row>
    <row r="4" spans="1:11">
      <c r="A4" s="171" t="s">
        <v>77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spans="1:11">
      <c r="A10" s="171"/>
      <c r="B10" s="228" t="s">
        <v>0</v>
      </c>
      <c r="C10" s="228" t="s">
        <v>1</v>
      </c>
      <c r="D10" s="228" t="s">
        <v>2</v>
      </c>
      <c r="E10" s="228" t="s">
        <v>3</v>
      </c>
      <c r="F10" s="228" t="s">
        <v>4</v>
      </c>
      <c r="G10" s="228" t="s">
        <v>326</v>
      </c>
      <c r="H10" s="228" t="s">
        <v>363</v>
      </c>
      <c r="I10" s="228"/>
      <c r="J10" s="171"/>
      <c r="K10" s="171"/>
    </row>
    <row r="11" spans="1:11">
      <c r="A11" s="171"/>
      <c r="B11" s="228" t="s">
        <v>5</v>
      </c>
      <c r="C11" s="228" t="s">
        <v>5</v>
      </c>
      <c r="D11" s="228" t="s">
        <v>5</v>
      </c>
      <c r="E11" s="228" t="s">
        <v>5</v>
      </c>
      <c r="F11" s="228" t="s">
        <v>5</v>
      </c>
      <c r="G11" s="228" t="s">
        <v>5</v>
      </c>
      <c r="H11" s="228" t="s">
        <v>5</v>
      </c>
      <c r="I11" s="228"/>
      <c r="J11" s="228" t="s">
        <v>6</v>
      </c>
      <c r="K11" s="171"/>
    </row>
    <row r="12" spans="1:11">
      <c r="A12" s="229" t="s">
        <v>7</v>
      </c>
      <c r="B12" s="230" t="s">
        <v>8</v>
      </c>
      <c r="C12" s="230" t="s">
        <v>8</v>
      </c>
      <c r="D12" s="230" t="s">
        <v>8</v>
      </c>
      <c r="E12" s="230" t="s">
        <v>8</v>
      </c>
      <c r="F12" s="230" t="s">
        <v>8</v>
      </c>
      <c r="G12" s="230" t="s">
        <v>8</v>
      </c>
      <c r="H12" s="230" t="s">
        <v>8</v>
      </c>
      <c r="I12" s="230" t="s">
        <v>9</v>
      </c>
      <c r="J12" s="230" t="s">
        <v>10</v>
      </c>
      <c r="K12" s="171"/>
    </row>
    <row r="13" spans="1:11">
      <c r="A13" s="231"/>
      <c r="B13" s="232"/>
      <c r="C13" s="232"/>
      <c r="D13" s="232"/>
      <c r="E13" s="232"/>
      <c r="F13" s="232"/>
      <c r="G13" s="232"/>
      <c r="H13" s="232"/>
      <c r="I13" s="232"/>
      <c r="J13" s="232"/>
      <c r="K13" s="171"/>
    </row>
    <row r="14" spans="1:11">
      <c r="A14" s="171"/>
      <c r="B14" s="171"/>
      <c r="C14" s="171"/>
      <c r="D14" s="171"/>
      <c r="E14" s="233"/>
      <c r="F14" s="233"/>
      <c r="G14" s="233"/>
      <c r="H14" s="171"/>
      <c r="I14" s="171"/>
      <c r="J14" s="171"/>
      <c r="K14" s="171"/>
    </row>
    <row r="15" spans="1:11">
      <c r="A15" s="96" t="s">
        <v>135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>
      <c r="A16" s="171" t="s">
        <v>13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>
      <c r="A17" s="234" t="s">
        <v>63</v>
      </c>
      <c r="B17" s="235">
        <v>0</v>
      </c>
      <c r="C17" s="235">
        <v>0</v>
      </c>
      <c r="D17" s="235">
        <v>0</v>
      </c>
      <c r="E17" s="235">
        <v>0</v>
      </c>
      <c r="F17" s="235">
        <v>0</v>
      </c>
      <c r="G17" s="235">
        <v>0</v>
      </c>
      <c r="H17" s="235">
        <v>0</v>
      </c>
      <c r="I17" s="235">
        <f>SUM(B17:H17)</f>
        <v>0</v>
      </c>
      <c r="J17" s="171"/>
      <c r="K17" s="171"/>
    </row>
    <row r="18" spans="1:11">
      <c r="A18" s="234" t="s">
        <v>411</v>
      </c>
      <c r="B18" s="236">
        <f>'2. CIP From Master Plan'!E102</f>
        <v>1740484</v>
      </c>
      <c r="C18" s="236">
        <f>'2. CIP From Master Plan'!F102</f>
        <v>14279496</v>
      </c>
      <c r="D18" s="236">
        <f>'2. CIP From Master Plan'!G102</f>
        <v>260610</v>
      </c>
      <c r="E18" s="236">
        <f>'2. CIP From Master Plan'!H102</f>
        <v>33293459</v>
      </c>
      <c r="F18" s="236">
        <f>'2. CIP From Master Plan'!I102</f>
        <v>1964264</v>
      </c>
      <c r="G18" s="236">
        <f>'2. CIP From Master Plan'!J102</f>
        <v>438307</v>
      </c>
      <c r="H18" s="236">
        <f>'2. CIP From Master Plan'!K102</f>
        <v>1202380</v>
      </c>
      <c r="I18" s="236">
        <f>SUM(B18:H18)</f>
        <v>53179000</v>
      </c>
      <c r="J18" s="171" t="s">
        <v>78</v>
      </c>
      <c r="K18" s="171"/>
    </row>
    <row r="19" spans="1:11">
      <c r="A19" s="234" t="s">
        <v>14</v>
      </c>
      <c r="B19" s="237">
        <f t="shared" ref="B19:H19" si="0">SUM(B17:B18)</f>
        <v>1740484</v>
      </c>
      <c r="C19" s="237">
        <f t="shared" si="0"/>
        <v>14279496</v>
      </c>
      <c r="D19" s="237">
        <f t="shared" si="0"/>
        <v>260610</v>
      </c>
      <c r="E19" s="237">
        <f t="shared" si="0"/>
        <v>33293459</v>
      </c>
      <c r="F19" s="237">
        <f t="shared" si="0"/>
        <v>1964264</v>
      </c>
      <c r="G19" s="237">
        <f t="shared" si="0"/>
        <v>438307</v>
      </c>
      <c r="H19" s="237">
        <f t="shared" si="0"/>
        <v>1202380</v>
      </c>
      <c r="I19" s="235">
        <f>SUM(B19:H19)</f>
        <v>53179000</v>
      </c>
      <c r="J19" s="238"/>
      <c r="K19" s="171"/>
    </row>
    <row r="20" spans="1:11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>
      <c r="A21" s="253" t="s">
        <v>418</v>
      </c>
      <c r="B21" s="243">
        <f>B19*0.19</f>
        <v>330691.96000000002</v>
      </c>
      <c r="C21" s="243">
        <f t="shared" ref="C21:H21" si="1">C19*0.19</f>
        <v>2713104.24</v>
      </c>
      <c r="D21" s="243">
        <f t="shared" si="1"/>
        <v>49515.9</v>
      </c>
      <c r="E21" s="243">
        <f t="shared" si="1"/>
        <v>6325757.21</v>
      </c>
      <c r="F21" s="243">
        <f t="shared" si="1"/>
        <v>373210.16000000003</v>
      </c>
      <c r="G21" s="243">
        <f t="shared" si="1"/>
        <v>83278.33</v>
      </c>
      <c r="H21" s="243">
        <f t="shared" si="1"/>
        <v>228452.2</v>
      </c>
      <c r="I21" s="254">
        <f>SUM(B21:H21)</f>
        <v>10104010</v>
      </c>
      <c r="J21" s="171" t="s">
        <v>419</v>
      </c>
      <c r="K21" s="171"/>
    </row>
    <row r="22" spans="1:11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>
      <c r="A23" s="171" t="s">
        <v>315</v>
      </c>
      <c r="B23" s="239">
        <v>0</v>
      </c>
      <c r="C23" s="239">
        <v>0</v>
      </c>
      <c r="D23" s="239">
        <v>0</v>
      </c>
      <c r="E23" s="239">
        <v>0</v>
      </c>
      <c r="F23" s="239">
        <v>0</v>
      </c>
      <c r="G23" s="239">
        <v>0</v>
      </c>
      <c r="H23" s="239">
        <v>0</v>
      </c>
      <c r="I23" s="240">
        <f>SUM(B23:H23)</f>
        <v>0</v>
      </c>
      <c r="J23" s="171"/>
      <c r="K23" s="171"/>
    </row>
    <row r="24" spans="1:11">
      <c r="A24" s="171"/>
      <c r="B24" s="241"/>
      <c r="C24" s="241"/>
      <c r="D24" s="241"/>
      <c r="E24" s="241"/>
      <c r="F24" s="241"/>
      <c r="G24" s="241"/>
      <c r="H24" s="241"/>
      <c r="I24" s="236"/>
      <c r="J24" s="171"/>
      <c r="K24" s="171"/>
    </row>
    <row r="25" spans="1:11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>
      <c r="A26" s="171" t="s">
        <v>321</v>
      </c>
      <c r="B26" s="239">
        <f>B19+B23+B21</f>
        <v>2071175.96</v>
      </c>
      <c r="C26" s="239">
        <f t="shared" ref="C26:I26" si="2">C19+C23+C21</f>
        <v>16992600.240000002</v>
      </c>
      <c r="D26" s="239">
        <f t="shared" si="2"/>
        <v>310125.90000000002</v>
      </c>
      <c r="E26" s="239">
        <f t="shared" si="2"/>
        <v>39619216.210000001</v>
      </c>
      <c r="F26" s="239">
        <f t="shared" si="2"/>
        <v>2337474.16</v>
      </c>
      <c r="G26" s="239">
        <f t="shared" si="2"/>
        <v>521585.33</v>
      </c>
      <c r="H26" s="239">
        <f t="shared" si="2"/>
        <v>1430832.2</v>
      </c>
      <c r="I26" s="239">
        <f t="shared" si="2"/>
        <v>63283010</v>
      </c>
      <c r="J26" s="171"/>
      <c r="K26" s="171"/>
    </row>
    <row r="27" spans="1:11">
      <c r="A27" s="234" t="s">
        <v>322</v>
      </c>
      <c r="B27" s="242">
        <f t="shared" ref="B27:I27" si="3">B26/$I$26</f>
        <v>3.2728783918464052E-2</v>
      </c>
      <c r="C27" s="242">
        <f t="shared" si="3"/>
        <v>0.26851757272607613</v>
      </c>
      <c r="D27" s="242">
        <f t="shared" si="3"/>
        <v>4.9006186652626044E-3</v>
      </c>
      <c r="E27" s="242">
        <f t="shared" si="3"/>
        <v>0.62606402903401726</v>
      </c>
      <c r="F27" s="242">
        <f t="shared" ref="F27:G27" si="4">F26/$I$26</f>
        <v>3.6936835969085542E-2</v>
      </c>
      <c r="G27" s="242">
        <f t="shared" si="4"/>
        <v>8.2421068466876028E-3</v>
      </c>
      <c r="H27" s="242">
        <f t="shared" si="3"/>
        <v>2.2610052840406927E-2</v>
      </c>
      <c r="I27" s="242">
        <f t="shared" si="3"/>
        <v>1</v>
      </c>
      <c r="J27" s="171"/>
      <c r="K27" s="171"/>
    </row>
    <row r="28" spans="1:11">
      <c r="A28" s="234"/>
      <c r="B28" s="242"/>
      <c r="C28" s="242"/>
      <c r="D28" s="242"/>
      <c r="E28" s="242"/>
      <c r="F28" s="242"/>
      <c r="G28" s="242"/>
      <c r="H28" s="242"/>
      <c r="I28" s="171"/>
      <c r="J28" s="171"/>
      <c r="K28" s="171"/>
    </row>
    <row r="29" spans="1:11">
      <c r="A29" s="96" t="s">
        <v>137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</row>
    <row r="30" spans="1:11">
      <c r="A30" s="234" t="s">
        <v>321</v>
      </c>
      <c r="B30" s="235"/>
      <c r="C30" s="235"/>
      <c r="D30" s="235"/>
      <c r="E30" s="235"/>
      <c r="F30" s="235"/>
      <c r="G30" s="235"/>
      <c r="H30" s="235"/>
      <c r="I30" s="235"/>
      <c r="J30" s="171"/>
      <c r="K30" s="171"/>
    </row>
    <row r="31" spans="1:11">
      <c r="A31" s="234" t="s">
        <v>324</v>
      </c>
      <c r="B31" s="236">
        <f>(B19/1000)*'6. Financing Assumptions'!$B$19*'6. Financing Assumptions'!$B$15</f>
        <v>590890.26058733452</v>
      </c>
      <c r="C31" s="236">
        <f>(C19/1000)*'6. Financing Assumptions'!$B$19*'6. Financing Assumptions'!$B$15</f>
        <v>4847855.6036687493</v>
      </c>
      <c r="D31" s="236">
        <f>(D19/1000)*'6. Financing Assumptions'!$B$19*'6. Financing Assumptions'!$B$15</f>
        <v>88476.48746651235</v>
      </c>
      <c r="E31" s="236">
        <f>(E19/1000)*'6. Financing Assumptions'!$B$19*'6. Financing Assumptions'!$B$15</f>
        <v>11303051.716857919</v>
      </c>
      <c r="F31" s="236">
        <f>(F19/1000)*'6. Financing Assumptions'!$B$19*'6. Financing Assumptions'!$B$15</f>
        <v>666863.04891186592</v>
      </c>
      <c r="G31" s="236">
        <f>(G19/1000)*'6. Financing Assumptions'!$B$19*'6. Financing Assumptions'!$B$15</f>
        <v>148804.20471963711</v>
      </c>
      <c r="H31" s="236">
        <f>(H19/1000)*'6. Financing Assumptions'!$B$19*'6. Financing Assumptions'!$B$15</f>
        <v>408205.20701425546</v>
      </c>
      <c r="I31" s="236">
        <f>SUM(B31:H31)</f>
        <v>18054146.529226273</v>
      </c>
      <c r="J31" s="171" t="s">
        <v>199</v>
      </c>
      <c r="K31" s="171"/>
    </row>
    <row r="32" spans="1:11">
      <c r="A32" s="234" t="s">
        <v>325</v>
      </c>
      <c r="B32" s="237">
        <f t="shared" ref="B32:H32" si="5">SUM(B30:B31)</f>
        <v>590890.26058733452</v>
      </c>
      <c r="C32" s="237">
        <f t="shared" si="5"/>
        <v>4847855.6036687493</v>
      </c>
      <c r="D32" s="237">
        <f t="shared" si="5"/>
        <v>88476.48746651235</v>
      </c>
      <c r="E32" s="237">
        <f t="shared" si="5"/>
        <v>11303051.716857919</v>
      </c>
      <c r="F32" s="237">
        <f t="shared" si="5"/>
        <v>666863.04891186592</v>
      </c>
      <c r="G32" s="237">
        <f t="shared" si="5"/>
        <v>148804.20471963711</v>
      </c>
      <c r="H32" s="237">
        <f t="shared" si="5"/>
        <v>408205.20701425546</v>
      </c>
      <c r="I32" s="235">
        <f>SUM(B32:H32)</f>
        <v>18054146.529226273</v>
      </c>
      <c r="J32" s="238"/>
      <c r="K32" s="171"/>
    </row>
    <row r="33" spans="1:11">
      <c r="A33" s="234"/>
      <c r="B33" s="242">
        <f t="shared" ref="B33:H33" si="6">IF(B19&gt;0,B32/B19,0)</f>
        <v>0.3394976688020887</v>
      </c>
      <c r="C33" s="242">
        <f t="shared" si="6"/>
        <v>0.33949766880208865</v>
      </c>
      <c r="D33" s="242">
        <f t="shared" si="6"/>
        <v>0.33949766880208876</v>
      </c>
      <c r="E33" s="242">
        <f t="shared" si="6"/>
        <v>0.3394976688020887</v>
      </c>
      <c r="F33" s="242">
        <f t="shared" si="6"/>
        <v>0.3394976688020887</v>
      </c>
      <c r="G33" s="242">
        <f t="shared" si="6"/>
        <v>0.33949766880208876</v>
      </c>
      <c r="H33" s="242">
        <f t="shared" si="6"/>
        <v>0.33949766880208876</v>
      </c>
      <c r="I33" s="171"/>
      <c r="J33" s="171"/>
      <c r="K33" s="171"/>
    </row>
    <row r="34" spans="1:11">
      <c r="A34" s="234"/>
      <c r="B34" s="242"/>
      <c r="C34" s="242"/>
      <c r="D34" s="242"/>
      <c r="E34" s="242"/>
      <c r="F34" s="242"/>
      <c r="G34" s="242"/>
      <c r="H34" s="242"/>
      <c r="I34" s="171"/>
      <c r="J34" s="171"/>
      <c r="K34" s="171"/>
    </row>
    <row r="35" spans="1:11">
      <c r="A35" s="96" t="s">
        <v>136</v>
      </c>
      <c r="B35" s="242"/>
      <c r="C35" s="242"/>
      <c r="D35" s="242"/>
      <c r="E35" s="242"/>
      <c r="F35" s="242"/>
      <c r="G35" s="242"/>
      <c r="H35" s="242"/>
      <c r="I35" s="171"/>
      <c r="J35" s="171"/>
      <c r="K35" s="171"/>
    </row>
    <row r="36" spans="1:11">
      <c r="A36" s="171" t="s">
        <v>323</v>
      </c>
      <c r="B36" s="233">
        <f t="shared" ref="B36:H36" si="7">B27*$I$36</f>
        <v>0</v>
      </c>
      <c r="C36" s="233">
        <f t="shared" si="7"/>
        <v>0</v>
      </c>
      <c r="D36" s="233">
        <f t="shared" si="7"/>
        <v>0</v>
      </c>
      <c r="E36" s="233">
        <f t="shared" si="7"/>
        <v>0</v>
      </c>
      <c r="F36" s="233">
        <f t="shared" si="7"/>
        <v>0</v>
      </c>
      <c r="G36" s="233">
        <f t="shared" si="7"/>
        <v>0</v>
      </c>
      <c r="H36" s="233">
        <f t="shared" si="7"/>
        <v>0</v>
      </c>
      <c r="I36" s="243">
        <v>0</v>
      </c>
      <c r="J36" s="244" t="s">
        <v>421</v>
      </c>
      <c r="K36" s="171"/>
    </row>
    <row r="37" spans="1:11">
      <c r="A37" s="234" t="s">
        <v>11</v>
      </c>
      <c r="B37" s="249">
        <f>B26*0.02</f>
        <v>41423.519200000002</v>
      </c>
      <c r="C37" s="249">
        <f t="shared" ref="C37:H37" si="8">C26*0.02</f>
        <v>339852.00480000005</v>
      </c>
      <c r="D37" s="249">
        <f t="shared" si="8"/>
        <v>6202.5180000000009</v>
      </c>
      <c r="E37" s="249">
        <f t="shared" si="8"/>
        <v>792384.32420000003</v>
      </c>
      <c r="F37" s="249">
        <f t="shared" si="8"/>
        <v>46749.483200000002</v>
      </c>
      <c r="G37" s="249">
        <f t="shared" si="8"/>
        <v>10431.706600000001</v>
      </c>
      <c r="H37" s="249">
        <f t="shared" si="8"/>
        <v>28616.644</v>
      </c>
      <c r="I37" s="241">
        <f>SUM(B37:H37)</f>
        <v>1265660.2</v>
      </c>
      <c r="J37" s="244" t="s">
        <v>420</v>
      </c>
      <c r="K37" s="171"/>
    </row>
    <row r="38" spans="1:11">
      <c r="A38" s="171" t="s">
        <v>138</v>
      </c>
      <c r="B38" s="233">
        <f t="shared" ref="B38:I38" si="9">SUM(B35:B37)</f>
        <v>41423.519200000002</v>
      </c>
      <c r="C38" s="233">
        <f t="shared" si="9"/>
        <v>339852.00480000005</v>
      </c>
      <c r="D38" s="233">
        <f t="shared" si="9"/>
        <v>6202.5180000000009</v>
      </c>
      <c r="E38" s="233">
        <f t="shared" si="9"/>
        <v>792384.32420000003</v>
      </c>
      <c r="F38" s="233">
        <f t="shared" si="9"/>
        <v>46749.483200000002</v>
      </c>
      <c r="G38" s="233">
        <f t="shared" si="9"/>
        <v>10431.706600000001</v>
      </c>
      <c r="H38" s="233">
        <f t="shared" si="9"/>
        <v>28616.644</v>
      </c>
      <c r="I38" s="233">
        <f t="shared" si="9"/>
        <v>1265660.2</v>
      </c>
      <c r="J38" s="171"/>
      <c r="K38" s="171"/>
    </row>
    <row r="39" spans="1:11">
      <c r="A39" s="171"/>
      <c r="B39" s="233"/>
      <c r="C39" s="233"/>
      <c r="D39" s="233"/>
      <c r="E39" s="233"/>
      <c r="F39" s="233"/>
      <c r="G39" s="233"/>
      <c r="H39" s="233"/>
      <c r="I39" s="235"/>
      <c r="J39" s="171"/>
      <c r="K39" s="171"/>
    </row>
    <row r="40" spans="1:11">
      <c r="A40" s="171"/>
      <c r="B40" s="233"/>
      <c r="C40" s="233"/>
      <c r="D40" s="233"/>
      <c r="E40" s="233"/>
      <c r="F40" s="233"/>
      <c r="G40" s="233"/>
      <c r="H40" s="233"/>
      <c r="I40" s="235"/>
      <c r="J40" s="171"/>
      <c r="K40" s="171"/>
    </row>
    <row r="41" spans="1:11">
      <c r="A41" s="96" t="s">
        <v>139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</row>
    <row r="42" spans="1:11">
      <c r="A42" s="171" t="s">
        <v>140</v>
      </c>
      <c r="B42" s="243">
        <f>'3. Fund Balance Sewer'!D65</f>
        <v>47999</v>
      </c>
      <c r="C42" s="243">
        <f>'3. Fund Balance Sewer'!E65</f>
        <v>-2755991</v>
      </c>
      <c r="D42" s="243">
        <f>'3. Fund Balance Sewer'!F65</f>
        <v>1055339</v>
      </c>
      <c r="E42" s="243">
        <f>'3. Fund Balance Sewer'!G65</f>
        <v>-3224449</v>
      </c>
      <c r="F42" s="243">
        <f>'3. Fund Balance Sewer'!K65</f>
        <v>-8920</v>
      </c>
      <c r="G42" s="243">
        <v>0</v>
      </c>
      <c r="H42" s="243">
        <v>0</v>
      </c>
      <c r="I42" s="235">
        <f>SUM(B42:H42)</f>
        <v>-4886022</v>
      </c>
      <c r="J42" s="171" t="s">
        <v>133</v>
      </c>
      <c r="K42" s="171"/>
    </row>
    <row r="43" spans="1:11">
      <c r="A43" s="171" t="s">
        <v>327</v>
      </c>
      <c r="B43" s="239">
        <v>0</v>
      </c>
      <c r="C43" s="239">
        <v>0</v>
      </c>
      <c r="D43" s="239">
        <v>0</v>
      </c>
      <c r="E43" s="239">
        <v>0</v>
      </c>
      <c r="F43" s="239">
        <v>0</v>
      </c>
      <c r="G43" s="239">
        <v>0</v>
      </c>
      <c r="H43" s="239">
        <v>0</v>
      </c>
      <c r="I43" s="240">
        <f>SUM(B43:H43)</f>
        <v>0</v>
      </c>
      <c r="J43" s="171"/>
      <c r="K43" s="171"/>
    </row>
    <row r="44" spans="1:11">
      <c r="A44" s="171"/>
      <c r="B44" s="229" t="s">
        <v>142</v>
      </c>
      <c r="C44" s="229"/>
      <c r="D44" s="229"/>
      <c r="E44" s="229"/>
      <c r="F44" s="229"/>
      <c r="G44" s="229"/>
      <c r="H44" s="229"/>
      <c r="I44" s="229"/>
      <c r="J44" s="171"/>
      <c r="K44" s="171"/>
    </row>
    <row r="45" spans="1:11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</row>
    <row r="46" spans="1:11">
      <c r="A46" s="171" t="s">
        <v>141</v>
      </c>
      <c r="B46" s="233">
        <f>SUM(B41:B44)</f>
        <v>47999</v>
      </c>
      <c r="C46" s="233">
        <f t="shared" ref="C46:I46" si="10">SUM(C41:C44)</f>
        <v>-2755991</v>
      </c>
      <c r="D46" s="233">
        <f t="shared" si="10"/>
        <v>1055339</v>
      </c>
      <c r="E46" s="233">
        <f t="shared" si="10"/>
        <v>-3224449</v>
      </c>
      <c r="F46" s="233">
        <f t="shared" ref="F46:G46" si="11">SUM(F41:F44)</f>
        <v>-8920</v>
      </c>
      <c r="G46" s="233">
        <f t="shared" si="11"/>
        <v>0</v>
      </c>
      <c r="H46" s="233">
        <f t="shared" si="10"/>
        <v>0</v>
      </c>
      <c r="I46" s="233">
        <f t="shared" si="10"/>
        <v>-4886022</v>
      </c>
      <c r="J46" s="171"/>
      <c r="K46" s="171"/>
    </row>
    <row r="47" spans="1:11">
      <c r="A47" s="171"/>
      <c r="B47" s="171"/>
      <c r="C47" s="171"/>
      <c r="D47" s="171"/>
      <c r="E47" s="171"/>
      <c r="F47" s="171"/>
      <c r="G47" s="171"/>
      <c r="H47" s="171"/>
      <c r="I47" s="171"/>
      <c r="J47" s="171"/>
      <c r="K47" s="171"/>
    </row>
    <row r="48" spans="1:11">
      <c r="A48" s="171" t="s">
        <v>422</v>
      </c>
      <c r="B48" s="245">
        <f t="shared" ref="B48:I48" si="12">B26+B38+B32-B46</f>
        <v>2655490.7397873346</v>
      </c>
      <c r="C48" s="245">
        <f t="shared" si="12"/>
        <v>24936298.848468751</v>
      </c>
      <c r="D48" s="245">
        <f t="shared" si="12"/>
        <v>-650534.09453348769</v>
      </c>
      <c r="E48" s="245">
        <f t="shared" si="12"/>
        <v>54939101.251057915</v>
      </c>
      <c r="F48" s="245">
        <f t="shared" si="12"/>
        <v>3060006.6921118661</v>
      </c>
      <c r="G48" s="245">
        <f t="shared" si="12"/>
        <v>680821.24131963705</v>
      </c>
      <c r="H48" s="245">
        <f t="shared" si="12"/>
        <v>1867654.0510142555</v>
      </c>
      <c r="I48" s="245">
        <f t="shared" si="12"/>
        <v>87488838.729226276</v>
      </c>
      <c r="J48" s="171"/>
      <c r="K48" s="171"/>
    </row>
    <row r="49" spans="1:11">
      <c r="A49" s="171"/>
      <c r="B49" s="171"/>
      <c r="C49" s="171"/>
      <c r="D49" s="171"/>
      <c r="E49" s="171"/>
      <c r="F49" s="171"/>
      <c r="G49" s="171"/>
      <c r="H49" s="171"/>
      <c r="I49" s="171"/>
      <c r="J49" s="171"/>
      <c r="K49" s="171"/>
    </row>
    <row r="50" spans="1:11">
      <c r="A50" s="171" t="s">
        <v>143</v>
      </c>
      <c r="B50" s="246">
        <v>0</v>
      </c>
      <c r="C50" s="246">
        <v>0</v>
      </c>
      <c r="D50" s="246">
        <v>0</v>
      </c>
      <c r="E50" s="233">
        <v>3500000</v>
      </c>
      <c r="F50" s="246">
        <v>0</v>
      </c>
      <c r="G50" s="246">
        <v>0</v>
      </c>
      <c r="H50" s="246">
        <v>0</v>
      </c>
      <c r="I50" s="243">
        <f>SUM(B50:H50)</f>
        <v>3500000</v>
      </c>
      <c r="J50" s="171"/>
      <c r="K50" s="171"/>
    </row>
    <row r="51" spans="1:11">
      <c r="A51" s="171"/>
      <c r="B51" s="171"/>
      <c r="C51" s="171"/>
      <c r="D51" s="171"/>
      <c r="E51" s="171"/>
      <c r="F51" s="171"/>
      <c r="G51" s="171"/>
      <c r="H51" s="171"/>
      <c r="I51" s="171"/>
      <c r="J51" s="171"/>
      <c r="K51" s="171"/>
    </row>
    <row r="52" spans="1:11">
      <c r="A52" s="171" t="s">
        <v>144</v>
      </c>
      <c r="B52" s="233">
        <f>IF(OR(B50=0,B46&lt;0),0,(B46/B50))</f>
        <v>0</v>
      </c>
      <c r="C52" s="233">
        <f>IF(OR(C50=0,C46&lt;0),0,(C46/C50))</f>
        <v>0</v>
      </c>
      <c r="D52" s="233">
        <f>IF(OR(D50=0,D46&lt;0),0,(D46/D50))</f>
        <v>0</v>
      </c>
      <c r="E52" s="247">
        <f>IF(OR(E50=0,E48&lt;0),0,(E48/E50))</f>
        <v>15.696886071730834</v>
      </c>
      <c r="F52" s="233">
        <f>IF(OR(F50=0,F46&lt;0),0,(F46/F50))</f>
        <v>0</v>
      </c>
      <c r="G52" s="233">
        <f>IF(OR(G50=0,G46&lt;0),0,(G46/G50))</f>
        <v>0</v>
      </c>
      <c r="H52" s="233">
        <f>IF(OR(H50=0,H46&lt;0),0,(H46/H50))</f>
        <v>0</v>
      </c>
      <c r="I52" s="171"/>
      <c r="J52" s="171"/>
      <c r="K52" s="171"/>
    </row>
    <row r="53" spans="1:11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171"/>
    </row>
    <row r="54" spans="1:11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</row>
    <row r="55" spans="1:11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  <row r="56" spans="1:11">
      <c r="A56" s="248" t="s">
        <v>12</v>
      </c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11">
      <c r="A57" s="252" t="s">
        <v>414</v>
      </c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  <row r="58" spans="1:11">
      <c r="A58" s="171" t="s">
        <v>225</v>
      </c>
      <c r="B58" s="171"/>
      <c r="C58" s="171"/>
      <c r="D58" s="171"/>
      <c r="E58" s="171"/>
      <c r="F58" s="171"/>
      <c r="G58" s="171"/>
      <c r="H58" s="171"/>
      <c r="I58" s="171"/>
      <c r="J58" s="171"/>
      <c r="K58" s="171"/>
    </row>
    <row r="59" spans="1:11">
      <c r="A59" s="171" t="s">
        <v>415</v>
      </c>
      <c r="B59" s="171"/>
      <c r="C59" s="171"/>
      <c r="D59" s="171"/>
      <c r="E59" s="171"/>
      <c r="F59" s="171"/>
      <c r="G59" s="171"/>
      <c r="H59" s="171"/>
      <c r="I59" s="171"/>
      <c r="J59" s="171"/>
    </row>
    <row r="60" spans="1:11">
      <c r="A60" s="171" t="s">
        <v>416</v>
      </c>
      <c r="B60" s="171"/>
      <c r="C60" s="171"/>
      <c r="D60" s="171"/>
      <c r="E60" s="171"/>
      <c r="F60" s="171"/>
      <c r="G60" s="171"/>
    </row>
    <row r="61" spans="1:11">
      <c r="A61" s="171" t="s">
        <v>417</v>
      </c>
      <c r="B61" s="171"/>
      <c r="C61" s="171"/>
      <c r="D61" s="171"/>
      <c r="E61" s="171"/>
      <c r="F61" s="171"/>
      <c r="G61" s="171"/>
    </row>
    <row r="62" spans="1:11">
      <c r="A62" s="171"/>
      <c r="B62" s="171"/>
      <c r="C62" s="171"/>
      <c r="D62" s="171"/>
      <c r="E62" s="171"/>
      <c r="F62" s="171"/>
      <c r="G62" s="171"/>
    </row>
    <row r="63" spans="1:11">
      <c r="A63" s="171"/>
      <c r="B63" s="171"/>
      <c r="C63" s="171"/>
      <c r="D63" s="171"/>
      <c r="E63" s="171"/>
      <c r="F63" s="171"/>
      <c r="G63" s="171"/>
    </row>
  </sheetData>
  <printOptions horizontalCentered="1" verticalCentered="1"/>
  <pageMargins left="0.5" right="0.5" top="1" bottom="1" header="0.5" footer="0.5"/>
  <pageSetup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workbookViewId="0">
      <selection activeCell="J12" sqref="J12"/>
    </sheetView>
  </sheetViews>
  <sheetFormatPr defaultRowHeight="12.75"/>
  <cols>
    <col min="2" max="2" width="30.7109375" customWidth="1"/>
    <col min="3" max="3" width="14.140625" bestFit="1" customWidth="1"/>
    <col min="4" max="5" width="13.140625" bestFit="1" customWidth="1"/>
    <col min="6" max="6" width="14.140625" bestFit="1" customWidth="1"/>
    <col min="7" max="8" width="11.42578125" bestFit="1" customWidth="1"/>
    <col min="9" max="9" width="13.140625" bestFit="1" customWidth="1"/>
    <col min="10" max="10" width="9" customWidth="1"/>
    <col min="11" max="11" width="13.140625" bestFit="1" customWidth="1"/>
    <col min="12" max="12" width="13.140625" customWidth="1"/>
    <col min="13" max="13" width="16.140625" bestFit="1" customWidth="1"/>
    <col min="14" max="14" width="9.140625" bestFit="1" customWidth="1"/>
  </cols>
  <sheetData>
    <row r="1" spans="1:14">
      <c r="A1" s="171" t="s">
        <v>78</v>
      </c>
      <c r="M1" s="51" t="str">
        <f>Assumptions!$B$12</f>
        <v>Internal</v>
      </c>
    </row>
    <row r="2" spans="1:14">
      <c r="A2" s="171" t="str">
        <f>Assumptions!B10</f>
        <v>City of Manteca</v>
      </c>
      <c r="M2" s="52" t="str">
        <f>Assumptions!$B$13</f>
        <v>Working Draft - v1</v>
      </c>
    </row>
    <row r="3" spans="1:14">
      <c r="A3" s="171" t="str">
        <f>Assumptions!B18</f>
        <v>PFF Sewer Collection Fee</v>
      </c>
      <c r="M3" s="53">
        <f>Assumptions!$B$14</f>
        <v>41075</v>
      </c>
    </row>
    <row r="4" spans="1:14">
      <c r="A4" s="171" t="s">
        <v>424</v>
      </c>
    </row>
    <row r="7" spans="1:14">
      <c r="C7" s="228" t="s">
        <v>48</v>
      </c>
      <c r="D7" s="4"/>
      <c r="E7" s="228" t="s">
        <v>0</v>
      </c>
      <c r="F7" s="228" t="s">
        <v>1</v>
      </c>
      <c r="G7" s="228" t="s">
        <v>2</v>
      </c>
      <c r="H7" s="228" t="s">
        <v>3</v>
      </c>
      <c r="I7" s="228" t="s">
        <v>4</v>
      </c>
      <c r="J7" s="228" t="s">
        <v>326</v>
      </c>
      <c r="K7" s="228" t="s">
        <v>363</v>
      </c>
      <c r="L7" s="228" t="s">
        <v>48</v>
      </c>
      <c r="M7" s="228"/>
    </row>
    <row r="8" spans="1:14">
      <c r="C8" s="228" t="s">
        <v>328</v>
      </c>
      <c r="D8" s="228" t="s">
        <v>329</v>
      </c>
      <c r="E8" s="228" t="s">
        <v>5</v>
      </c>
      <c r="F8" s="228" t="s">
        <v>5</v>
      </c>
      <c r="G8" s="228" t="s">
        <v>5</v>
      </c>
      <c r="H8" s="228" t="s">
        <v>5</v>
      </c>
      <c r="I8" s="228" t="s">
        <v>5</v>
      </c>
      <c r="J8" s="228" t="s">
        <v>5</v>
      </c>
      <c r="K8" s="228" t="s">
        <v>5</v>
      </c>
      <c r="L8" s="228" t="s">
        <v>412</v>
      </c>
      <c r="M8" s="228"/>
    </row>
    <row r="9" spans="1:14">
      <c r="B9" s="229" t="s">
        <v>330</v>
      </c>
      <c r="C9" s="230" t="s">
        <v>5</v>
      </c>
      <c r="D9" s="230" t="s">
        <v>5</v>
      </c>
      <c r="E9" s="230" t="s">
        <v>8</v>
      </c>
      <c r="F9" s="230" t="s">
        <v>8</v>
      </c>
      <c r="G9" s="230" t="s">
        <v>8</v>
      </c>
      <c r="H9" s="230" t="s">
        <v>8</v>
      </c>
      <c r="I9" s="230" t="s">
        <v>8</v>
      </c>
      <c r="J9" s="230" t="s">
        <v>8</v>
      </c>
      <c r="K9" s="230" t="s">
        <v>8</v>
      </c>
      <c r="L9" s="230" t="s">
        <v>413</v>
      </c>
      <c r="M9" s="230" t="s">
        <v>9</v>
      </c>
      <c r="N9" s="250" t="s">
        <v>62</v>
      </c>
    </row>
    <row r="11" spans="1:14">
      <c r="B11" s="171" t="s">
        <v>331</v>
      </c>
      <c r="C11" s="97">
        <v>1484000</v>
      </c>
      <c r="D11" s="97">
        <v>785000</v>
      </c>
      <c r="E11" s="97">
        <v>398430</v>
      </c>
      <c r="F11" s="97">
        <v>286590</v>
      </c>
      <c r="G11" s="97">
        <v>13980</v>
      </c>
      <c r="H11" s="97">
        <v>0</v>
      </c>
      <c r="I11" s="97">
        <v>0</v>
      </c>
      <c r="J11" s="97"/>
      <c r="K11" s="97">
        <v>0</v>
      </c>
      <c r="L11" s="97">
        <f>SUM(E11:K11)</f>
        <v>699000</v>
      </c>
      <c r="M11" s="97">
        <f>L11+D11</f>
        <v>1484000</v>
      </c>
      <c r="N11" s="97">
        <f>M11-C11</f>
        <v>0</v>
      </c>
    </row>
    <row r="12" spans="1:14">
      <c r="B12" s="171" t="s">
        <v>332</v>
      </c>
      <c r="C12" s="97">
        <v>768000</v>
      </c>
      <c r="D12" s="97">
        <v>405000</v>
      </c>
      <c r="E12" s="97">
        <v>206910</v>
      </c>
      <c r="F12" s="97">
        <v>148830</v>
      </c>
      <c r="G12" s="97">
        <v>7260</v>
      </c>
      <c r="H12" s="97"/>
      <c r="I12" s="97"/>
      <c r="J12" s="97"/>
      <c r="K12" s="97"/>
      <c r="L12" s="97">
        <f t="shared" ref="L12:L75" si="0">SUM(E12:K12)</f>
        <v>363000</v>
      </c>
      <c r="M12" s="97">
        <f t="shared" ref="M12:M75" si="1">L12+D12</f>
        <v>768000</v>
      </c>
      <c r="N12" s="97">
        <f t="shared" ref="N12:N42" si="2">M12-C12</f>
        <v>0</v>
      </c>
    </row>
    <row r="13" spans="1:14">
      <c r="B13" s="171" t="s">
        <v>333</v>
      </c>
      <c r="C13" s="97">
        <v>592000</v>
      </c>
      <c r="D13" s="97">
        <v>525000</v>
      </c>
      <c r="E13" s="97">
        <v>64320</v>
      </c>
      <c r="F13" s="97">
        <v>0</v>
      </c>
      <c r="G13" s="97">
        <v>2680</v>
      </c>
      <c r="H13" s="97"/>
      <c r="I13" s="97"/>
      <c r="J13" s="97"/>
      <c r="K13" s="97"/>
      <c r="L13" s="97">
        <f t="shared" si="0"/>
        <v>67000</v>
      </c>
      <c r="M13" s="97">
        <f t="shared" si="1"/>
        <v>592000</v>
      </c>
      <c r="N13" s="97">
        <f t="shared" si="2"/>
        <v>0</v>
      </c>
    </row>
    <row r="14" spans="1:14">
      <c r="B14" s="171" t="s">
        <v>334</v>
      </c>
      <c r="C14" s="97">
        <v>304000</v>
      </c>
      <c r="D14" s="97">
        <v>270000</v>
      </c>
      <c r="E14" s="97">
        <v>32640</v>
      </c>
      <c r="F14" s="97">
        <v>0</v>
      </c>
      <c r="G14" s="97">
        <v>1360</v>
      </c>
      <c r="H14" s="97"/>
      <c r="I14" s="97"/>
      <c r="J14" s="97"/>
      <c r="K14" s="97"/>
      <c r="L14" s="97">
        <f t="shared" si="0"/>
        <v>34000</v>
      </c>
      <c r="M14" s="97">
        <f t="shared" si="1"/>
        <v>304000</v>
      </c>
      <c r="N14" s="97">
        <f t="shared" si="2"/>
        <v>0</v>
      </c>
    </row>
    <row r="15" spans="1:14">
      <c r="B15" s="171" t="s">
        <v>342</v>
      </c>
      <c r="C15" s="97">
        <v>290000</v>
      </c>
      <c r="D15" s="97">
        <v>85000</v>
      </c>
      <c r="E15" s="97">
        <v>0</v>
      </c>
      <c r="F15" s="97">
        <v>0</v>
      </c>
      <c r="G15" s="97">
        <v>205000</v>
      </c>
      <c r="H15" s="97"/>
      <c r="I15" s="97"/>
      <c r="J15" s="97"/>
      <c r="K15" s="97"/>
      <c r="L15" s="97">
        <f t="shared" si="0"/>
        <v>205000</v>
      </c>
      <c r="M15" s="97">
        <f t="shared" si="1"/>
        <v>290000</v>
      </c>
      <c r="N15" s="97">
        <f t="shared" si="2"/>
        <v>0</v>
      </c>
    </row>
    <row r="16" spans="1:14">
      <c r="B16" s="171" t="s">
        <v>335</v>
      </c>
      <c r="C16" s="97">
        <v>305000</v>
      </c>
      <c r="D16" s="97">
        <v>280000</v>
      </c>
      <c r="E16" s="97">
        <v>25000</v>
      </c>
      <c r="F16" s="97"/>
      <c r="G16" s="97"/>
      <c r="H16" s="97"/>
      <c r="I16" s="97"/>
      <c r="J16" s="97"/>
      <c r="K16" s="97"/>
      <c r="L16" s="97">
        <f t="shared" si="0"/>
        <v>25000</v>
      </c>
      <c r="M16" s="97">
        <f t="shared" si="1"/>
        <v>305000</v>
      </c>
      <c r="N16" s="97">
        <f t="shared" si="2"/>
        <v>0</v>
      </c>
    </row>
    <row r="17" spans="2:14">
      <c r="B17" s="171" t="s">
        <v>336</v>
      </c>
      <c r="C17" s="97">
        <v>295000</v>
      </c>
      <c r="D17" s="97">
        <v>270000</v>
      </c>
      <c r="E17" s="97">
        <v>25000</v>
      </c>
      <c r="F17" s="97"/>
      <c r="G17" s="97"/>
      <c r="H17" s="97"/>
      <c r="I17" s="97"/>
      <c r="J17" s="97"/>
      <c r="K17" s="97"/>
      <c r="L17" s="97">
        <f t="shared" si="0"/>
        <v>25000</v>
      </c>
      <c r="M17" s="97">
        <f t="shared" si="1"/>
        <v>295000</v>
      </c>
      <c r="N17" s="97">
        <f t="shared" si="2"/>
        <v>0</v>
      </c>
    </row>
    <row r="18" spans="2:14">
      <c r="B18" s="171" t="s">
        <v>337</v>
      </c>
      <c r="C18" s="97">
        <v>420000</v>
      </c>
      <c r="D18" s="97">
        <v>380000</v>
      </c>
      <c r="E18" s="97">
        <v>40000</v>
      </c>
      <c r="F18" s="97"/>
      <c r="G18" s="97"/>
      <c r="H18" s="97"/>
      <c r="I18" s="97"/>
      <c r="J18" s="97"/>
      <c r="K18" s="97"/>
      <c r="L18" s="97">
        <f t="shared" si="0"/>
        <v>40000</v>
      </c>
      <c r="M18" s="97">
        <f t="shared" si="1"/>
        <v>420000</v>
      </c>
      <c r="N18" s="97">
        <f t="shared" si="2"/>
        <v>0</v>
      </c>
    </row>
    <row r="19" spans="2:14">
      <c r="B19" s="171" t="s">
        <v>338</v>
      </c>
      <c r="C19" s="97">
        <v>326000</v>
      </c>
      <c r="D19" s="97">
        <v>295000</v>
      </c>
      <c r="E19" s="97">
        <v>31000</v>
      </c>
      <c r="F19" s="97"/>
      <c r="G19" s="97"/>
      <c r="H19" s="97"/>
      <c r="I19" s="97"/>
      <c r="J19" s="97"/>
      <c r="K19" s="97"/>
      <c r="L19" s="97">
        <f t="shared" si="0"/>
        <v>31000</v>
      </c>
      <c r="M19" s="97">
        <f t="shared" si="1"/>
        <v>326000</v>
      </c>
      <c r="N19" s="97">
        <f t="shared" si="2"/>
        <v>0</v>
      </c>
    </row>
    <row r="20" spans="2:14">
      <c r="B20" s="171" t="s">
        <v>339</v>
      </c>
      <c r="C20" s="97">
        <v>354000</v>
      </c>
      <c r="D20" s="97">
        <v>320000</v>
      </c>
      <c r="E20" s="97">
        <v>34000</v>
      </c>
      <c r="F20" s="97"/>
      <c r="G20" s="97"/>
      <c r="H20" s="97"/>
      <c r="I20" s="97"/>
      <c r="J20" s="97"/>
      <c r="K20" s="97"/>
      <c r="L20" s="97">
        <f t="shared" si="0"/>
        <v>34000</v>
      </c>
      <c r="M20" s="97">
        <f t="shared" si="1"/>
        <v>354000</v>
      </c>
      <c r="N20" s="97">
        <f t="shared" si="2"/>
        <v>0</v>
      </c>
    </row>
    <row r="21" spans="2:14">
      <c r="B21" s="171" t="s">
        <v>340</v>
      </c>
      <c r="C21" s="97">
        <v>353000</v>
      </c>
      <c r="D21" s="97">
        <v>320000</v>
      </c>
      <c r="E21" s="97">
        <v>33000</v>
      </c>
      <c r="F21" s="97"/>
      <c r="G21" s="97"/>
      <c r="H21" s="97"/>
      <c r="I21" s="97"/>
      <c r="J21" s="97"/>
      <c r="K21" s="97"/>
      <c r="L21" s="97">
        <f t="shared" si="0"/>
        <v>33000</v>
      </c>
      <c r="M21" s="97">
        <f t="shared" si="1"/>
        <v>353000</v>
      </c>
      <c r="N21" s="97">
        <f t="shared" si="2"/>
        <v>0</v>
      </c>
    </row>
    <row r="22" spans="2:14">
      <c r="B22" s="171" t="s">
        <v>341</v>
      </c>
      <c r="C22" s="97">
        <v>519000</v>
      </c>
      <c r="D22" s="97">
        <v>470000</v>
      </c>
      <c r="E22" s="97">
        <v>49000</v>
      </c>
      <c r="F22" s="97"/>
      <c r="G22" s="97"/>
      <c r="H22" s="97"/>
      <c r="I22" s="97"/>
      <c r="J22" s="97"/>
      <c r="K22" s="97"/>
      <c r="L22" s="97">
        <f t="shared" si="0"/>
        <v>49000</v>
      </c>
      <c r="M22" s="97">
        <f t="shared" si="1"/>
        <v>519000</v>
      </c>
      <c r="N22" s="97">
        <f t="shared" si="2"/>
        <v>0</v>
      </c>
    </row>
    <row r="23" spans="2:14">
      <c r="B23" s="171" t="s">
        <v>343</v>
      </c>
      <c r="C23" s="97">
        <v>373000</v>
      </c>
      <c r="D23" s="97">
        <v>0</v>
      </c>
      <c r="E23" s="97">
        <v>0</v>
      </c>
      <c r="F23" s="97">
        <v>354460</v>
      </c>
      <c r="G23" s="97"/>
      <c r="H23" s="97"/>
      <c r="I23" s="97"/>
      <c r="J23" s="97"/>
      <c r="K23" s="97">
        <v>18540</v>
      </c>
      <c r="L23" s="97">
        <f t="shared" si="0"/>
        <v>373000</v>
      </c>
      <c r="M23" s="97">
        <f t="shared" si="1"/>
        <v>373000</v>
      </c>
      <c r="N23" s="97">
        <f t="shared" si="2"/>
        <v>0</v>
      </c>
    </row>
    <row r="24" spans="2:14">
      <c r="B24" s="171" t="s">
        <v>344</v>
      </c>
      <c r="C24" s="97">
        <v>1162000</v>
      </c>
      <c r="D24" s="97"/>
      <c r="E24" s="97"/>
      <c r="F24" s="97">
        <v>1102690</v>
      </c>
      <c r="G24" s="97"/>
      <c r="H24" s="97"/>
      <c r="I24" s="97"/>
      <c r="J24" s="97"/>
      <c r="K24" s="97">
        <v>59310</v>
      </c>
      <c r="L24" s="97">
        <f t="shared" si="0"/>
        <v>1162000</v>
      </c>
      <c r="M24" s="97">
        <f t="shared" si="1"/>
        <v>1162000</v>
      </c>
      <c r="N24" s="97">
        <f t="shared" si="2"/>
        <v>0</v>
      </c>
    </row>
    <row r="25" spans="2:14">
      <c r="B25" s="171" t="s">
        <v>345</v>
      </c>
      <c r="C25" s="97">
        <v>390000</v>
      </c>
      <c r="D25" s="97">
        <v>0</v>
      </c>
      <c r="E25" s="97">
        <v>0</v>
      </c>
      <c r="F25" s="97">
        <v>370500</v>
      </c>
      <c r="G25" s="97"/>
      <c r="H25" s="97"/>
      <c r="I25" s="97"/>
      <c r="J25" s="97"/>
      <c r="K25" s="97">
        <v>19500</v>
      </c>
      <c r="L25" s="97">
        <f t="shared" si="0"/>
        <v>390000</v>
      </c>
      <c r="M25" s="97">
        <f t="shared" si="1"/>
        <v>390000</v>
      </c>
      <c r="N25" s="97">
        <f t="shared" si="2"/>
        <v>0</v>
      </c>
    </row>
    <row r="26" spans="2:14">
      <c r="B26" s="171" t="s">
        <v>346</v>
      </c>
      <c r="C26" s="97">
        <v>1173000</v>
      </c>
      <c r="D26" s="97"/>
      <c r="E26" s="97"/>
      <c r="F26" s="97">
        <v>1113060</v>
      </c>
      <c r="G26" s="97"/>
      <c r="H26" s="97"/>
      <c r="I26" s="97"/>
      <c r="J26" s="97"/>
      <c r="K26" s="97">
        <v>59940</v>
      </c>
      <c r="L26" s="97">
        <f t="shared" si="0"/>
        <v>1173000</v>
      </c>
      <c r="M26" s="97">
        <f t="shared" si="1"/>
        <v>1173000</v>
      </c>
      <c r="N26" s="97">
        <f t="shared" si="2"/>
        <v>0</v>
      </c>
    </row>
    <row r="27" spans="2:14">
      <c r="B27" s="171" t="s">
        <v>347</v>
      </c>
      <c r="C27" s="97">
        <v>301000</v>
      </c>
      <c r="D27" s="97"/>
      <c r="E27" s="97"/>
      <c r="F27" s="97">
        <v>301000</v>
      </c>
      <c r="G27" s="97"/>
      <c r="H27" s="97"/>
      <c r="I27" s="97"/>
      <c r="J27" s="97"/>
      <c r="K27" s="97"/>
      <c r="L27" s="97">
        <f t="shared" si="0"/>
        <v>301000</v>
      </c>
      <c r="M27" s="97">
        <f t="shared" si="1"/>
        <v>301000</v>
      </c>
      <c r="N27" s="97">
        <f t="shared" si="2"/>
        <v>0</v>
      </c>
    </row>
    <row r="28" spans="2:14">
      <c r="B28" s="171" t="s">
        <v>348</v>
      </c>
      <c r="C28" s="97">
        <v>585000</v>
      </c>
      <c r="D28" s="97"/>
      <c r="E28" s="97"/>
      <c r="F28" s="97">
        <v>585000</v>
      </c>
      <c r="G28" s="97"/>
      <c r="H28" s="97"/>
      <c r="I28" s="97"/>
      <c r="J28" s="97"/>
      <c r="K28" s="97"/>
      <c r="L28" s="97">
        <f t="shared" si="0"/>
        <v>585000</v>
      </c>
      <c r="M28" s="97">
        <f t="shared" si="1"/>
        <v>585000</v>
      </c>
      <c r="N28" s="97">
        <f t="shared" si="2"/>
        <v>0</v>
      </c>
    </row>
    <row r="29" spans="2:14">
      <c r="B29" s="171" t="s">
        <v>349</v>
      </c>
      <c r="C29" s="97">
        <v>398000</v>
      </c>
      <c r="D29" s="97"/>
      <c r="E29" s="97"/>
      <c r="F29" s="97">
        <v>358160</v>
      </c>
      <c r="G29" s="97"/>
      <c r="H29" s="97"/>
      <c r="I29" s="97"/>
      <c r="J29" s="97"/>
      <c r="K29" s="97">
        <v>39840</v>
      </c>
      <c r="L29" s="97">
        <f t="shared" si="0"/>
        <v>398000</v>
      </c>
      <c r="M29" s="97">
        <f t="shared" si="1"/>
        <v>398000</v>
      </c>
      <c r="N29" s="97">
        <f t="shared" si="2"/>
        <v>0</v>
      </c>
    </row>
    <row r="30" spans="2:14">
      <c r="B30" s="171" t="s">
        <v>350</v>
      </c>
      <c r="C30" s="97">
        <v>136000</v>
      </c>
      <c r="D30" s="97"/>
      <c r="E30" s="97"/>
      <c r="F30" s="97">
        <v>99730</v>
      </c>
      <c r="G30" s="97"/>
      <c r="H30" s="97"/>
      <c r="I30" s="97"/>
      <c r="J30" s="97"/>
      <c r="K30" s="97">
        <v>36270</v>
      </c>
      <c r="L30" s="97">
        <f t="shared" si="0"/>
        <v>136000</v>
      </c>
      <c r="M30" s="97">
        <f t="shared" si="1"/>
        <v>136000</v>
      </c>
      <c r="N30" s="97">
        <f t="shared" si="2"/>
        <v>0</v>
      </c>
    </row>
    <row r="31" spans="2:14">
      <c r="B31" s="171" t="s">
        <v>351</v>
      </c>
      <c r="C31" s="97">
        <v>348000</v>
      </c>
      <c r="D31" s="97"/>
      <c r="E31" s="97"/>
      <c r="F31" s="97">
        <v>254400</v>
      </c>
      <c r="G31" s="97"/>
      <c r="H31" s="97"/>
      <c r="I31" s="97"/>
      <c r="J31" s="97"/>
      <c r="K31" s="97">
        <v>93600</v>
      </c>
      <c r="L31" s="97">
        <f t="shared" si="0"/>
        <v>348000</v>
      </c>
      <c r="M31" s="97">
        <f t="shared" si="1"/>
        <v>348000</v>
      </c>
      <c r="N31" s="97">
        <f t="shared" si="2"/>
        <v>0</v>
      </c>
    </row>
    <row r="32" spans="2:14">
      <c r="B32" s="171" t="s">
        <v>352</v>
      </c>
      <c r="C32" s="97">
        <v>1769000</v>
      </c>
      <c r="D32" s="97"/>
      <c r="E32" s="97"/>
      <c r="F32" s="97">
        <v>1769000</v>
      </c>
      <c r="G32" s="97"/>
      <c r="H32" s="97"/>
      <c r="I32" s="97"/>
      <c r="J32" s="97"/>
      <c r="K32" s="97"/>
      <c r="L32" s="97">
        <f t="shared" si="0"/>
        <v>1769000</v>
      </c>
      <c r="M32" s="97">
        <f t="shared" si="1"/>
        <v>1769000</v>
      </c>
      <c r="N32" s="97">
        <f t="shared" si="2"/>
        <v>0</v>
      </c>
    </row>
    <row r="33" spans="2:14">
      <c r="B33" s="171" t="s">
        <v>353</v>
      </c>
      <c r="C33" s="97">
        <v>462000</v>
      </c>
      <c r="D33" s="97"/>
      <c r="E33" s="97"/>
      <c r="F33" s="97">
        <v>462000</v>
      </c>
      <c r="G33" s="97"/>
      <c r="H33" s="97"/>
      <c r="I33" s="97"/>
      <c r="J33" s="97"/>
      <c r="K33" s="97"/>
      <c r="L33" s="97">
        <f t="shared" si="0"/>
        <v>462000</v>
      </c>
      <c r="M33" s="97">
        <f t="shared" si="1"/>
        <v>462000</v>
      </c>
      <c r="N33" s="97">
        <f t="shared" si="2"/>
        <v>0</v>
      </c>
    </row>
    <row r="34" spans="2:14">
      <c r="B34" s="171" t="s">
        <v>354</v>
      </c>
      <c r="C34" s="97">
        <v>97000</v>
      </c>
      <c r="D34" s="97"/>
      <c r="E34" s="97"/>
      <c r="F34" s="97">
        <v>97000</v>
      </c>
      <c r="G34" s="97"/>
      <c r="H34" s="97"/>
      <c r="I34" s="97"/>
      <c r="J34" s="97"/>
      <c r="K34" s="97"/>
      <c r="L34" s="97">
        <f t="shared" si="0"/>
        <v>97000</v>
      </c>
      <c r="M34" s="97">
        <f t="shared" si="1"/>
        <v>97000</v>
      </c>
      <c r="N34" s="97">
        <f t="shared" si="2"/>
        <v>0</v>
      </c>
    </row>
    <row r="35" spans="2:14">
      <c r="B35" s="171" t="s">
        <v>355</v>
      </c>
      <c r="C35" s="97">
        <v>755000</v>
      </c>
      <c r="D35" s="97"/>
      <c r="E35" s="97"/>
      <c r="F35" s="97">
        <v>755000</v>
      </c>
      <c r="G35" s="97"/>
      <c r="H35" s="97"/>
      <c r="I35" s="97"/>
      <c r="J35" s="97"/>
      <c r="K35" s="97"/>
      <c r="L35" s="97">
        <f t="shared" si="0"/>
        <v>755000</v>
      </c>
      <c r="M35" s="97">
        <f t="shared" si="1"/>
        <v>755000</v>
      </c>
      <c r="N35" s="97">
        <f t="shared" si="2"/>
        <v>0</v>
      </c>
    </row>
    <row r="36" spans="2:14">
      <c r="B36" s="171" t="s">
        <v>356</v>
      </c>
      <c r="C36" s="97">
        <v>1569000</v>
      </c>
      <c r="D36" s="97"/>
      <c r="E36" s="97"/>
      <c r="F36" s="97">
        <v>1409490</v>
      </c>
      <c r="G36" s="97"/>
      <c r="H36" s="97"/>
      <c r="I36" s="97"/>
      <c r="J36" s="97"/>
      <c r="K36" s="97">
        <v>159510</v>
      </c>
      <c r="L36" s="97">
        <f t="shared" si="0"/>
        <v>1569000</v>
      </c>
      <c r="M36" s="97">
        <f t="shared" si="1"/>
        <v>1569000</v>
      </c>
      <c r="N36" s="97">
        <f t="shared" si="2"/>
        <v>0</v>
      </c>
    </row>
    <row r="37" spans="2:14">
      <c r="B37" s="171" t="s">
        <v>357</v>
      </c>
      <c r="C37" s="97">
        <v>345000</v>
      </c>
      <c r="D37" s="97"/>
      <c r="E37" s="97"/>
      <c r="F37" s="97">
        <v>345000</v>
      </c>
      <c r="G37" s="97"/>
      <c r="H37" s="97"/>
      <c r="I37" s="97"/>
      <c r="J37" s="97"/>
      <c r="K37" s="97"/>
      <c r="L37" s="97">
        <f t="shared" si="0"/>
        <v>345000</v>
      </c>
      <c r="M37" s="97">
        <f t="shared" si="1"/>
        <v>345000</v>
      </c>
      <c r="N37" s="97">
        <f t="shared" si="2"/>
        <v>0</v>
      </c>
    </row>
    <row r="38" spans="2:14">
      <c r="B38" s="171" t="s">
        <v>358</v>
      </c>
      <c r="C38" s="97">
        <v>799000</v>
      </c>
      <c r="D38" s="97"/>
      <c r="E38" s="97"/>
      <c r="F38" s="97">
        <v>758335</v>
      </c>
      <c r="G38" s="97"/>
      <c r="H38" s="97"/>
      <c r="I38" s="97"/>
      <c r="J38" s="97"/>
      <c r="K38" s="97">
        <v>40665</v>
      </c>
      <c r="L38" s="97">
        <f t="shared" si="0"/>
        <v>799000</v>
      </c>
      <c r="M38" s="97">
        <f t="shared" si="1"/>
        <v>799000</v>
      </c>
      <c r="N38" s="97">
        <f t="shared" si="2"/>
        <v>0</v>
      </c>
    </row>
    <row r="39" spans="2:14">
      <c r="B39" s="171" t="s">
        <v>359</v>
      </c>
      <c r="C39" s="97">
        <v>794000</v>
      </c>
      <c r="D39" s="97"/>
      <c r="E39" s="97"/>
      <c r="F39" s="97">
        <v>753605</v>
      </c>
      <c r="G39" s="97"/>
      <c r="H39" s="97"/>
      <c r="I39" s="97"/>
      <c r="J39" s="97"/>
      <c r="K39" s="97">
        <v>40395</v>
      </c>
      <c r="L39" s="97">
        <f t="shared" si="0"/>
        <v>794000</v>
      </c>
      <c r="M39" s="97">
        <f t="shared" si="1"/>
        <v>794000</v>
      </c>
      <c r="N39" s="97">
        <f t="shared" si="2"/>
        <v>0</v>
      </c>
    </row>
    <row r="40" spans="2:14">
      <c r="B40" s="171" t="s">
        <v>360</v>
      </c>
      <c r="C40" s="97">
        <v>123000</v>
      </c>
      <c r="D40" s="97"/>
      <c r="E40" s="97"/>
      <c r="F40" s="97">
        <v>107950</v>
      </c>
      <c r="G40" s="97"/>
      <c r="H40" s="97"/>
      <c r="I40" s="97"/>
      <c r="J40" s="97"/>
      <c r="K40" s="97">
        <v>15050</v>
      </c>
      <c r="L40" s="97">
        <f t="shared" si="0"/>
        <v>123000</v>
      </c>
      <c r="M40" s="97">
        <f t="shared" si="1"/>
        <v>123000</v>
      </c>
      <c r="N40" s="97">
        <f t="shared" si="2"/>
        <v>0</v>
      </c>
    </row>
    <row r="41" spans="2:14">
      <c r="B41" s="171" t="s">
        <v>361</v>
      </c>
      <c r="C41" s="97">
        <v>195000</v>
      </c>
      <c r="D41" s="97"/>
      <c r="E41" s="97"/>
      <c r="F41" s="97">
        <v>195000</v>
      </c>
      <c r="G41" s="97"/>
      <c r="H41" s="97"/>
      <c r="I41" s="97"/>
      <c r="J41" s="97"/>
      <c r="K41" s="97">
        <v>0</v>
      </c>
      <c r="L41" s="97">
        <f t="shared" si="0"/>
        <v>195000</v>
      </c>
      <c r="M41" s="97">
        <f t="shared" si="1"/>
        <v>195000</v>
      </c>
      <c r="N41" s="97">
        <f t="shared" si="2"/>
        <v>0</v>
      </c>
    </row>
    <row r="42" spans="2:14">
      <c r="B42" s="171" t="s">
        <v>362</v>
      </c>
      <c r="C42" s="97">
        <v>1295000</v>
      </c>
      <c r="D42" s="97"/>
      <c r="E42" s="97"/>
      <c r="F42" s="97">
        <v>1255310</v>
      </c>
      <c r="G42" s="97"/>
      <c r="H42" s="97"/>
      <c r="I42" s="97"/>
      <c r="J42" s="97"/>
      <c r="K42" s="97">
        <v>39690</v>
      </c>
      <c r="L42" s="97">
        <f t="shared" si="0"/>
        <v>1295000</v>
      </c>
      <c r="M42" s="97">
        <f t="shared" si="1"/>
        <v>1295000</v>
      </c>
      <c r="N42" s="97">
        <f t="shared" si="2"/>
        <v>0</v>
      </c>
    </row>
    <row r="43" spans="2:14">
      <c r="C43" s="97"/>
      <c r="D43" s="97"/>
      <c r="E43" s="97"/>
      <c r="F43" s="97"/>
      <c r="G43" s="97"/>
      <c r="H43" s="97"/>
      <c r="I43" s="97"/>
      <c r="J43" s="97"/>
      <c r="K43" s="97"/>
      <c r="L43" s="97">
        <f t="shared" si="0"/>
        <v>0</v>
      </c>
      <c r="M43" s="97">
        <f t="shared" si="1"/>
        <v>0</v>
      </c>
      <c r="N43" s="97"/>
    </row>
    <row r="44" spans="2:14">
      <c r="B44" s="171" t="s">
        <v>364</v>
      </c>
      <c r="C44" s="97">
        <v>55000</v>
      </c>
      <c r="D44" s="97"/>
      <c r="E44" s="97"/>
      <c r="F44" s="97">
        <v>55000</v>
      </c>
      <c r="G44" s="97"/>
      <c r="H44" s="97"/>
      <c r="I44" s="97"/>
      <c r="J44" s="97"/>
      <c r="K44" s="97"/>
      <c r="L44" s="97">
        <f t="shared" si="0"/>
        <v>55000</v>
      </c>
      <c r="M44" s="97">
        <f t="shared" si="1"/>
        <v>55000</v>
      </c>
      <c r="N44" s="97">
        <f t="shared" ref="N44:N69" si="3">M44-C44</f>
        <v>0</v>
      </c>
    </row>
    <row r="45" spans="2:14">
      <c r="B45" s="171" t="s">
        <v>365</v>
      </c>
      <c r="C45" s="97">
        <v>1059000</v>
      </c>
      <c r="D45" s="97">
        <v>505000</v>
      </c>
      <c r="E45" s="97">
        <v>259224</v>
      </c>
      <c r="F45" s="97">
        <v>193863</v>
      </c>
      <c r="G45" s="97">
        <v>9813</v>
      </c>
      <c r="H45" s="97"/>
      <c r="I45" s="97"/>
      <c r="J45" s="97"/>
      <c r="K45" s="97">
        <v>91100</v>
      </c>
      <c r="L45" s="97">
        <f t="shared" si="0"/>
        <v>554000</v>
      </c>
      <c r="M45" s="97">
        <f t="shared" si="1"/>
        <v>1059000</v>
      </c>
      <c r="N45" s="97">
        <f t="shared" si="3"/>
        <v>0</v>
      </c>
    </row>
    <row r="46" spans="2:14">
      <c r="B46" s="171" t="s">
        <v>366</v>
      </c>
      <c r="C46" s="97">
        <v>764000</v>
      </c>
      <c r="D46" s="97">
        <v>395000</v>
      </c>
      <c r="E46" s="97">
        <v>208485</v>
      </c>
      <c r="F46" s="97">
        <v>152618</v>
      </c>
      <c r="G46" s="97">
        <v>7897</v>
      </c>
      <c r="H46" s="97"/>
      <c r="I46" s="97"/>
      <c r="J46" s="97"/>
      <c r="K46" s="97"/>
      <c r="L46" s="97">
        <f t="shared" si="0"/>
        <v>369000</v>
      </c>
      <c r="M46" s="97">
        <f t="shared" si="1"/>
        <v>764000</v>
      </c>
      <c r="N46" s="97">
        <f t="shared" si="3"/>
        <v>0</v>
      </c>
    </row>
    <row r="47" spans="2:14">
      <c r="B47" s="171" t="s">
        <v>367</v>
      </c>
      <c r="C47" s="97">
        <v>1252000</v>
      </c>
      <c r="D47" s="97">
        <v>665000</v>
      </c>
      <c r="E47" s="97">
        <v>333475</v>
      </c>
      <c r="F47" s="97">
        <v>240905</v>
      </c>
      <c r="G47" s="97">
        <v>12620</v>
      </c>
      <c r="H47" s="97"/>
      <c r="I47" s="97"/>
      <c r="J47" s="97"/>
      <c r="K47" s="97"/>
      <c r="L47" s="97">
        <f t="shared" si="0"/>
        <v>587000</v>
      </c>
      <c r="M47" s="97">
        <f t="shared" si="1"/>
        <v>1252000</v>
      </c>
      <c r="N47" s="97">
        <f t="shared" si="3"/>
        <v>0</v>
      </c>
    </row>
    <row r="48" spans="2:14">
      <c r="B48" s="171" t="s">
        <v>368</v>
      </c>
      <c r="C48" s="97">
        <v>755000</v>
      </c>
      <c r="D48" s="97"/>
      <c r="E48" s="97"/>
      <c r="F48" s="97">
        <v>755000</v>
      </c>
      <c r="G48" s="97"/>
      <c r="H48" s="97"/>
      <c r="I48" s="97"/>
      <c r="J48" s="97"/>
      <c r="K48" s="97"/>
      <c r="L48" s="97">
        <f t="shared" si="0"/>
        <v>755000</v>
      </c>
      <c r="M48" s="97">
        <f t="shared" si="1"/>
        <v>755000</v>
      </c>
      <c r="N48" s="97">
        <f t="shared" si="3"/>
        <v>0</v>
      </c>
    </row>
    <row r="49" spans="2:14">
      <c r="B49" s="171" t="s">
        <v>369</v>
      </c>
      <c r="C49" s="97">
        <v>1110000</v>
      </c>
      <c r="D49" s="97"/>
      <c r="E49" s="97"/>
      <c r="F49" s="97"/>
      <c r="G49" s="97"/>
      <c r="H49" s="97">
        <v>1110000</v>
      </c>
      <c r="I49" s="97"/>
      <c r="J49" s="97"/>
      <c r="K49" s="97"/>
      <c r="L49" s="97">
        <f t="shared" si="0"/>
        <v>1110000</v>
      </c>
      <c r="M49" s="97">
        <f t="shared" si="1"/>
        <v>1110000</v>
      </c>
      <c r="N49" s="97">
        <f t="shared" si="3"/>
        <v>0</v>
      </c>
    </row>
    <row r="50" spans="2:14">
      <c r="B50" s="171" t="s">
        <v>370</v>
      </c>
      <c r="C50" s="97">
        <v>286000</v>
      </c>
      <c r="D50" s="97"/>
      <c r="E50" s="97"/>
      <c r="F50" s="97"/>
      <c r="G50" s="97"/>
      <c r="H50" s="97">
        <v>286000</v>
      </c>
      <c r="I50" s="97"/>
      <c r="J50" s="97"/>
      <c r="K50" s="97"/>
      <c r="L50" s="97">
        <f t="shared" si="0"/>
        <v>286000</v>
      </c>
      <c r="M50" s="97">
        <f t="shared" si="1"/>
        <v>286000</v>
      </c>
      <c r="N50" s="97">
        <f t="shared" si="3"/>
        <v>0</v>
      </c>
    </row>
    <row r="51" spans="2:14">
      <c r="B51" s="171" t="s">
        <v>373</v>
      </c>
      <c r="C51" s="97">
        <v>703000</v>
      </c>
      <c r="D51" s="97"/>
      <c r="E51" s="97"/>
      <c r="F51" s="97"/>
      <c r="G51" s="97"/>
      <c r="H51" s="97">
        <v>703000</v>
      </c>
      <c r="I51" s="97"/>
      <c r="J51" s="97"/>
      <c r="K51" s="97"/>
      <c r="L51" s="97">
        <f t="shared" si="0"/>
        <v>703000</v>
      </c>
      <c r="M51" s="97">
        <f t="shared" si="1"/>
        <v>703000</v>
      </c>
      <c r="N51" s="97">
        <f t="shared" si="3"/>
        <v>0</v>
      </c>
    </row>
    <row r="52" spans="2:14">
      <c r="B52" s="171" t="s">
        <v>372</v>
      </c>
      <c r="C52" s="97">
        <v>2348000</v>
      </c>
      <c r="D52" s="97"/>
      <c r="E52" s="97"/>
      <c r="F52" s="97"/>
      <c r="G52" s="97"/>
      <c r="H52" s="97">
        <v>2108000</v>
      </c>
      <c r="I52" s="97"/>
      <c r="J52" s="97"/>
      <c r="K52" s="97">
        <v>240000</v>
      </c>
      <c r="L52" s="97">
        <f t="shared" si="0"/>
        <v>2348000</v>
      </c>
      <c r="M52" s="97">
        <f t="shared" si="1"/>
        <v>2348000</v>
      </c>
      <c r="N52" s="97">
        <f t="shared" si="3"/>
        <v>0</v>
      </c>
    </row>
    <row r="53" spans="2:14">
      <c r="B53" s="171" t="s">
        <v>374</v>
      </c>
      <c r="C53" s="97">
        <v>755000</v>
      </c>
      <c r="D53" s="97"/>
      <c r="E53" s="97"/>
      <c r="F53" s="97"/>
      <c r="G53" s="97"/>
      <c r="H53" s="97">
        <v>755000</v>
      </c>
      <c r="I53" s="97"/>
      <c r="J53" s="97"/>
      <c r="K53" s="97"/>
      <c r="L53" s="97">
        <f t="shared" si="0"/>
        <v>755000</v>
      </c>
      <c r="M53" s="97">
        <f t="shared" si="1"/>
        <v>755000</v>
      </c>
      <c r="N53" s="97">
        <f t="shared" si="3"/>
        <v>0</v>
      </c>
    </row>
    <row r="54" spans="2:14">
      <c r="B54" s="171" t="s">
        <v>375</v>
      </c>
      <c r="C54" s="97">
        <v>334000</v>
      </c>
      <c r="D54" s="97"/>
      <c r="E54" s="97"/>
      <c r="F54" s="97"/>
      <c r="G54" s="97"/>
      <c r="H54" s="97">
        <v>334000</v>
      </c>
      <c r="I54" s="97"/>
      <c r="J54" s="97"/>
      <c r="K54" s="97"/>
      <c r="L54" s="97">
        <f t="shared" si="0"/>
        <v>334000</v>
      </c>
      <c r="M54" s="97">
        <f t="shared" si="1"/>
        <v>334000</v>
      </c>
      <c r="N54" s="97">
        <f t="shared" si="3"/>
        <v>0</v>
      </c>
    </row>
    <row r="55" spans="2:14">
      <c r="B55" s="171" t="s">
        <v>376</v>
      </c>
      <c r="C55" s="97">
        <v>238000</v>
      </c>
      <c r="D55" s="97"/>
      <c r="E55" s="97"/>
      <c r="F55" s="97"/>
      <c r="G55" s="97"/>
      <c r="H55" s="97">
        <v>211600</v>
      </c>
      <c r="I55" s="97"/>
      <c r="J55" s="97"/>
      <c r="K55" s="97">
        <v>26400</v>
      </c>
      <c r="L55" s="97">
        <f t="shared" si="0"/>
        <v>238000</v>
      </c>
      <c r="M55" s="97">
        <f t="shared" si="1"/>
        <v>238000</v>
      </c>
      <c r="N55" s="97">
        <f t="shared" si="3"/>
        <v>0</v>
      </c>
    </row>
    <row r="56" spans="2:14">
      <c r="B56" s="171" t="s">
        <v>377</v>
      </c>
      <c r="C56" s="97">
        <v>206000</v>
      </c>
      <c r="D56" s="97"/>
      <c r="E56" s="97"/>
      <c r="F56" s="97"/>
      <c r="G56" s="97"/>
      <c r="H56" s="97">
        <v>183200</v>
      </c>
      <c r="I56" s="97"/>
      <c r="J56" s="97"/>
      <c r="K56" s="97">
        <v>22800</v>
      </c>
      <c r="L56" s="97">
        <f t="shared" si="0"/>
        <v>206000</v>
      </c>
      <c r="M56" s="97">
        <f t="shared" si="1"/>
        <v>206000</v>
      </c>
      <c r="N56" s="97">
        <f t="shared" si="3"/>
        <v>0</v>
      </c>
    </row>
    <row r="57" spans="2:14">
      <c r="B57" s="171" t="s">
        <v>378</v>
      </c>
      <c r="C57" s="97">
        <v>755000</v>
      </c>
      <c r="D57" s="97"/>
      <c r="E57" s="97"/>
      <c r="F57" s="97"/>
      <c r="G57" s="97"/>
      <c r="H57" s="97">
        <v>755000</v>
      </c>
      <c r="I57" s="97"/>
      <c r="J57" s="97"/>
      <c r="K57" s="97"/>
      <c r="L57" s="97">
        <f t="shared" si="0"/>
        <v>755000</v>
      </c>
      <c r="M57" s="97">
        <f t="shared" si="1"/>
        <v>755000</v>
      </c>
      <c r="N57" s="97">
        <f t="shared" si="3"/>
        <v>0</v>
      </c>
    </row>
    <row r="58" spans="2:14">
      <c r="B58" s="171" t="s">
        <v>379</v>
      </c>
      <c r="C58" s="97">
        <v>1587000</v>
      </c>
      <c r="D58" s="97"/>
      <c r="E58" s="97"/>
      <c r="F58" s="97"/>
      <c r="G58" s="97"/>
      <c r="H58" s="97">
        <v>1494050</v>
      </c>
      <c r="I58" s="97"/>
      <c r="J58" s="97"/>
      <c r="K58" s="97">
        <v>92950</v>
      </c>
      <c r="L58" s="97">
        <f t="shared" si="0"/>
        <v>1587000</v>
      </c>
      <c r="M58" s="97">
        <f t="shared" si="1"/>
        <v>1587000</v>
      </c>
      <c r="N58" s="97">
        <f t="shared" si="3"/>
        <v>0</v>
      </c>
    </row>
    <row r="59" spans="2:14">
      <c r="B59" s="171" t="s">
        <v>380</v>
      </c>
      <c r="C59" s="97">
        <v>831000</v>
      </c>
      <c r="D59" s="97"/>
      <c r="E59" s="97"/>
      <c r="F59" s="97"/>
      <c r="G59" s="97"/>
      <c r="H59" s="97">
        <v>831000</v>
      </c>
      <c r="I59" s="97"/>
      <c r="J59" s="97"/>
      <c r="K59" s="97"/>
      <c r="L59" s="97">
        <f t="shared" si="0"/>
        <v>831000</v>
      </c>
      <c r="M59" s="97">
        <f t="shared" si="1"/>
        <v>831000</v>
      </c>
      <c r="N59" s="97">
        <f t="shared" si="3"/>
        <v>0</v>
      </c>
    </row>
    <row r="60" spans="2:14">
      <c r="B60" s="171" t="s">
        <v>381</v>
      </c>
      <c r="C60" s="97">
        <v>127000</v>
      </c>
      <c r="D60" s="97"/>
      <c r="E60" s="97"/>
      <c r="F60" s="97"/>
      <c r="G60" s="97"/>
      <c r="H60" s="97">
        <v>121528</v>
      </c>
      <c r="I60" s="97"/>
      <c r="J60" s="97"/>
      <c r="K60" s="97">
        <v>5472</v>
      </c>
      <c r="L60" s="97">
        <f t="shared" si="0"/>
        <v>127000</v>
      </c>
      <c r="M60" s="97">
        <f t="shared" si="1"/>
        <v>127000</v>
      </c>
      <c r="N60" s="97">
        <f t="shared" si="3"/>
        <v>0</v>
      </c>
    </row>
    <row r="61" spans="2:14">
      <c r="B61" s="171" t="s">
        <v>372</v>
      </c>
      <c r="C61" s="97">
        <v>1993000</v>
      </c>
      <c r="D61" s="97"/>
      <c r="E61" s="97"/>
      <c r="F61" s="97"/>
      <c r="G61" s="97"/>
      <c r="H61" s="97">
        <v>1993000</v>
      </c>
      <c r="I61" s="97"/>
      <c r="J61" s="97"/>
      <c r="K61" s="97"/>
      <c r="L61" s="97">
        <f t="shared" si="0"/>
        <v>1993000</v>
      </c>
      <c r="M61" s="97">
        <f t="shared" si="1"/>
        <v>1993000</v>
      </c>
      <c r="N61" s="97">
        <f t="shared" si="3"/>
        <v>0</v>
      </c>
    </row>
    <row r="62" spans="2:14">
      <c r="B62" s="171" t="s">
        <v>382</v>
      </c>
      <c r="C62" s="97">
        <v>1730000</v>
      </c>
      <c r="D62" s="97"/>
      <c r="E62" s="97"/>
      <c r="F62" s="97"/>
      <c r="G62" s="97"/>
      <c r="H62" s="97">
        <v>1730000</v>
      </c>
      <c r="I62" s="97"/>
      <c r="J62" s="97"/>
      <c r="K62" s="97"/>
      <c r="L62" s="97">
        <f t="shared" si="0"/>
        <v>1730000</v>
      </c>
      <c r="M62" s="97">
        <f t="shared" si="1"/>
        <v>1730000</v>
      </c>
      <c r="N62" s="97">
        <f t="shared" si="3"/>
        <v>0</v>
      </c>
    </row>
    <row r="63" spans="2:14">
      <c r="B63" s="171" t="s">
        <v>383</v>
      </c>
      <c r="C63" s="97">
        <v>1297000</v>
      </c>
      <c r="D63" s="97"/>
      <c r="E63" s="97"/>
      <c r="F63" s="97"/>
      <c r="G63" s="97"/>
      <c r="H63" s="97">
        <v>1297000</v>
      </c>
      <c r="I63" s="97"/>
      <c r="J63" s="97"/>
      <c r="K63" s="97"/>
      <c r="L63" s="97">
        <f t="shared" si="0"/>
        <v>1297000</v>
      </c>
      <c r="M63" s="97">
        <f t="shared" si="1"/>
        <v>1297000</v>
      </c>
      <c r="N63" s="97">
        <f t="shared" si="3"/>
        <v>0</v>
      </c>
    </row>
    <row r="64" spans="2:14">
      <c r="B64" s="171" t="s">
        <v>384</v>
      </c>
      <c r="C64" s="97">
        <v>755000</v>
      </c>
      <c r="D64" s="97"/>
      <c r="E64" s="97"/>
      <c r="F64" s="97"/>
      <c r="G64" s="97"/>
      <c r="H64" s="97">
        <v>755000</v>
      </c>
      <c r="I64" s="97"/>
      <c r="J64" s="97"/>
      <c r="K64" s="97"/>
      <c r="L64" s="97">
        <f t="shared" si="0"/>
        <v>755000</v>
      </c>
      <c r="M64" s="97">
        <f t="shared" si="1"/>
        <v>755000</v>
      </c>
      <c r="N64" s="97">
        <f t="shared" si="3"/>
        <v>0</v>
      </c>
    </row>
    <row r="65" spans="2:14">
      <c r="B65" s="171" t="s">
        <v>385</v>
      </c>
      <c r="C65" s="97">
        <v>1253000</v>
      </c>
      <c r="D65" s="97"/>
      <c r="E65" s="97"/>
      <c r="F65" s="97"/>
      <c r="G65" s="97"/>
      <c r="H65" s="97">
        <v>1253000</v>
      </c>
      <c r="I65" s="97"/>
      <c r="J65" s="97"/>
      <c r="K65" s="97"/>
      <c r="L65" s="97">
        <f t="shared" si="0"/>
        <v>1253000</v>
      </c>
      <c r="M65" s="97">
        <f t="shared" si="1"/>
        <v>1253000</v>
      </c>
      <c r="N65" s="97">
        <f t="shared" si="3"/>
        <v>0</v>
      </c>
    </row>
    <row r="66" spans="2:14">
      <c r="B66" s="171" t="s">
        <v>386</v>
      </c>
      <c r="C66" s="97">
        <v>1009000</v>
      </c>
      <c r="D66" s="97"/>
      <c r="E66" s="97"/>
      <c r="F66" s="97"/>
      <c r="G66" s="97"/>
      <c r="H66" s="97">
        <v>1009000</v>
      </c>
      <c r="I66" s="97"/>
      <c r="J66" s="97"/>
      <c r="K66" s="97"/>
      <c r="L66" s="97">
        <f t="shared" si="0"/>
        <v>1009000</v>
      </c>
      <c r="M66" s="97">
        <f t="shared" si="1"/>
        <v>1009000</v>
      </c>
      <c r="N66" s="97">
        <f t="shared" si="3"/>
        <v>0</v>
      </c>
    </row>
    <row r="67" spans="2:14">
      <c r="B67" s="171" t="s">
        <v>387</v>
      </c>
      <c r="C67" s="97">
        <v>1053000</v>
      </c>
      <c r="D67" s="97"/>
      <c r="E67" s="97"/>
      <c r="F67" s="97"/>
      <c r="G67" s="97"/>
      <c r="H67" s="97">
        <v>1053000</v>
      </c>
      <c r="I67" s="97"/>
      <c r="J67" s="97"/>
      <c r="K67" s="97"/>
      <c r="L67" s="97">
        <f t="shared" si="0"/>
        <v>1053000</v>
      </c>
      <c r="M67" s="97">
        <f t="shared" si="1"/>
        <v>1053000</v>
      </c>
      <c r="N67" s="97">
        <f t="shared" si="3"/>
        <v>0</v>
      </c>
    </row>
    <row r="68" spans="2:14">
      <c r="B68" s="171" t="s">
        <v>388</v>
      </c>
      <c r="C68" s="97">
        <v>1285000</v>
      </c>
      <c r="D68" s="97"/>
      <c r="E68" s="97"/>
      <c r="F68" s="97"/>
      <c r="G68" s="97"/>
      <c r="H68" s="97">
        <v>1285000</v>
      </c>
      <c r="I68" s="97"/>
      <c r="J68" s="97"/>
      <c r="K68" s="97"/>
      <c r="L68" s="97">
        <f t="shared" si="0"/>
        <v>1285000</v>
      </c>
      <c r="M68" s="97">
        <f t="shared" si="1"/>
        <v>1285000</v>
      </c>
      <c r="N68" s="97">
        <f t="shared" si="3"/>
        <v>0</v>
      </c>
    </row>
    <row r="69" spans="2:14">
      <c r="B69" s="171" t="s">
        <v>389</v>
      </c>
      <c r="C69" s="97">
        <v>755000</v>
      </c>
      <c r="D69" s="97"/>
      <c r="E69" s="97"/>
      <c r="F69" s="97"/>
      <c r="G69" s="97"/>
      <c r="H69" s="97">
        <v>755000</v>
      </c>
      <c r="I69" s="97"/>
      <c r="J69" s="97"/>
      <c r="K69" s="97"/>
      <c r="L69" s="97">
        <f t="shared" si="0"/>
        <v>755000</v>
      </c>
      <c r="M69" s="97">
        <f t="shared" si="1"/>
        <v>755000</v>
      </c>
      <c r="N69" s="97">
        <f t="shared" si="3"/>
        <v>0</v>
      </c>
    </row>
    <row r="70" spans="2:14">
      <c r="C70" s="97"/>
      <c r="D70" s="97"/>
      <c r="E70" s="97"/>
      <c r="F70" s="97"/>
      <c r="G70" s="97"/>
      <c r="H70" s="97"/>
      <c r="I70" s="97"/>
      <c r="J70" s="97"/>
      <c r="K70" s="97"/>
      <c r="L70" s="97">
        <f t="shared" si="0"/>
        <v>0</v>
      </c>
      <c r="M70" s="97">
        <f t="shared" si="1"/>
        <v>0</v>
      </c>
      <c r="N70" s="97"/>
    </row>
    <row r="71" spans="2:14">
      <c r="B71" s="171" t="s">
        <v>390</v>
      </c>
      <c r="C71" s="97">
        <v>1011000</v>
      </c>
      <c r="D71" s="97"/>
      <c r="E71" s="97"/>
      <c r="F71" s="97"/>
      <c r="G71" s="97"/>
      <c r="H71" s="97">
        <v>1011000</v>
      </c>
      <c r="I71" s="97"/>
      <c r="J71" s="97"/>
      <c r="K71" s="97"/>
      <c r="L71" s="97">
        <f t="shared" si="0"/>
        <v>1011000</v>
      </c>
      <c r="M71" s="97">
        <f t="shared" si="1"/>
        <v>1011000</v>
      </c>
      <c r="N71" s="97">
        <f t="shared" ref="N71:N81" si="4">M71-C71</f>
        <v>0</v>
      </c>
    </row>
    <row r="72" spans="2:14">
      <c r="B72" s="171" t="s">
        <v>391</v>
      </c>
      <c r="C72" s="97">
        <v>1446000</v>
      </c>
      <c r="D72" s="97"/>
      <c r="E72" s="97"/>
      <c r="F72" s="97"/>
      <c r="G72" s="97"/>
      <c r="H72" s="97">
        <v>1243560</v>
      </c>
      <c r="I72" s="97">
        <v>144600</v>
      </c>
      <c r="J72" s="97">
        <v>57840</v>
      </c>
      <c r="K72" s="97"/>
      <c r="L72" s="97">
        <f t="shared" si="0"/>
        <v>1446000</v>
      </c>
      <c r="M72" s="97">
        <f t="shared" si="1"/>
        <v>1446000</v>
      </c>
      <c r="N72" s="97">
        <f t="shared" si="4"/>
        <v>0</v>
      </c>
    </row>
    <row r="73" spans="2:14">
      <c r="B73" s="171" t="s">
        <v>392</v>
      </c>
      <c r="C73" s="97">
        <v>754000</v>
      </c>
      <c r="D73" s="97"/>
      <c r="E73" s="97"/>
      <c r="F73" s="97"/>
      <c r="G73" s="97"/>
      <c r="H73" s="97">
        <v>648440</v>
      </c>
      <c r="I73" s="97">
        <v>75400</v>
      </c>
      <c r="J73" s="97">
        <v>30160</v>
      </c>
      <c r="K73" s="97"/>
      <c r="L73" s="97">
        <f t="shared" si="0"/>
        <v>754000</v>
      </c>
      <c r="M73" s="97">
        <f t="shared" si="1"/>
        <v>754000</v>
      </c>
      <c r="N73" s="97">
        <f t="shared" si="4"/>
        <v>0</v>
      </c>
    </row>
    <row r="74" spans="2:14">
      <c r="B74" s="171" t="s">
        <v>393</v>
      </c>
      <c r="C74" s="97">
        <v>1199000</v>
      </c>
      <c r="D74" s="97"/>
      <c r="E74" s="97"/>
      <c r="F74" s="97"/>
      <c r="G74" s="97"/>
      <c r="H74" s="97">
        <v>1006620</v>
      </c>
      <c r="I74" s="97">
        <v>117048</v>
      </c>
      <c r="J74" s="97">
        <v>46820</v>
      </c>
      <c r="K74" s="97">
        <v>28512</v>
      </c>
      <c r="L74" s="97">
        <f t="shared" si="0"/>
        <v>1199000</v>
      </c>
      <c r="M74" s="97">
        <f t="shared" si="1"/>
        <v>1199000</v>
      </c>
      <c r="N74" s="97">
        <f t="shared" si="4"/>
        <v>0</v>
      </c>
    </row>
    <row r="75" spans="2:14">
      <c r="B75" s="171" t="s">
        <v>394</v>
      </c>
      <c r="C75" s="97">
        <v>1428000</v>
      </c>
      <c r="D75" s="97"/>
      <c r="E75" s="97"/>
      <c r="F75" s="97"/>
      <c r="G75" s="97"/>
      <c r="H75" s="97">
        <v>1181960</v>
      </c>
      <c r="I75" s="97">
        <v>137437</v>
      </c>
      <c r="J75" s="97">
        <v>54975</v>
      </c>
      <c r="K75" s="97">
        <v>53628</v>
      </c>
      <c r="L75" s="97">
        <f t="shared" si="0"/>
        <v>1428000</v>
      </c>
      <c r="M75" s="97">
        <f t="shared" si="1"/>
        <v>1428000</v>
      </c>
      <c r="N75" s="97">
        <f t="shared" si="4"/>
        <v>0</v>
      </c>
    </row>
    <row r="76" spans="2:14">
      <c r="B76" s="171" t="s">
        <v>371</v>
      </c>
      <c r="C76" s="97">
        <v>757000</v>
      </c>
      <c r="D76" s="97"/>
      <c r="E76" s="97"/>
      <c r="F76" s="97"/>
      <c r="G76" s="97"/>
      <c r="H76" s="97">
        <v>634501</v>
      </c>
      <c r="I76" s="97">
        <v>73779</v>
      </c>
      <c r="J76" s="97">
        <v>29512</v>
      </c>
      <c r="K76" s="97">
        <v>19208</v>
      </c>
      <c r="L76" s="97">
        <f t="shared" ref="L76:L81" si="5">SUM(E76:K76)</f>
        <v>757000</v>
      </c>
      <c r="M76" s="97">
        <f t="shared" ref="M76:M81" si="6">L76+D76</f>
        <v>757000</v>
      </c>
      <c r="N76" s="97">
        <f t="shared" si="4"/>
        <v>0</v>
      </c>
    </row>
    <row r="77" spans="2:14">
      <c r="B77" s="171" t="s">
        <v>395</v>
      </c>
      <c r="C77" s="97">
        <v>100000</v>
      </c>
      <c r="D77" s="97"/>
      <c r="E77" s="97"/>
      <c r="F77" s="97"/>
      <c r="G77" s="97"/>
      <c r="H77" s="97">
        <v>100000</v>
      </c>
      <c r="I77" s="97"/>
      <c r="J77" s="97"/>
      <c r="K77" s="97"/>
      <c r="L77" s="97">
        <f t="shared" si="5"/>
        <v>100000</v>
      </c>
      <c r="M77" s="97">
        <f t="shared" si="6"/>
        <v>100000</v>
      </c>
      <c r="N77" s="97">
        <f t="shared" si="4"/>
        <v>0</v>
      </c>
    </row>
    <row r="78" spans="2:14">
      <c r="B78" s="171" t="s">
        <v>396</v>
      </c>
      <c r="C78" s="97">
        <v>100000</v>
      </c>
      <c r="D78" s="97"/>
      <c r="E78" s="97"/>
      <c r="F78" s="97"/>
      <c r="G78" s="97"/>
      <c r="H78" s="97">
        <v>100000</v>
      </c>
      <c r="I78" s="97"/>
      <c r="J78" s="97"/>
      <c r="K78" s="97"/>
      <c r="L78" s="97">
        <f t="shared" si="5"/>
        <v>100000</v>
      </c>
      <c r="M78" s="97">
        <f t="shared" si="6"/>
        <v>100000</v>
      </c>
      <c r="N78" s="97">
        <f t="shared" si="4"/>
        <v>0</v>
      </c>
    </row>
    <row r="79" spans="2:14">
      <c r="B79" s="171" t="s">
        <v>397</v>
      </c>
      <c r="C79" s="97">
        <v>100000</v>
      </c>
      <c r="D79" s="97"/>
      <c r="E79" s="97"/>
      <c r="F79" s="97"/>
      <c r="G79" s="97"/>
      <c r="H79" s="97">
        <v>100000</v>
      </c>
      <c r="I79" s="97"/>
      <c r="J79" s="97"/>
      <c r="K79" s="97"/>
      <c r="L79" s="97">
        <f t="shared" si="5"/>
        <v>100000</v>
      </c>
      <c r="M79" s="97">
        <f t="shared" si="6"/>
        <v>100000</v>
      </c>
      <c r="N79" s="97">
        <f t="shared" si="4"/>
        <v>0</v>
      </c>
    </row>
    <row r="80" spans="2:14">
      <c r="B80" s="171" t="s">
        <v>398</v>
      </c>
      <c r="C80" s="97">
        <v>880000</v>
      </c>
      <c r="D80" s="97"/>
      <c r="E80" s="97"/>
      <c r="F80" s="97"/>
      <c r="G80" s="97"/>
      <c r="H80" s="97"/>
      <c r="I80" s="97">
        <v>880000</v>
      </c>
      <c r="J80" s="97"/>
      <c r="K80" s="97"/>
      <c r="L80" s="97">
        <f t="shared" si="5"/>
        <v>880000</v>
      </c>
      <c r="M80" s="97">
        <f t="shared" si="6"/>
        <v>880000</v>
      </c>
      <c r="N80" s="97">
        <f t="shared" si="4"/>
        <v>0</v>
      </c>
    </row>
    <row r="81" spans="2:14">
      <c r="B81" s="171" t="s">
        <v>399</v>
      </c>
      <c r="C81" s="97">
        <v>755000</v>
      </c>
      <c r="D81" s="97"/>
      <c r="E81" s="97"/>
      <c r="F81" s="97"/>
      <c r="G81" s="97"/>
      <c r="H81" s="97"/>
      <c r="I81" s="97">
        <v>536000</v>
      </c>
      <c r="J81" s="97">
        <v>219000</v>
      </c>
      <c r="K81" s="97"/>
      <c r="L81" s="97">
        <f t="shared" si="5"/>
        <v>755000</v>
      </c>
      <c r="M81" s="97">
        <f t="shared" si="6"/>
        <v>755000</v>
      </c>
      <c r="N81" s="97">
        <f t="shared" si="4"/>
        <v>0</v>
      </c>
    </row>
    <row r="82" spans="2:14"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</row>
    <row r="83" spans="2:14">
      <c r="C83" s="251"/>
      <c r="D83" s="251"/>
      <c r="E83" s="251"/>
      <c r="F83" s="251"/>
      <c r="G83" s="251"/>
      <c r="H83" s="251"/>
      <c r="I83" s="251"/>
      <c r="J83" s="251"/>
      <c r="K83" s="251"/>
      <c r="L83" s="251"/>
      <c r="M83" s="251"/>
      <c r="N83" s="251"/>
    </row>
    <row r="84" spans="2:14"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97"/>
    </row>
    <row r="85" spans="2:14">
      <c r="B85" s="171" t="s">
        <v>400</v>
      </c>
      <c r="C85" s="97">
        <f>SUM(C10:C83)</f>
        <v>51904000</v>
      </c>
      <c r="D85" s="97">
        <f t="shared" ref="D85:N85" si="7">SUM(D10:D83)</f>
        <v>5970000</v>
      </c>
      <c r="E85" s="97">
        <f t="shared" si="7"/>
        <v>1740484</v>
      </c>
      <c r="F85" s="97">
        <f t="shared" si="7"/>
        <v>14279496</v>
      </c>
      <c r="G85" s="97">
        <f t="shared" si="7"/>
        <v>260610</v>
      </c>
      <c r="H85" s="97">
        <f t="shared" si="7"/>
        <v>26048459</v>
      </c>
      <c r="I85" s="97">
        <f t="shared" si="7"/>
        <v>1964264</v>
      </c>
      <c r="J85" s="97">
        <f t="shared" si="7"/>
        <v>438307</v>
      </c>
      <c r="K85" s="97">
        <f t="shared" si="7"/>
        <v>1202380</v>
      </c>
      <c r="L85" s="97">
        <f t="shared" si="7"/>
        <v>45934000</v>
      </c>
      <c r="M85" s="97">
        <f t="shared" si="7"/>
        <v>51904000</v>
      </c>
      <c r="N85" s="97">
        <f t="shared" si="7"/>
        <v>0</v>
      </c>
    </row>
    <row r="86" spans="2:14"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</row>
    <row r="87" spans="2:14"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</row>
    <row r="88" spans="2:14"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</row>
    <row r="89" spans="2:14">
      <c r="B89" s="171" t="s">
        <v>401</v>
      </c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97"/>
    </row>
    <row r="90" spans="2:14"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</row>
    <row r="91" spans="2:14">
      <c r="B91" s="171" t="s">
        <v>402</v>
      </c>
      <c r="C91" s="97">
        <v>7245000</v>
      </c>
      <c r="D91" s="97"/>
      <c r="E91" s="97"/>
      <c r="F91" s="97"/>
      <c r="G91" s="97"/>
      <c r="H91" s="97">
        <v>7245000</v>
      </c>
      <c r="I91" s="97"/>
      <c r="J91" s="97"/>
      <c r="K91" s="97"/>
      <c r="L91" s="97">
        <f t="shared" ref="L91" si="8">SUM(E91:K91)</f>
        <v>7245000</v>
      </c>
      <c r="M91" s="97">
        <f t="shared" ref="M91" si="9">L91+D91</f>
        <v>7245000</v>
      </c>
      <c r="N91" s="97">
        <f t="shared" ref="N91" si="10">M91-C91</f>
        <v>0</v>
      </c>
    </row>
    <row r="92" spans="2:14">
      <c r="B92" s="171" t="s">
        <v>403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</row>
    <row r="93" spans="2:14">
      <c r="B93" s="171" t="s">
        <v>404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</row>
    <row r="94" spans="2:14"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7"/>
      <c r="N94" s="97"/>
    </row>
    <row r="95" spans="2:14"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</row>
    <row r="96" spans="2:14">
      <c r="B96" s="171" t="s">
        <v>405</v>
      </c>
      <c r="C96" s="97">
        <v>416000</v>
      </c>
      <c r="D96" s="97"/>
      <c r="E96" s="97"/>
      <c r="F96" s="97"/>
      <c r="G96" s="97"/>
      <c r="H96" s="97">
        <f>C96</f>
        <v>416000</v>
      </c>
      <c r="I96" s="97"/>
      <c r="J96" s="97"/>
      <c r="K96" s="97"/>
      <c r="L96" s="97">
        <f t="shared" ref="L96" si="11">SUM(E96:K96)</f>
        <v>416000</v>
      </c>
      <c r="M96" s="97">
        <f t="shared" ref="M96" si="12">L96+D96</f>
        <v>416000</v>
      </c>
      <c r="N96" s="97">
        <f t="shared" ref="N96" si="13">M96-C96</f>
        <v>0</v>
      </c>
    </row>
    <row r="97" spans="2:14">
      <c r="B97" s="171" t="s">
        <v>406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</row>
    <row r="98" spans="2:14">
      <c r="B98" s="171" t="s">
        <v>407</v>
      </c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7"/>
      <c r="N98" s="97"/>
    </row>
    <row r="99" spans="2:14">
      <c r="C99" s="251"/>
      <c r="D99" s="251"/>
      <c r="E99" s="251"/>
      <c r="F99" s="251"/>
      <c r="G99" s="251"/>
      <c r="H99" s="251"/>
      <c r="I99" s="251"/>
      <c r="J99" s="251"/>
      <c r="K99" s="251"/>
      <c r="L99" s="251"/>
      <c r="M99" s="251"/>
      <c r="N99" s="251"/>
    </row>
    <row r="100" spans="2:14"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7"/>
      <c r="N100" s="97"/>
    </row>
    <row r="101" spans="2:14">
      <c r="B101" s="171" t="s">
        <v>408</v>
      </c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</row>
    <row r="102" spans="2:14">
      <c r="B102" s="171" t="s">
        <v>409</v>
      </c>
      <c r="C102" s="97">
        <f>C85+C91</f>
        <v>59149000</v>
      </c>
      <c r="D102" s="97">
        <f t="shared" ref="D102:N102" si="14">D85+D91</f>
        <v>5970000</v>
      </c>
      <c r="E102" s="97">
        <f t="shared" si="14"/>
        <v>1740484</v>
      </c>
      <c r="F102" s="97">
        <f t="shared" si="14"/>
        <v>14279496</v>
      </c>
      <c r="G102" s="97">
        <f t="shared" si="14"/>
        <v>260610</v>
      </c>
      <c r="H102" s="97">
        <f t="shared" si="14"/>
        <v>33293459</v>
      </c>
      <c r="I102" s="97">
        <f t="shared" si="14"/>
        <v>1964264</v>
      </c>
      <c r="J102" s="97">
        <f t="shared" si="14"/>
        <v>438307</v>
      </c>
      <c r="K102" s="97">
        <f t="shared" si="14"/>
        <v>1202380</v>
      </c>
      <c r="L102" s="97">
        <f t="shared" ref="L102" si="15">L85+L91</f>
        <v>53179000</v>
      </c>
      <c r="M102" s="97">
        <f t="shared" si="14"/>
        <v>59149000</v>
      </c>
      <c r="N102" s="97">
        <f t="shared" si="14"/>
        <v>0</v>
      </c>
    </row>
    <row r="103" spans="2:14">
      <c r="B103" s="171" t="s">
        <v>410</v>
      </c>
      <c r="C103" s="97">
        <f>C85+C96</f>
        <v>52320000</v>
      </c>
      <c r="D103" s="97">
        <f t="shared" ref="D103:N103" si="16">D85+D96</f>
        <v>5970000</v>
      </c>
      <c r="E103" s="97">
        <f t="shared" si="16"/>
        <v>1740484</v>
      </c>
      <c r="F103" s="97">
        <f t="shared" si="16"/>
        <v>14279496</v>
      </c>
      <c r="G103" s="97">
        <f t="shared" si="16"/>
        <v>260610</v>
      </c>
      <c r="H103" s="97">
        <f t="shared" si="16"/>
        <v>26464459</v>
      </c>
      <c r="I103" s="97">
        <f t="shared" si="16"/>
        <v>1964264</v>
      </c>
      <c r="J103" s="97">
        <f t="shared" si="16"/>
        <v>438307</v>
      </c>
      <c r="K103" s="97">
        <f t="shared" si="16"/>
        <v>1202380</v>
      </c>
      <c r="L103" s="97">
        <f t="shared" ref="L103" si="17">L85+L96</f>
        <v>46350000</v>
      </c>
      <c r="M103" s="97">
        <f t="shared" si="16"/>
        <v>52320000</v>
      </c>
      <c r="N103" s="97">
        <f t="shared" si="16"/>
        <v>0</v>
      </c>
    </row>
    <row r="104" spans="2:14"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</row>
    <row r="111" spans="2:14">
      <c r="B111" s="171" t="s">
        <v>423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7" workbookViewId="0">
      <selection activeCell="F33" sqref="F33"/>
    </sheetView>
  </sheetViews>
  <sheetFormatPr defaultRowHeight="12.75"/>
  <cols>
    <col min="1" max="1" width="2.140625" customWidth="1"/>
    <col min="2" max="2" width="3.28515625" customWidth="1"/>
    <col min="3" max="3" width="42.140625" customWidth="1"/>
    <col min="4" max="4" width="5.5703125" customWidth="1"/>
    <col min="5" max="5" width="15.7109375" bestFit="1" customWidth="1"/>
    <col min="6" max="6" width="16.140625" bestFit="1" customWidth="1"/>
    <col min="12" max="12" width="30" customWidth="1"/>
    <col min="13" max="13" width="14.5703125" customWidth="1"/>
    <col min="14" max="14" width="15.28515625" customWidth="1"/>
  </cols>
  <sheetData>
    <row r="1" spans="1:6">
      <c r="A1" s="7" t="s">
        <v>78</v>
      </c>
      <c r="F1" s="1" t="str">
        <f>Assumptions!$B$12</f>
        <v>Internal</v>
      </c>
    </row>
    <row r="2" spans="1:6">
      <c r="A2" s="7" t="str">
        <f>Assumptions!$B$10</f>
        <v>City of Manteca</v>
      </c>
      <c r="F2" s="2" t="str">
        <f>Assumptions!$B$13</f>
        <v>Working Draft - v1</v>
      </c>
    </row>
    <row r="3" spans="1:6">
      <c r="A3" s="7" t="str">
        <f>Assumptions!$B$18</f>
        <v>PFF Sewer Collection Fee</v>
      </c>
      <c r="F3" s="3">
        <f>Assumptions!$B$14</f>
        <v>41075</v>
      </c>
    </row>
    <row r="4" spans="1:6">
      <c r="A4" s="7" t="s">
        <v>84</v>
      </c>
    </row>
    <row r="8" spans="1:6">
      <c r="A8" s="8"/>
      <c r="B8" s="8"/>
      <c r="C8" s="8"/>
      <c r="D8" s="8"/>
      <c r="E8" s="255" t="s">
        <v>15</v>
      </c>
      <c r="F8" s="255"/>
    </row>
    <row r="9" spans="1:6">
      <c r="A9" s="9"/>
      <c r="B9" s="9"/>
      <c r="C9" s="9"/>
      <c r="D9" s="9"/>
      <c r="E9" s="9" t="s">
        <v>16</v>
      </c>
      <c r="F9" s="10" t="s">
        <v>17</v>
      </c>
    </row>
    <row r="10" spans="1:6">
      <c r="A10" s="48"/>
      <c r="B10" s="48"/>
      <c r="C10" s="48"/>
      <c r="D10" s="48"/>
      <c r="E10" s="48"/>
      <c r="F10" s="49"/>
    </row>
    <row r="11" spans="1:6">
      <c r="A11" s="7" t="s">
        <v>82</v>
      </c>
      <c r="B11" s="11"/>
      <c r="C11" s="11"/>
      <c r="D11" s="11"/>
      <c r="E11" s="11"/>
      <c r="F11" s="12"/>
    </row>
    <row r="12" spans="1:6">
      <c r="A12" s="7"/>
      <c r="B12" s="11" t="s">
        <v>18</v>
      </c>
      <c r="C12" s="11"/>
      <c r="D12" s="11"/>
      <c r="E12" s="11"/>
      <c r="F12" s="13"/>
    </row>
    <row r="13" spans="1:6">
      <c r="A13" s="7"/>
      <c r="B13" s="11"/>
      <c r="C13" s="11" t="s">
        <v>19</v>
      </c>
      <c r="D13" s="11"/>
      <c r="E13" s="14">
        <f>'Fund Alloc'!D18</f>
        <v>4766282.7501152651</v>
      </c>
    </row>
    <row r="14" spans="1:6">
      <c r="A14" s="7"/>
      <c r="B14" s="11"/>
      <c r="C14" s="11" t="s">
        <v>20</v>
      </c>
      <c r="D14" s="11"/>
      <c r="E14" s="11"/>
      <c r="F14" s="14">
        <v>1128000</v>
      </c>
    </row>
    <row r="15" spans="1:6">
      <c r="A15" s="7"/>
      <c r="B15" s="11"/>
      <c r="C15" s="11" t="s">
        <v>21</v>
      </c>
      <c r="D15" s="11"/>
      <c r="E15" s="11"/>
      <c r="F15" s="14">
        <v>1192800</v>
      </c>
    </row>
    <row r="16" spans="1:6">
      <c r="A16" s="7"/>
      <c r="B16" s="11"/>
      <c r="C16" s="11" t="s">
        <v>22</v>
      </c>
      <c r="D16" s="11"/>
      <c r="E16" s="11"/>
      <c r="F16" s="14">
        <v>1128000</v>
      </c>
    </row>
    <row r="17" spans="1:6">
      <c r="A17" s="7"/>
      <c r="B17" s="11"/>
      <c r="C17" s="11" t="s">
        <v>23</v>
      </c>
      <c r="D17" s="11"/>
      <c r="E17" s="11"/>
      <c r="F17" s="14">
        <v>2975106</v>
      </c>
    </row>
    <row r="18" spans="1:6">
      <c r="A18" s="7"/>
      <c r="B18" s="11"/>
      <c r="C18" s="11"/>
      <c r="D18" s="11"/>
      <c r="E18" s="11"/>
      <c r="F18" s="14"/>
    </row>
    <row r="19" spans="1:6">
      <c r="A19" s="7"/>
      <c r="B19" s="11" t="s">
        <v>24</v>
      </c>
      <c r="C19" s="11"/>
      <c r="D19" s="11"/>
      <c r="E19" s="11"/>
      <c r="F19" s="14"/>
    </row>
    <row r="20" spans="1:6">
      <c r="A20" s="7"/>
      <c r="B20" s="11"/>
      <c r="C20" s="11" t="s">
        <v>25</v>
      </c>
      <c r="D20" s="11"/>
      <c r="E20" s="11"/>
      <c r="F20" s="14">
        <v>369600</v>
      </c>
    </row>
    <row r="21" spans="1:6">
      <c r="A21" s="7"/>
      <c r="B21" s="11"/>
      <c r="C21" s="11" t="s">
        <v>26</v>
      </c>
      <c r="D21" s="11"/>
      <c r="E21" s="11"/>
      <c r="F21" s="14">
        <v>385000</v>
      </c>
    </row>
    <row r="22" spans="1:6">
      <c r="A22" s="7"/>
      <c r="B22" s="11"/>
      <c r="C22" s="11" t="s">
        <v>27</v>
      </c>
      <c r="D22" s="11"/>
      <c r="E22" s="11"/>
      <c r="F22" s="14">
        <v>185500</v>
      </c>
    </row>
    <row r="23" spans="1:6">
      <c r="A23" s="7"/>
      <c r="B23" s="11"/>
      <c r="C23" s="11" t="s">
        <v>28</v>
      </c>
      <c r="D23" s="11"/>
      <c r="E23" s="11"/>
      <c r="F23" s="14">
        <v>185500</v>
      </c>
    </row>
    <row r="24" spans="1:6">
      <c r="A24" s="7"/>
      <c r="B24" s="11"/>
      <c r="C24" s="11" t="s">
        <v>29</v>
      </c>
      <c r="D24" s="11"/>
      <c r="E24" s="11"/>
      <c r="F24" s="14">
        <v>369600</v>
      </c>
    </row>
    <row r="25" spans="1:6">
      <c r="A25" s="7"/>
      <c r="B25" s="11"/>
      <c r="C25" s="11" t="s">
        <v>30</v>
      </c>
      <c r="D25" s="11"/>
      <c r="E25" s="11"/>
      <c r="F25" s="14">
        <v>420000</v>
      </c>
    </row>
    <row r="26" spans="1:6">
      <c r="A26" s="7"/>
      <c r="B26" s="11"/>
      <c r="C26" s="11" t="s">
        <v>31</v>
      </c>
      <c r="D26" s="11"/>
      <c r="E26" s="11"/>
      <c r="F26" s="14">
        <v>273000</v>
      </c>
    </row>
    <row r="27" spans="1:6">
      <c r="A27" s="7"/>
      <c r="B27" s="11"/>
      <c r="C27" s="11" t="s">
        <v>32</v>
      </c>
      <c r="D27" s="11"/>
      <c r="E27" s="28"/>
      <c r="F27" s="29">
        <v>500000</v>
      </c>
    </row>
    <row r="28" spans="1:6">
      <c r="A28" s="7"/>
      <c r="B28" s="11"/>
      <c r="C28" s="11" t="s">
        <v>69</v>
      </c>
      <c r="D28" s="11"/>
      <c r="E28" s="14">
        <f>SUM(E12:E27)</f>
        <v>4766282.7501152651</v>
      </c>
      <c r="F28" s="14">
        <f>SUM(F12:F27)</f>
        <v>9112106</v>
      </c>
    </row>
    <row r="29" spans="1:6">
      <c r="A29" s="7"/>
      <c r="B29" s="11"/>
      <c r="C29" s="11"/>
      <c r="D29" s="11"/>
      <c r="E29" s="14"/>
      <c r="F29" s="14"/>
    </row>
    <row r="30" spans="1:6">
      <c r="A30" s="7" t="s">
        <v>83</v>
      </c>
      <c r="B30" s="11"/>
      <c r="C30" s="11"/>
      <c r="D30" s="11"/>
      <c r="E30" s="11"/>
      <c r="F30" s="14"/>
    </row>
    <row r="31" spans="1:6">
      <c r="A31" s="7"/>
      <c r="B31" s="11" t="s">
        <v>33</v>
      </c>
      <c r="C31" s="11"/>
      <c r="D31" s="11"/>
      <c r="E31" s="11"/>
      <c r="F31" s="14"/>
    </row>
    <row r="32" spans="1:6">
      <c r="A32" s="7"/>
      <c r="C32" s="11" t="s">
        <v>34</v>
      </c>
      <c r="D32" s="11"/>
      <c r="E32" s="11"/>
      <c r="F32" s="14">
        <v>750000</v>
      </c>
    </row>
    <row r="33" spans="1:6">
      <c r="A33" s="7"/>
      <c r="B33" s="11"/>
      <c r="C33" s="11" t="s">
        <v>35</v>
      </c>
      <c r="D33" s="11"/>
      <c r="E33" s="11"/>
      <c r="F33" s="14">
        <v>453000</v>
      </c>
    </row>
    <row r="34" spans="1:6">
      <c r="A34" s="7"/>
      <c r="B34" s="11"/>
      <c r="C34" s="11" t="s">
        <v>36</v>
      </c>
      <c r="D34" s="11"/>
      <c r="E34" s="11"/>
      <c r="F34" s="14">
        <v>453000</v>
      </c>
    </row>
    <row r="35" spans="1:6">
      <c r="A35" s="7"/>
      <c r="B35" s="11"/>
      <c r="C35" s="11" t="s">
        <v>37</v>
      </c>
      <c r="D35" s="11"/>
      <c r="E35" s="11"/>
      <c r="F35" s="14">
        <v>453000</v>
      </c>
    </row>
    <row r="36" spans="1:6">
      <c r="A36" s="7"/>
      <c r="B36" s="11"/>
      <c r="C36" s="11"/>
      <c r="D36" s="11"/>
      <c r="E36" s="11"/>
      <c r="F36" s="14"/>
    </row>
    <row r="37" spans="1:6">
      <c r="A37" s="7"/>
      <c r="B37" s="11" t="s">
        <v>38</v>
      </c>
      <c r="C37" s="11"/>
      <c r="D37" s="11"/>
      <c r="E37" s="11"/>
      <c r="F37" s="14"/>
    </row>
    <row r="38" spans="1:6">
      <c r="A38" s="7"/>
      <c r="B38" s="11"/>
      <c r="C38" s="11" t="s">
        <v>39</v>
      </c>
      <c r="D38" s="11"/>
      <c r="E38" s="11"/>
      <c r="F38" s="14">
        <v>1118000</v>
      </c>
    </row>
    <row r="39" spans="1:6">
      <c r="A39" s="7"/>
      <c r="B39" s="11"/>
      <c r="C39" s="11" t="s">
        <v>40</v>
      </c>
      <c r="D39" s="11"/>
      <c r="E39" s="11"/>
      <c r="F39" s="14">
        <v>453000</v>
      </c>
    </row>
    <row r="40" spans="1:6">
      <c r="A40" s="7"/>
      <c r="B40" s="11"/>
      <c r="C40" s="11" t="s">
        <v>41</v>
      </c>
      <c r="D40" s="11"/>
      <c r="E40" s="30"/>
      <c r="F40" s="31">
        <v>666000</v>
      </c>
    </row>
    <row r="41" spans="1:6">
      <c r="A41" s="7"/>
      <c r="B41" s="11"/>
      <c r="C41" s="11" t="s">
        <v>42</v>
      </c>
      <c r="D41" s="11"/>
      <c r="E41" s="28"/>
      <c r="F41" s="29">
        <v>453000</v>
      </c>
    </row>
    <row r="42" spans="1:6">
      <c r="A42" s="7"/>
      <c r="B42" s="11"/>
      <c r="C42" s="11" t="s">
        <v>70</v>
      </c>
      <c r="D42" s="11"/>
      <c r="E42" s="14">
        <f>SUM(E31:E41)</f>
        <v>0</v>
      </c>
      <c r="F42" s="14">
        <f>SUM(F31:F41)</f>
        <v>4799000</v>
      </c>
    </row>
    <row r="43" spans="1:6">
      <c r="A43" s="11"/>
      <c r="B43" s="11"/>
      <c r="C43" s="11"/>
      <c r="D43" s="11"/>
      <c r="E43" s="28"/>
      <c r="F43" s="28"/>
    </row>
    <row r="44" spans="1:6">
      <c r="A44" s="11"/>
      <c r="B44" s="34" t="s">
        <v>71</v>
      </c>
      <c r="C44" s="34"/>
      <c r="D44" s="34"/>
      <c r="E44" s="35">
        <f>E28+E42</f>
        <v>4766282.7501152651</v>
      </c>
      <c r="F44" s="35">
        <f>F28+F42</f>
        <v>13911106</v>
      </c>
    </row>
    <row r="45" spans="1:6">
      <c r="A45" s="11"/>
      <c r="B45" s="7"/>
      <c r="C45" s="7"/>
      <c r="D45" s="7"/>
      <c r="E45" s="15"/>
      <c r="F45" s="15"/>
    </row>
    <row r="46" spans="1:6">
      <c r="A46" s="11"/>
      <c r="B46" s="7"/>
      <c r="C46" s="7"/>
      <c r="D46" s="7"/>
      <c r="E46" s="15"/>
      <c r="F46" s="15"/>
    </row>
    <row r="47" spans="1:6">
      <c r="A47" s="7" t="s">
        <v>72</v>
      </c>
      <c r="B47" s="11"/>
      <c r="C47" s="11"/>
      <c r="D47" s="11"/>
      <c r="E47" s="11"/>
      <c r="F47" s="11"/>
    </row>
    <row r="48" spans="1:6">
      <c r="A48" s="11"/>
      <c r="B48" s="11"/>
      <c r="C48" s="11" t="s">
        <v>43</v>
      </c>
      <c r="D48" s="16">
        <v>0.14000000000000001</v>
      </c>
      <c r="E48" s="16"/>
      <c r="F48" s="14">
        <f>F28*D48</f>
        <v>1275694.8400000001</v>
      </c>
    </row>
    <row r="49" spans="1:6">
      <c r="A49" s="11"/>
      <c r="B49" s="11"/>
      <c r="C49" s="11" t="s">
        <v>44</v>
      </c>
      <c r="D49" s="16">
        <v>0.19</v>
      </c>
      <c r="E49" s="32"/>
      <c r="F49" s="33">
        <f>(F42-F32)*D49</f>
        <v>769310</v>
      </c>
    </row>
    <row r="50" spans="1:6">
      <c r="A50" s="11"/>
      <c r="B50" s="34" t="s">
        <v>68</v>
      </c>
      <c r="C50" s="36"/>
      <c r="D50" s="37"/>
      <c r="E50" s="38">
        <f>SUM(E48:E49)</f>
        <v>0</v>
      </c>
      <c r="F50" s="38">
        <f>SUM(F48:F49)</f>
        <v>2045004.84</v>
      </c>
    </row>
    <row r="51" spans="1:6">
      <c r="A51" s="11"/>
      <c r="B51" s="7"/>
      <c r="C51" s="11"/>
      <c r="D51" s="16"/>
      <c r="E51" s="17"/>
      <c r="F51" s="17"/>
    </row>
    <row r="52" spans="1:6">
      <c r="A52" s="11"/>
      <c r="B52" s="11"/>
      <c r="C52" s="11"/>
      <c r="D52" s="11"/>
      <c r="E52" s="11"/>
      <c r="F52" s="11"/>
    </row>
    <row r="53" spans="1:6" ht="23.25" customHeight="1">
      <c r="A53" s="40"/>
      <c r="B53" s="18" t="s">
        <v>45</v>
      </c>
      <c r="C53" s="18"/>
      <c r="D53" s="18"/>
      <c r="E53" s="19">
        <f>E44+E50</f>
        <v>4766282.7501152651</v>
      </c>
      <c r="F53" s="41">
        <f>F44+F50</f>
        <v>15956110.84</v>
      </c>
    </row>
    <row r="54" spans="1:6" ht="8.25" customHeight="1"/>
    <row r="55" spans="1:6">
      <c r="A55" s="20" t="s">
        <v>46</v>
      </c>
    </row>
    <row r="58" spans="1:6">
      <c r="B58" t="s">
        <v>12</v>
      </c>
    </row>
    <row r="59" spans="1:6">
      <c r="B59" t="s">
        <v>79</v>
      </c>
    </row>
    <row r="61" spans="1:6">
      <c r="B61" s="171" t="s">
        <v>226</v>
      </c>
    </row>
    <row r="69" ht="18.75" customHeight="1"/>
    <row r="72" ht="4.5" customHeight="1"/>
  </sheetData>
  <mergeCells count="1">
    <mergeCell ref="E8:F8"/>
  </mergeCells>
  <pageMargins left="0.75" right="0.75" top="1" bottom="1" header="0.5" footer="0.5"/>
  <pageSetup scale="87" orientation="portrait" r:id="rId1"/>
  <headerFooter alignWithMargins="0">
    <oddFooter>&amp;L&amp;8&amp;Z&amp;F&amp;A&amp;R&amp;9&amp;T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zoomScale="7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A5"/>
    </sheetView>
  </sheetViews>
  <sheetFormatPr defaultColWidth="8.85546875" defaultRowHeight="12.75"/>
  <cols>
    <col min="1" max="1" width="38.42578125" style="50" bestFit="1" customWidth="1"/>
    <col min="2" max="2" width="2.7109375" style="50" customWidth="1"/>
    <col min="3" max="3" width="10.5703125" style="50" bestFit="1" customWidth="1"/>
    <col min="4" max="4" width="9.42578125" style="50" bestFit="1" customWidth="1"/>
    <col min="5" max="5" width="12.7109375" style="50" bestFit="1" customWidth="1"/>
    <col min="6" max="6" width="12" style="50" bestFit="1" customWidth="1"/>
    <col min="7" max="8" width="12.28515625" style="50" bestFit="1" customWidth="1"/>
    <col min="9" max="10" width="12.7109375" style="50" bestFit="1" customWidth="1"/>
    <col min="11" max="11" width="8.85546875" style="50"/>
    <col min="12" max="12" width="6.28515625" style="50" bestFit="1" customWidth="1"/>
    <col min="13" max="13" width="12.7109375" style="50" hidden="1" customWidth="1"/>
    <col min="14" max="14" width="16.140625" style="50" bestFit="1" customWidth="1"/>
    <col min="15" max="15" width="8.85546875" style="50"/>
    <col min="16" max="16" width="12.7109375" style="50" hidden="1" customWidth="1"/>
    <col min="17" max="17" width="10.85546875" style="50" bestFit="1" customWidth="1"/>
    <col min="18" max="16384" width="8.85546875" style="50"/>
  </cols>
  <sheetData>
    <row r="1" spans="1:16">
      <c r="A1" s="214" t="s">
        <v>89</v>
      </c>
      <c r="N1" s="51" t="str">
        <f>Assumptions!$B$12</f>
        <v>Internal</v>
      </c>
    </row>
    <row r="2" spans="1:16">
      <c r="A2" s="50" t="str">
        <f>Assumptions!B10</f>
        <v>City of Manteca</v>
      </c>
      <c r="N2" s="52" t="str">
        <f>Assumptions!$B$13</f>
        <v>Working Draft - v1</v>
      </c>
    </row>
    <row r="3" spans="1:16">
      <c r="A3" s="50" t="str">
        <f>Assumptions!B18</f>
        <v>PFF Sewer Collection Fee</v>
      </c>
      <c r="N3" s="53">
        <f>Assumptions!$B$14</f>
        <v>41075</v>
      </c>
    </row>
    <row r="4" spans="1:16">
      <c r="A4" s="50" t="s">
        <v>134</v>
      </c>
      <c r="N4" s="95"/>
    </row>
    <row r="5" spans="1:16">
      <c r="N5" s="95"/>
    </row>
    <row r="6" spans="1:16">
      <c r="N6" s="95"/>
    </row>
    <row r="9" spans="1:16">
      <c r="C9" s="256" t="s">
        <v>90</v>
      </c>
      <c r="D9" s="257"/>
      <c r="E9" s="257"/>
      <c r="F9" s="257"/>
      <c r="G9" s="257"/>
      <c r="H9" s="257"/>
      <c r="I9" s="257"/>
      <c r="J9" s="257"/>
      <c r="K9" s="257"/>
      <c r="L9" s="258"/>
      <c r="M9" s="54"/>
    </row>
    <row r="10" spans="1:16">
      <c r="C10" s="55" t="s">
        <v>91</v>
      </c>
      <c r="D10" s="54"/>
      <c r="E10" s="54"/>
      <c r="F10" s="54"/>
      <c r="G10" s="54"/>
      <c r="H10" s="54"/>
      <c r="I10" s="54"/>
      <c r="J10" s="54" t="s">
        <v>92</v>
      </c>
      <c r="K10" s="54"/>
      <c r="L10" s="56"/>
      <c r="M10" s="57" t="s">
        <v>86</v>
      </c>
    </row>
    <row r="11" spans="1:16">
      <c r="C11" s="55" t="s">
        <v>93</v>
      </c>
      <c r="D11" s="54" t="s">
        <v>85</v>
      </c>
      <c r="E11" s="54" t="s">
        <v>85</v>
      </c>
      <c r="F11" s="54" t="s">
        <v>85</v>
      </c>
      <c r="G11" s="54" t="s">
        <v>85</v>
      </c>
      <c r="H11" s="54" t="s">
        <v>85</v>
      </c>
      <c r="I11" s="54" t="s">
        <v>94</v>
      </c>
      <c r="J11" s="54" t="s">
        <v>95</v>
      </c>
      <c r="K11" s="54" t="s">
        <v>85</v>
      </c>
      <c r="L11" s="56" t="s">
        <v>85</v>
      </c>
      <c r="M11" s="57"/>
    </row>
    <row r="12" spans="1:16">
      <c r="C12" s="58" t="s">
        <v>96</v>
      </c>
      <c r="D12" s="59">
        <v>21</v>
      </c>
      <c r="E12" s="59">
        <v>22</v>
      </c>
      <c r="F12" s="59">
        <v>23</v>
      </c>
      <c r="G12" s="59">
        <v>24</v>
      </c>
      <c r="H12" s="59" t="s">
        <v>97</v>
      </c>
      <c r="I12" s="59" t="s">
        <v>98</v>
      </c>
      <c r="J12" s="59">
        <v>24</v>
      </c>
      <c r="K12" s="59">
        <v>25</v>
      </c>
      <c r="L12" s="60">
        <v>51</v>
      </c>
      <c r="M12" s="57" t="s">
        <v>87</v>
      </c>
      <c r="N12" s="57" t="s">
        <v>9</v>
      </c>
    </row>
    <row r="13" spans="1:16"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7"/>
      <c r="N13" s="57"/>
    </row>
    <row r="14" spans="1:16">
      <c r="C14" s="61"/>
      <c r="D14" s="61"/>
      <c r="E14" s="61"/>
      <c r="F14" s="61"/>
      <c r="G14" s="61"/>
      <c r="H14" s="61"/>
      <c r="I14" s="61"/>
      <c r="J14" s="61"/>
      <c r="K14" s="61"/>
      <c r="L14" s="61"/>
      <c r="N14" s="63"/>
    </row>
    <row r="15" spans="1:16">
      <c r="A15" s="66" t="s">
        <v>99</v>
      </c>
      <c r="C15" s="67">
        <v>15781</v>
      </c>
      <c r="D15" s="68">
        <v>47999</v>
      </c>
      <c r="E15" s="68">
        <v>1669948</v>
      </c>
      <c r="F15" s="68">
        <v>1055339</v>
      </c>
      <c r="G15" s="68">
        <v>3997207</v>
      </c>
      <c r="H15" s="68">
        <v>-1581488</v>
      </c>
      <c r="I15" s="68">
        <v>427959</v>
      </c>
      <c r="J15" s="68">
        <v>40590</v>
      </c>
      <c r="K15" s="68">
        <v>-8920</v>
      </c>
      <c r="L15" s="68">
        <v>0</v>
      </c>
      <c r="M15" s="68">
        <v>0</v>
      </c>
      <c r="N15" s="69">
        <f>SUM(C15:M15)</f>
        <v>5664415</v>
      </c>
      <c r="P15" s="62">
        <f>N15</f>
        <v>5664415</v>
      </c>
    </row>
    <row r="16" spans="1:16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7">
      <c r="A17" s="70" t="s">
        <v>100</v>
      </c>
      <c r="B17" s="71"/>
      <c r="C17" s="72"/>
      <c r="D17" s="72"/>
      <c r="E17" s="72"/>
      <c r="F17" s="72"/>
      <c r="G17" s="73"/>
      <c r="H17" s="73"/>
      <c r="I17" s="73"/>
      <c r="J17" s="73"/>
      <c r="K17" s="73"/>
      <c r="L17" s="73"/>
      <c r="M17" s="73"/>
      <c r="N17" s="61"/>
    </row>
    <row r="18" spans="1:17">
      <c r="A18" s="74" t="s">
        <v>101</v>
      </c>
      <c r="B18" s="71"/>
      <c r="C18" s="72"/>
      <c r="D18" s="72"/>
      <c r="E18" s="72"/>
      <c r="F18" s="72"/>
      <c r="G18" s="75">
        <v>-191447</v>
      </c>
      <c r="H18" s="75"/>
      <c r="I18" s="75"/>
      <c r="J18" s="75"/>
      <c r="K18" s="75"/>
      <c r="L18" s="75"/>
      <c r="M18" s="75"/>
      <c r="N18" s="61">
        <f t="shared" ref="N18:N25" si="0">SUM(C18:M18)</f>
        <v>-191447</v>
      </c>
    </row>
    <row r="19" spans="1:17">
      <c r="A19" s="76" t="s">
        <v>88</v>
      </c>
      <c r="B19" s="71"/>
      <c r="C19" s="72"/>
      <c r="D19" s="72"/>
      <c r="E19" s="72">
        <v>-210975</v>
      </c>
      <c r="F19" s="72"/>
      <c r="G19" s="75"/>
      <c r="H19" s="75"/>
      <c r="I19" s="75"/>
      <c r="J19" s="75"/>
      <c r="K19" s="75"/>
      <c r="L19" s="75"/>
      <c r="M19" s="75"/>
      <c r="N19" s="61">
        <f t="shared" si="0"/>
        <v>-210975</v>
      </c>
    </row>
    <row r="20" spans="1:17">
      <c r="A20" s="76" t="s">
        <v>102</v>
      </c>
      <c r="B20" s="71"/>
      <c r="C20" s="72"/>
      <c r="D20" s="72"/>
      <c r="E20" s="72"/>
      <c r="F20" s="72"/>
      <c r="G20" s="75">
        <v>-24866</v>
      </c>
      <c r="H20" s="75"/>
      <c r="I20" s="75"/>
      <c r="J20" s="75"/>
      <c r="K20" s="75"/>
      <c r="L20" s="75"/>
      <c r="M20" s="75"/>
      <c r="N20" s="61">
        <f t="shared" si="0"/>
        <v>-24866</v>
      </c>
    </row>
    <row r="21" spans="1:17">
      <c r="A21" s="76" t="s">
        <v>103</v>
      </c>
      <c r="B21" s="71"/>
      <c r="C21" s="72"/>
      <c r="D21" s="72"/>
      <c r="E21" s="72"/>
      <c r="F21" s="72"/>
      <c r="G21" s="75">
        <v>-2306039</v>
      </c>
      <c r="H21" s="75"/>
      <c r="I21" s="75"/>
      <c r="J21" s="75"/>
      <c r="K21" s="75"/>
      <c r="L21" s="75"/>
      <c r="M21" s="75"/>
      <c r="N21" s="61">
        <f t="shared" si="0"/>
        <v>-2306039</v>
      </c>
    </row>
    <row r="22" spans="1:17">
      <c r="A22" s="76" t="s">
        <v>104</v>
      </c>
      <c r="B22" s="71"/>
      <c r="C22" s="72"/>
      <c r="D22" s="72"/>
      <c r="E22" s="72"/>
      <c r="F22" s="72"/>
      <c r="G22" s="75">
        <v>-928228</v>
      </c>
      <c r="H22" s="75"/>
      <c r="I22" s="75"/>
      <c r="J22" s="75"/>
      <c r="K22" s="75"/>
      <c r="L22" s="75"/>
      <c r="M22" s="75"/>
      <c r="N22" s="61">
        <f t="shared" si="0"/>
        <v>-928228</v>
      </c>
      <c r="P22" s="62"/>
    </row>
    <row r="23" spans="1:17">
      <c r="A23" s="76" t="s">
        <v>105</v>
      </c>
      <c r="B23" s="71"/>
      <c r="C23" s="72"/>
      <c r="D23" s="72"/>
      <c r="E23" s="72">
        <v>-4214964</v>
      </c>
      <c r="F23" s="72"/>
      <c r="G23" s="75"/>
      <c r="H23" s="75"/>
      <c r="I23" s="75"/>
      <c r="J23" s="75"/>
      <c r="K23" s="75"/>
      <c r="L23" s="75"/>
      <c r="M23" s="75"/>
      <c r="N23" s="61">
        <f t="shared" si="0"/>
        <v>-4214964</v>
      </c>
    </row>
    <row r="24" spans="1:17">
      <c r="A24" s="77"/>
      <c r="B24" s="71"/>
      <c r="C24" s="72"/>
      <c r="D24" s="72"/>
      <c r="E24" s="72"/>
      <c r="F24" s="72"/>
      <c r="G24" s="75"/>
      <c r="H24" s="75"/>
      <c r="I24" s="75"/>
      <c r="J24" s="75"/>
      <c r="K24" s="75"/>
      <c r="L24" s="75"/>
      <c r="M24" s="75"/>
      <c r="N24" s="61">
        <f t="shared" si="0"/>
        <v>0</v>
      </c>
    </row>
    <row r="25" spans="1:17">
      <c r="A25" s="78" t="s">
        <v>106</v>
      </c>
      <c r="B25" s="71"/>
      <c r="C25" s="79">
        <f t="shared" ref="C25:M25" si="1">SUM(C18:C24)</f>
        <v>0</v>
      </c>
      <c r="D25" s="80">
        <f t="shared" si="1"/>
        <v>0</v>
      </c>
      <c r="E25" s="80">
        <f t="shared" si="1"/>
        <v>-4425939</v>
      </c>
      <c r="F25" s="80">
        <f t="shared" si="1"/>
        <v>0</v>
      </c>
      <c r="G25" s="80">
        <f t="shared" si="1"/>
        <v>-3450580</v>
      </c>
      <c r="H25" s="80">
        <f t="shared" si="1"/>
        <v>0</v>
      </c>
      <c r="I25" s="80">
        <f t="shared" si="1"/>
        <v>0</v>
      </c>
      <c r="J25" s="80">
        <f t="shared" si="1"/>
        <v>0</v>
      </c>
      <c r="K25" s="80">
        <f t="shared" si="1"/>
        <v>0</v>
      </c>
      <c r="L25" s="80">
        <f t="shared" si="1"/>
        <v>0</v>
      </c>
      <c r="M25" s="80">
        <f t="shared" si="1"/>
        <v>0</v>
      </c>
      <c r="N25" s="69">
        <f t="shared" si="0"/>
        <v>-7876519</v>
      </c>
      <c r="P25" s="62">
        <f>N25</f>
        <v>-7876519</v>
      </c>
    </row>
    <row r="26" spans="1:17">
      <c r="A26" s="81" t="s">
        <v>107</v>
      </c>
      <c r="B26" s="71"/>
      <c r="C26" s="72"/>
      <c r="D26" s="72"/>
      <c r="E26" s="72"/>
      <c r="F26" s="72"/>
      <c r="G26" s="75"/>
      <c r="H26" s="75"/>
      <c r="I26" s="75"/>
      <c r="J26" s="75"/>
      <c r="K26" s="75"/>
      <c r="L26" s="75"/>
      <c r="M26" s="75"/>
      <c r="N26" s="82"/>
    </row>
    <row r="27" spans="1:17">
      <c r="A27" s="70" t="s">
        <v>108</v>
      </c>
      <c r="B27" s="71"/>
      <c r="C27" s="72"/>
      <c r="D27" s="72"/>
      <c r="E27" s="72"/>
      <c r="F27" s="72"/>
      <c r="G27" s="75"/>
      <c r="H27" s="75"/>
      <c r="I27" s="75"/>
      <c r="J27" s="75"/>
      <c r="K27" s="75"/>
      <c r="L27" s="75"/>
      <c r="M27" s="75"/>
      <c r="N27" s="61"/>
    </row>
    <row r="28" spans="1:17">
      <c r="A28" s="81" t="s">
        <v>34</v>
      </c>
      <c r="B28" s="71"/>
      <c r="C28" s="72"/>
      <c r="D28" s="72"/>
      <c r="E28" s="72"/>
      <c r="F28" s="72"/>
      <c r="G28" s="75">
        <v>-51381</v>
      </c>
      <c r="H28" s="75"/>
      <c r="I28" s="75"/>
      <c r="J28" s="75"/>
      <c r="K28" s="75"/>
      <c r="L28" s="75"/>
      <c r="M28" s="75"/>
      <c r="N28" s="61">
        <f>SUM(C28:M28)</f>
        <v>-51381</v>
      </c>
      <c r="P28" s="62"/>
    </row>
    <row r="29" spans="1:17">
      <c r="A29" s="81" t="s">
        <v>109</v>
      </c>
      <c r="B29" s="71"/>
      <c r="C29" s="72"/>
      <c r="D29" s="72"/>
      <c r="E29" s="72"/>
      <c r="F29" s="72"/>
      <c r="G29" s="75">
        <v>-275128</v>
      </c>
      <c r="H29" s="75"/>
      <c r="I29" s="75"/>
      <c r="J29" s="75"/>
      <c r="K29" s="75"/>
      <c r="L29" s="75"/>
      <c r="M29" s="75"/>
      <c r="N29" s="61">
        <f>SUM(C29:M29)</f>
        <v>-275128</v>
      </c>
    </row>
    <row r="30" spans="1:17">
      <c r="A30" s="81" t="s">
        <v>110</v>
      </c>
      <c r="B30" s="71"/>
      <c r="C30" s="72"/>
      <c r="D30" s="72"/>
      <c r="E30" s="72"/>
      <c r="F30" s="72"/>
      <c r="G30" s="75">
        <v>-1071000</v>
      </c>
      <c r="H30" s="75"/>
      <c r="I30" s="75"/>
      <c r="J30" s="75"/>
      <c r="K30" s="75"/>
      <c r="L30" s="75"/>
      <c r="M30" s="75"/>
      <c r="N30" s="61">
        <f>SUM(C30:M30)</f>
        <v>-1071000</v>
      </c>
    </row>
    <row r="31" spans="1:17">
      <c r="A31" s="83" t="s">
        <v>111</v>
      </c>
      <c r="B31" s="71"/>
      <c r="C31" s="72"/>
      <c r="D31" s="72"/>
      <c r="E31" s="72"/>
      <c r="F31" s="72"/>
      <c r="G31" s="75">
        <v>-522431</v>
      </c>
      <c r="H31" s="75"/>
      <c r="I31" s="75"/>
      <c r="J31" s="75"/>
      <c r="K31" s="75"/>
      <c r="L31" s="75"/>
      <c r="M31" s="75"/>
      <c r="N31" s="63">
        <f>SUM(C31:M31)</f>
        <v>-522431</v>
      </c>
    </row>
    <row r="32" spans="1:17">
      <c r="A32" s="70" t="s">
        <v>112</v>
      </c>
      <c r="B32" s="71"/>
      <c r="C32" s="79">
        <f>SUM(C28:C31)</f>
        <v>0</v>
      </c>
      <c r="D32" s="80">
        <f>SUM(D28:D31)</f>
        <v>0</v>
      </c>
      <c r="E32" s="80">
        <f>SUM(E28:E31)</f>
        <v>0</v>
      </c>
      <c r="F32" s="80">
        <f>SUM(F28:F31)</f>
        <v>0</v>
      </c>
      <c r="G32" s="80">
        <f>SUM(G28:G31)</f>
        <v>-1919940</v>
      </c>
      <c r="H32" s="80">
        <f t="shared" ref="H32:M32" si="2">SUM(H28:H31)</f>
        <v>0</v>
      </c>
      <c r="I32" s="80">
        <f t="shared" si="2"/>
        <v>0</v>
      </c>
      <c r="J32" s="80">
        <f t="shared" si="2"/>
        <v>0</v>
      </c>
      <c r="K32" s="80">
        <f t="shared" si="2"/>
        <v>0</v>
      </c>
      <c r="L32" s="80">
        <f t="shared" si="2"/>
        <v>0</v>
      </c>
      <c r="M32" s="80">
        <f t="shared" si="2"/>
        <v>0</v>
      </c>
      <c r="N32" s="69">
        <f>SUM(C32:M32)</f>
        <v>-1919940</v>
      </c>
      <c r="P32" s="62">
        <f>N32</f>
        <v>-1919940</v>
      </c>
      <c r="Q32" s="62"/>
    </row>
    <row r="33" spans="1:16">
      <c r="A33" s="81"/>
      <c r="B33" s="71"/>
      <c r="C33" s="72"/>
      <c r="D33" s="72"/>
      <c r="E33" s="72"/>
      <c r="F33" s="72"/>
      <c r="G33" s="75"/>
      <c r="H33" s="75"/>
      <c r="I33" s="75"/>
      <c r="J33" s="75"/>
      <c r="K33" s="75"/>
      <c r="L33" s="75"/>
      <c r="M33" s="75"/>
      <c r="N33" s="61"/>
      <c r="P33" s="62"/>
    </row>
    <row r="34" spans="1:16">
      <c r="A34" s="70" t="s">
        <v>113</v>
      </c>
      <c r="B34" s="71"/>
      <c r="C34" s="72"/>
      <c r="D34" s="72"/>
      <c r="E34" s="72"/>
      <c r="F34" s="72"/>
      <c r="G34" s="75"/>
      <c r="H34" s="75"/>
      <c r="I34" s="75"/>
      <c r="J34" s="75"/>
      <c r="K34" s="75"/>
      <c r="L34" s="75"/>
      <c r="M34" s="75"/>
      <c r="N34" s="61">
        <f t="shared" ref="N34:N41" si="3">SUM(C34:M34)</f>
        <v>0</v>
      </c>
    </row>
    <row r="35" spans="1:16">
      <c r="A35" s="81" t="s">
        <v>114</v>
      </c>
      <c r="B35" s="71"/>
      <c r="C35" s="72"/>
      <c r="D35" s="72"/>
      <c r="E35" s="72"/>
      <c r="F35" s="72"/>
      <c r="G35" s="75">
        <v>35720</v>
      </c>
      <c r="H35" s="75"/>
      <c r="I35" s="75"/>
      <c r="J35" s="75"/>
      <c r="K35" s="75"/>
      <c r="L35" s="75"/>
      <c r="M35" s="75"/>
      <c r="N35" s="61">
        <f t="shared" si="3"/>
        <v>35720</v>
      </c>
    </row>
    <row r="36" spans="1:16">
      <c r="A36" s="81" t="s">
        <v>115</v>
      </c>
      <c r="B36" s="71"/>
      <c r="C36" s="72"/>
      <c r="D36" s="72"/>
      <c r="E36" s="72"/>
      <c r="F36" s="72"/>
      <c r="G36" s="75">
        <v>352611</v>
      </c>
      <c r="H36" s="75"/>
      <c r="I36" s="75"/>
      <c r="J36" s="75"/>
      <c r="K36" s="75"/>
      <c r="L36" s="75"/>
      <c r="M36" s="75"/>
      <c r="N36" s="61">
        <f t="shared" si="3"/>
        <v>352611</v>
      </c>
    </row>
    <row r="37" spans="1:16">
      <c r="A37" s="70" t="s">
        <v>116</v>
      </c>
      <c r="B37" s="71"/>
      <c r="C37" s="79">
        <f>SUM(C35:C36)</f>
        <v>0</v>
      </c>
      <c r="D37" s="80">
        <f>SUM(D35:D36)</f>
        <v>0</v>
      </c>
      <c r="E37" s="80">
        <f>SUM(E35:E36)</f>
        <v>0</v>
      </c>
      <c r="F37" s="80">
        <f>SUM(F35:F36)</f>
        <v>0</v>
      </c>
      <c r="G37" s="80">
        <f>SUM(G35:G36)</f>
        <v>388331</v>
      </c>
      <c r="H37" s="80">
        <f t="shared" ref="H37:M37" si="4">SUM(H35:H36)</f>
        <v>0</v>
      </c>
      <c r="I37" s="80">
        <f t="shared" si="4"/>
        <v>0</v>
      </c>
      <c r="J37" s="80">
        <f t="shared" si="4"/>
        <v>0</v>
      </c>
      <c r="K37" s="80">
        <f t="shared" si="4"/>
        <v>0</v>
      </c>
      <c r="L37" s="80">
        <f t="shared" si="4"/>
        <v>0</v>
      </c>
      <c r="M37" s="80">
        <f t="shared" si="4"/>
        <v>0</v>
      </c>
      <c r="N37" s="69">
        <f t="shared" si="3"/>
        <v>388331</v>
      </c>
      <c r="P37" s="62">
        <f>N37</f>
        <v>388331</v>
      </c>
    </row>
    <row r="38" spans="1:16">
      <c r="A38" s="81"/>
      <c r="B38" s="71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61">
        <f t="shared" si="3"/>
        <v>0</v>
      </c>
    </row>
    <row r="39" spans="1:16">
      <c r="A39" s="70" t="s">
        <v>117</v>
      </c>
      <c r="B39" s="71"/>
      <c r="C39" s="84"/>
      <c r="D39" s="84"/>
      <c r="E39" s="84"/>
      <c r="F39" s="84"/>
      <c r="G39" s="73"/>
      <c r="H39" s="73"/>
      <c r="I39" s="73"/>
      <c r="J39" s="73"/>
      <c r="K39" s="73"/>
      <c r="L39" s="73"/>
      <c r="M39" s="73"/>
      <c r="N39" s="61">
        <f t="shared" si="3"/>
        <v>0</v>
      </c>
    </row>
    <row r="40" spans="1:16">
      <c r="A40" s="74" t="s">
        <v>118</v>
      </c>
      <c r="B40" s="71"/>
      <c r="C40" s="84"/>
      <c r="D40" s="84"/>
      <c r="E40" s="84"/>
      <c r="F40" s="84"/>
      <c r="G40" s="75">
        <v>-55680</v>
      </c>
      <c r="H40" s="75"/>
      <c r="I40" s="75"/>
      <c r="J40" s="75"/>
      <c r="K40" s="75"/>
      <c r="L40" s="75"/>
      <c r="M40" s="75"/>
      <c r="N40" s="61">
        <f t="shared" si="3"/>
        <v>-55680</v>
      </c>
    </row>
    <row r="41" spans="1:16">
      <c r="A41" s="81"/>
      <c r="B41" s="71"/>
      <c r="C41" s="84"/>
      <c r="D41" s="84"/>
      <c r="E41" s="84"/>
      <c r="F41" s="84"/>
      <c r="G41" s="85"/>
      <c r="H41" s="85"/>
      <c r="I41" s="85"/>
      <c r="J41" s="85"/>
      <c r="K41" s="85"/>
      <c r="L41" s="85"/>
      <c r="M41" s="85"/>
      <c r="N41" s="61">
        <f t="shared" si="3"/>
        <v>0</v>
      </c>
    </row>
    <row r="42" spans="1:16">
      <c r="A42" s="70" t="s">
        <v>119</v>
      </c>
      <c r="B42" s="71"/>
      <c r="C42" s="86">
        <f t="shared" ref="C42:M42" si="5">SUM(C40:C41)</f>
        <v>0</v>
      </c>
      <c r="D42" s="87">
        <f t="shared" si="5"/>
        <v>0</v>
      </c>
      <c r="E42" s="87">
        <f t="shared" si="5"/>
        <v>0</v>
      </c>
      <c r="F42" s="87">
        <f t="shared" si="5"/>
        <v>0</v>
      </c>
      <c r="G42" s="87">
        <f t="shared" si="5"/>
        <v>-55680</v>
      </c>
      <c r="H42" s="87">
        <f t="shared" si="5"/>
        <v>0</v>
      </c>
      <c r="I42" s="87">
        <f t="shared" si="5"/>
        <v>0</v>
      </c>
      <c r="J42" s="87">
        <f t="shared" si="5"/>
        <v>0</v>
      </c>
      <c r="K42" s="87">
        <f t="shared" si="5"/>
        <v>0</v>
      </c>
      <c r="L42" s="87">
        <f t="shared" si="5"/>
        <v>0</v>
      </c>
      <c r="M42" s="87">
        <f t="shared" si="5"/>
        <v>0</v>
      </c>
      <c r="N42" s="69">
        <f>SUM(C42:M42)</f>
        <v>-55680</v>
      </c>
      <c r="P42" s="62">
        <f>N42</f>
        <v>-55680</v>
      </c>
    </row>
    <row r="43" spans="1:16">
      <c r="A43" s="81"/>
      <c r="B43" s="71"/>
      <c r="C43" s="84"/>
      <c r="D43" s="84"/>
      <c r="E43" s="84"/>
      <c r="F43" s="84"/>
      <c r="G43" s="85"/>
      <c r="H43" s="85"/>
      <c r="I43" s="85"/>
      <c r="J43" s="85"/>
      <c r="K43" s="85"/>
      <c r="L43" s="85"/>
      <c r="M43" s="85"/>
      <c r="N43" s="61"/>
    </row>
    <row r="44" spans="1:16">
      <c r="A44" s="70" t="s">
        <v>120</v>
      </c>
      <c r="B44" s="71"/>
      <c r="C44" s="84"/>
      <c r="D44" s="84"/>
      <c r="E44" s="84"/>
      <c r="F44" s="84"/>
      <c r="G44" s="85"/>
      <c r="H44" s="85"/>
      <c r="I44" s="85"/>
      <c r="J44" s="85"/>
      <c r="K44" s="85"/>
      <c r="L44" s="85"/>
      <c r="M44" s="85"/>
      <c r="N44" s="61"/>
    </row>
    <row r="45" spans="1:16">
      <c r="A45" s="74" t="s">
        <v>121</v>
      </c>
      <c r="B45" s="71"/>
      <c r="C45" s="84"/>
      <c r="D45" s="84"/>
      <c r="E45" s="84"/>
      <c r="F45" s="84"/>
      <c r="G45" s="85">
        <v>-436600</v>
      </c>
      <c r="H45" s="85"/>
      <c r="I45" s="85"/>
      <c r="J45" s="85"/>
      <c r="K45" s="85"/>
      <c r="L45" s="85"/>
      <c r="M45" s="85"/>
      <c r="N45" s="61">
        <f>SUM(C45:M45)</f>
        <v>-436600</v>
      </c>
      <c r="P45" s="62"/>
    </row>
    <row r="46" spans="1:16">
      <c r="A46" s="74" t="s">
        <v>122</v>
      </c>
      <c r="B46" s="71"/>
      <c r="C46" s="84"/>
      <c r="D46" s="84"/>
      <c r="E46" s="84"/>
      <c r="F46" s="84"/>
      <c r="G46" s="85">
        <v>-206289</v>
      </c>
      <c r="H46" s="85"/>
      <c r="I46" s="85"/>
      <c r="J46" s="85"/>
      <c r="K46" s="85"/>
      <c r="L46" s="85"/>
      <c r="M46" s="85"/>
      <c r="N46" s="61">
        <f>SUM(C46:M46)</f>
        <v>-206289</v>
      </c>
    </row>
    <row r="47" spans="1:16">
      <c r="A47" s="70" t="s">
        <v>123</v>
      </c>
      <c r="B47" s="71"/>
      <c r="C47" s="86">
        <f>SUM(C45:C46)</f>
        <v>0</v>
      </c>
      <c r="D47" s="87">
        <f>SUM(D45:D46)</f>
        <v>0</v>
      </c>
      <c r="E47" s="87">
        <f>SUM(E45:E46)</f>
        <v>0</v>
      </c>
      <c r="F47" s="87">
        <f>SUM(F45:F46)</f>
        <v>0</v>
      </c>
      <c r="G47" s="87">
        <f>SUM(G45:G46)</f>
        <v>-642889</v>
      </c>
      <c r="H47" s="87">
        <f t="shared" ref="H47:M47" si="6">SUM(H45:H46)</f>
        <v>0</v>
      </c>
      <c r="I47" s="87">
        <f t="shared" si="6"/>
        <v>0</v>
      </c>
      <c r="J47" s="87">
        <f t="shared" si="6"/>
        <v>0</v>
      </c>
      <c r="K47" s="87">
        <f t="shared" si="6"/>
        <v>0</v>
      </c>
      <c r="L47" s="87">
        <f t="shared" si="6"/>
        <v>0</v>
      </c>
      <c r="M47" s="87">
        <f t="shared" si="6"/>
        <v>0</v>
      </c>
      <c r="N47" s="69">
        <f>SUM(C47:M47)</f>
        <v>-642889</v>
      </c>
      <c r="P47" s="80">
        <f>N47</f>
        <v>-642889</v>
      </c>
    </row>
    <row r="48" spans="1:16">
      <c r="A48" s="81"/>
      <c r="B48" s="7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6" ht="13.5" thickBot="1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6" ht="13.5" thickTop="1"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6">
      <c r="A51" s="66" t="s">
        <v>124</v>
      </c>
      <c r="C51" s="89">
        <f t="shared" ref="C51:M51" si="7">C15+C25+C32+C37+C42+C47</f>
        <v>15781</v>
      </c>
      <c r="D51" s="90">
        <f t="shared" si="7"/>
        <v>47999</v>
      </c>
      <c r="E51" s="90">
        <f t="shared" si="7"/>
        <v>-2755991</v>
      </c>
      <c r="F51" s="90">
        <f t="shared" si="7"/>
        <v>1055339</v>
      </c>
      <c r="G51" s="90">
        <f t="shared" si="7"/>
        <v>-1683551</v>
      </c>
      <c r="H51" s="90">
        <f t="shared" si="7"/>
        <v>-1581488</v>
      </c>
      <c r="I51" s="90">
        <f t="shared" si="7"/>
        <v>427959</v>
      </c>
      <c r="J51" s="90">
        <f t="shared" si="7"/>
        <v>40590</v>
      </c>
      <c r="K51" s="90">
        <f t="shared" si="7"/>
        <v>-8920</v>
      </c>
      <c r="L51" s="90">
        <f t="shared" si="7"/>
        <v>0</v>
      </c>
      <c r="M51" s="90">
        <f t="shared" si="7"/>
        <v>0</v>
      </c>
      <c r="N51" s="91">
        <f>SUM(C51:M51)</f>
        <v>-4442282</v>
      </c>
      <c r="P51" s="90">
        <f>P15+P25+P32+P37+P42+P47</f>
        <v>-4442282</v>
      </c>
    </row>
    <row r="53" spans="1:16">
      <c r="N53" s="61"/>
    </row>
    <row r="54" spans="1:16">
      <c r="A54" s="92" t="s">
        <v>125</v>
      </c>
      <c r="N54" s="61"/>
    </row>
    <row r="55" spans="1:16">
      <c r="A55" s="50" t="s">
        <v>126</v>
      </c>
      <c r="N55" s="61">
        <f t="shared" ref="N55:N65" si="8">SUM(C55:M55)</f>
        <v>0</v>
      </c>
    </row>
    <row r="56" spans="1:16">
      <c r="A56" s="50" t="s">
        <v>0</v>
      </c>
      <c r="D56" s="62">
        <f>D51</f>
        <v>47999</v>
      </c>
      <c r="N56" s="61">
        <f t="shared" si="8"/>
        <v>47999</v>
      </c>
    </row>
    <row r="57" spans="1:16">
      <c r="A57" s="50" t="s">
        <v>1</v>
      </c>
      <c r="E57" s="62">
        <f>E51</f>
        <v>-2755991</v>
      </c>
      <c r="N57" s="61">
        <f t="shared" si="8"/>
        <v>-2755991</v>
      </c>
    </row>
    <row r="58" spans="1:16">
      <c r="A58" s="50" t="s">
        <v>2</v>
      </c>
      <c r="F58" s="62">
        <f>F51</f>
        <v>1055339</v>
      </c>
      <c r="N58" s="61">
        <f t="shared" si="8"/>
        <v>1055339</v>
      </c>
    </row>
    <row r="59" spans="1:16">
      <c r="A59" s="50" t="s">
        <v>3</v>
      </c>
      <c r="G59" s="62">
        <f>G51</f>
        <v>-1683551</v>
      </c>
      <c r="N59" s="61">
        <f t="shared" si="8"/>
        <v>-1683551</v>
      </c>
    </row>
    <row r="60" spans="1:16">
      <c r="A60" s="50" t="s">
        <v>127</v>
      </c>
      <c r="G60" s="62">
        <f>H51</f>
        <v>-1581488</v>
      </c>
      <c r="N60" s="61">
        <f t="shared" si="8"/>
        <v>-1581488</v>
      </c>
    </row>
    <row r="61" spans="1:16">
      <c r="A61" s="50" t="s">
        <v>128</v>
      </c>
      <c r="N61" s="61">
        <f t="shared" si="8"/>
        <v>0</v>
      </c>
    </row>
    <row r="62" spans="1:16">
      <c r="A62" s="50" t="s">
        <v>129</v>
      </c>
      <c r="G62" s="62">
        <f>J51</f>
        <v>40590</v>
      </c>
      <c r="N62" s="61">
        <f t="shared" si="8"/>
        <v>40590</v>
      </c>
    </row>
    <row r="63" spans="1:16">
      <c r="A63" s="50" t="s">
        <v>4</v>
      </c>
      <c r="K63" s="62">
        <f>K51</f>
        <v>-8920</v>
      </c>
      <c r="N63" s="61">
        <f t="shared" si="8"/>
        <v>-8920</v>
      </c>
    </row>
    <row r="64" spans="1:16">
      <c r="A64" s="50" t="s">
        <v>130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3">
        <f t="shared" si="8"/>
        <v>0</v>
      </c>
    </row>
    <row r="65" spans="1:14">
      <c r="A65" s="50" t="s">
        <v>131</v>
      </c>
      <c r="C65" s="93">
        <f>SUM(C55:C64)</f>
        <v>0</v>
      </c>
      <c r="D65" s="93">
        <f t="shared" ref="D65:K65" si="9">SUM(D55:D64)</f>
        <v>47999</v>
      </c>
      <c r="E65" s="93">
        <f t="shared" si="9"/>
        <v>-2755991</v>
      </c>
      <c r="F65" s="93">
        <f t="shared" si="9"/>
        <v>1055339</v>
      </c>
      <c r="G65" s="93">
        <f t="shared" si="9"/>
        <v>-3224449</v>
      </c>
      <c r="H65" s="93">
        <f t="shared" si="9"/>
        <v>0</v>
      </c>
      <c r="I65" s="93">
        <f t="shared" si="9"/>
        <v>0</v>
      </c>
      <c r="J65" s="93">
        <f t="shared" si="9"/>
        <v>0</v>
      </c>
      <c r="K65" s="93">
        <f t="shared" si="9"/>
        <v>-8920</v>
      </c>
      <c r="L65" s="93">
        <f>SUM(L55:L64)</f>
        <v>0</v>
      </c>
      <c r="M65" s="93">
        <f>SUM(M55:M64)</f>
        <v>0</v>
      </c>
      <c r="N65" s="94">
        <f t="shared" si="8"/>
        <v>-4886022</v>
      </c>
    </row>
    <row r="67" spans="1:14">
      <c r="A67" s="92" t="s">
        <v>132</v>
      </c>
      <c r="N67" s="61"/>
    </row>
    <row r="68" spans="1:14">
      <c r="A68" s="50" t="s">
        <v>126</v>
      </c>
      <c r="C68" s="62">
        <f>C51</f>
        <v>15781</v>
      </c>
      <c r="N68" s="61">
        <f t="shared" ref="N68:N78" si="10">SUM(C68:M68)</f>
        <v>15781</v>
      </c>
    </row>
    <row r="69" spans="1:14">
      <c r="A69" s="50" t="s">
        <v>0</v>
      </c>
      <c r="D69" s="62"/>
      <c r="N69" s="61">
        <f t="shared" si="10"/>
        <v>0</v>
      </c>
    </row>
    <row r="70" spans="1:14">
      <c r="A70" s="50" t="s">
        <v>1</v>
      </c>
      <c r="E70" s="62"/>
      <c r="N70" s="61">
        <f t="shared" si="10"/>
        <v>0</v>
      </c>
    </row>
    <row r="71" spans="1:14">
      <c r="A71" s="50" t="s">
        <v>2</v>
      </c>
      <c r="F71" s="62"/>
      <c r="N71" s="61">
        <f t="shared" si="10"/>
        <v>0</v>
      </c>
    </row>
    <row r="72" spans="1:14">
      <c r="A72" s="50" t="s">
        <v>3</v>
      </c>
      <c r="G72" s="62"/>
      <c r="N72" s="61">
        <f t="shared" si="10"/>
        <v>0</v>
      </c>
    </row>
    <row r="73" spans="1:14">
      <c r="A73" s="50" t="s">
        <v>127</v>
      </c>
      <c r="G73" s="62"/>
      <c r="N73" s="61">
        <f t="shared" si="10"/>
        <v>0</v>
      </c>
    </row>
    <row r="74" spans="1:14">
      <c r="A74" s="50" t="s">
        <v>128</v>
      </c>
      <c r="I74" s="62">
        <f>I51</f>
        <v>427959</v>
      </c>
      <c r="N74" s="61">
        <f t="shared" si="10"/>
        <v>427959</v>
      </c>
    </row>
    <row r="75" spans="1:14">
      <c r="A75" s="50" t="s">
        <v>129</v>
      </c>
      <c r="G75" s="62"/>
      <c r="N75" s="61">
        <f t="shared" si="10"/>
        <v>0</v>
      </c>
    </row>
    <row r="76" spans="1:14">
      <c r="A76" s="50" t="s">
        <v>4</v>
      </c>
      <c r="K76" s="62">
        <f>K64</f>
        <v>0</v>
      </c>
      <c r="N76" s="61">
        <f t="shared" si="10"/>
        <v>0</v>
      </c>
    </row>
    <row r="77" spans="1:14">
      <c r="A77" s="50" t="s">
        <v>130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3">
        <f t="shared" si="10"/>
        <v>0</v>
      </c>
    </row>
    <row r="78" spans="1:14">
      <c r="A78" s="50" t="s">
        <v>131</v>
      </c>
      <c r="C78" s="93">
        <f t="shared" ref="C78:M78" si="11">SUM(C68:C77)</f>
        <v>15781</v>
      </c>
      <c r="D78" s="93">
        <f t="shared" si="11"/>
        <v>0</v>
      </c>
      <c r="E78" s="93">
        <f t="shared" si="11"/>
        <v>0</v>
      </c>
      <c r="F78" s="93">
        <f t="shared" si="11"/>
        <v>0</v>
      </c>
      <c r="G78" s="93">
        <f t="shared" si="11"/>
        <v>0</v>
      </c>
      <c r="H78" s="93">
        <f t="shared" si="11"/>
        <v>0</v>
      </c>
      <c r="I78" s="93">
        <f t="shared" si="11"/>
        <v>427959</v>
      </c>
      <c r="J78" s="93">
        <f t="shared" si="11"/>
        <v>0</v>
      </c>
      <c r="K78" s="93">
        <f t="shared" si="11"/>
        <v>0</v>
      </c>
      <c r="L78" s="93">
        <f t="shared" si="11"/>
        <v>0</v>
      </c>
      <c r="M78" s="93">
        <f t="shared" si="11"/>
        <v>0</v>
      </c>
      <c r="N78" s="94">
        <f t="shared" si="10"/>
        <v>443740</v>
      </c>
    </row>
    <row r="80" spans="1:14">
      <c r="A80" s="50" t="s">
        <v>131</v>
      </c>
      <c r="C80" s="62">
        <f>C78+C65</f>
        <v>15781</v>
      </c>
      <c r="D80" s="62">
        <f t="shared" ref="D80:N80" si="12">D78+D65</f>
        <v>47999</v>
      </c>
      <c r="E80" s="62">
        <f t="shared" si="12"/>
        <v>-2755991</v>
      </c>
      <c r="F80" s="62">
        <f t="shared" si="12"/>
        <v>1055339</v>
      </c>
      <c r="G80" s="62">
        <f t="shared" si="12"/>
        <v>-3224449</v>
      </c>
      <c r="H80" s="62">
        <f t="shared" si="12"/>
        <v>0</v>
      </c>
      <c r="I80" s="62">
        <f t="shared" si="12"/>
        <v>427959</v>
      </c>
      <c r="J80" s="62">
        <f t="shared" si="12"/>
        <v>0</v>
      </c>
      <c r="K80" s="62">
        <f t="shared" si="12"/>
        <v>-8920</v>
      </c>
      <c r="L80" s="62">
        <f t="shared" si="12"/>
        <v>0</v>
      </c>
      <c r="M80" s="62">
        <f t="shared" si="12"/>
        <v>0</v>
      </c>
      <c r="N80" s="62">
        <f t="shared" si="12"/>
        <v>-4442282</v>
      </c>
    </row>
  </sheetData>
  <mergeCells count="1">
    <mergeCell ref="C9:L9"/>
  </mergeCells>
  <pageMargins left="0.75" right="0.75" top="0.5" bottom="0.25" header="0.5" footer="0.15"/>
  <pageSetup scale="56" orientation="landscape" r:id="rId1"/>
  <headerFooter alignWithMargins="0">
    <oddFooter>&amp;L&amp;8&amp;F  (&amp;A)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2"/>
  <sheetViews>
    <sheetView zoomScale="65" workbookViewId="0">
      <selection activeCell="L52" sqref="L52"/>
    </sheetView>
  </sheetViews>
  <sheetFormatPr defaultColWidth="13.85546875" defaultRowHeight="15.75"/>
  <cols>
    <col min="1" max="1" width="11.85546875" style="98" customWidth="1"/>
    <col min="2" max="2" width="9.7109375" style="98" customWidth="1"/>
    <col min="3" max="3" width="15.42578125" style="98" customWidth="1"/>
    <col min="4" max="4" width="17" style="98" customWidth="1"/>
    <col min="5" max="5" width="13.7109375" style="98" bestFit="1" customWidth="1"/>
    <col min="6" max="7" width="14" style="98" bestFit="1" customWidth="1"/>
    <col min="8" max="8" width="19.28515625" style="98" customWidth="1"/>
    <col min="9" max="16384" width="13.85546875" style="98"/>
  </cols>
  <sheetData>
    <row r="1" spans="1:11">
      <c r="A1" s="98" t="s">
        <v>145</v>
      </c>
      <c r="H1" s="99"/>
      <c r="I1" s="99"/>
      <c r="J1" s="99"/>
      <c r="K1" s="99"/>
    </row>
    <row r="2" spans="1:11">
      <c r="H2" s="99"/>
      <c r="I2" s="100"/>
      <c r="J2" s="99"/>
      <c r="K2" s="99"/>
    </row>
    <row r="3" spans="1:11">
      <c r="A3" s="98" t="s">
        <v>146</v>
      </c>
      <c r="H3" s="99"/>
      <c r="I3" s="101"/>
      <c r="J3" s="99"/>
      <c r="K3" s="99"/>
    </row>
    <row r="4" spans="1:11">
      <c r="A4" s="98" t="s">
        <v>147</v>
      </c>
      <c r="H4" s="99"/>
      <c r="I4" s="100"/>
      <c r="J4" s="102"/>
      <c r="K4" s="99"/>
    </row>
    <row r="5" spans="1:11" ht="16.5" thickBot="1">
      <c r="A5" s="103"/>
      <c r="B5" s="103"/>
      <c r="C5" s="103"/>
      <c r="D5" s="103"/>
      <c r="E5" s="103"/>
      <c r="F5" s="103"/>
      <c r="G5" s="103"/>
      <c r="H5" s="99"/>
      <c r="I5" s="100"/>
      <c r="J5" s="99"/>
      <c r="K5" s="99"/>
    </row>
    <row r="6" spans="1:11" ht="16.5" thickTop="1">
      <c r="H6" s="99"/>
      <c r="I6" s="99"/>
      <c r="J6" s="99"/>
      <c r="K6" s="99"/>
    </row>
    <row r="7" spans="1:11">
      <c r="A7" s="98" t="s">
        <v>148</v>
      </c>
      <c r="D7" s="98">
        <f>'6. Financing Assumptions'!B15</f>
        <v>30</v>
      </c>
      <c r="H7" s="99"/>
      <c r="I7" s="99"/>
      <c r="J7" s="99"/>
      <c r="K7" s="99"/>
    </row>
    <row r="8" spans="1:11">
      <c r="A8" s="98" t="s">
        <v>149</v>
      </c>
      <c r="D8" s="98">
        <v>1</v>
      </c>
      <c r="H8" s="99"/>
      <c r="I8" s="104"/>
      <c r="J8" s="99"/>
      <c r="K8" s="99"/>
    </row>
    <row r="9" spans="1:11">
      <c r="A9" s="98" t="s">
        <v>150</v>
      </c>
      <c r="D9" s="105">
        <f>BOND_AMOUNT</f>
        <v>4766282.7501152651</v>
      </c>
      <c r="E9" s="98" t="s">
        <v>224</v>
      </c>
      <c r="G9" s="105">
        <f>E53</f>
        <v>1618141.8825157406</v>
      </c>
      <c r="H9" s="99"/>
      <c r="I9" s="106"/>
      <c r="J9" s="99"/>
      <c r="K9" s="99"/>
    </row>
    <row r="10" spans="1:11">
      <c r="A10" s="98" t="s">
        <v>151</v>
      </c>
      <c r="D10" s="107">
        <f>'6. Financing Assumptions'!B14</f>
        <v>0.02</v>
      </c>
      <c r="H10" s="99"/>
      <c r="I10" s="108"/>
      <c r="J10" s="99"/>
      <c r="K10" s="99"/>
    </row>
    <row r="11" spans="1:11">
      <c r="A11" s="98" t="s">
        <v>152</v>
      </c>
      <c r="D11" s="109">
        <v>0</v>
      </c>
      <c r="H11" s="99"/>
      <c r="I11" s="108"/>
      <c r="J11" s="99"/>
      <c r="K11" s="99"/>
    </row>
    <row r="12" spans="1:11">
      <c r="A12" s="98" t="s">
        <v>153</v>
      </c>
      <c r="D12" s="110">
        <f>PMT(D14,D15,-D9,,D11)</f>
        <v>212814.15442103354</v>
      </c>
      <c r="G12" s="111"/>
      <c r="H12" s="99"/>
      <c r="I12" s="108"/>
      <c r="J12" s="99"/>
      <c r="K12" s="99"/>
    </row>
    <row r="13" spans="1:11">
      <c r="A13" s="98" t="s">
        <v>154</v>
      </c>
      <c r="D13" s="111">
        <f>D12*D8</f>
        <v>212814.15442103354</v>
      </c>
      <c r="G13" s="111"/>
      <c r="H13" s="99"/>
      <c r="I13" s="108"/>
      <c r="J13" s="99"/>
      <c r="K13" s="99"/>
    </row>
    <row r="14" spans="1:11">
      <c r="A14" s="98" t="s">
        <v>155</v>
      </c>
      <c r="D14" s="112">
        <f>D10/D8</f>
        <v>0.02</v>
      </c>
      <c r="G14" s="111"/>
      <c r="H14" s="99"/>
      <c r="I14" s="108"/>
      <c r="J14" s="99"/>
      <c r="K14" s="99"/>
    </row>
    <row r="15" spans="1:11">
      <c r="A15" s="98" t="s">
        <v>156</v>
      </c>
      <c r="D15" s="98">
        <f>D7*D8</f>
        <v>30</v>
      </c>
      <c r="G15" s="111"/>
      <c r="H15" s="99"/>
      <c r="I15" s="108"/>
      <c r="J15" s="102"/>
      <c r="K15" s="99"/>
    </row>
    <row r="16" spans="1:11">
      <c r="H16" s="99"/>
      <c r="I16" s="108"/>
      <c r="J16" s="99"/>
      <c r="K16" s="99"/>
    </row>
    <row r="17" spans="1:34">
      <c r="A17" s="113" t="s">
        <v>157</v>
      </c>
      <c r="B17" s="114"/>
      <c r="D17" s="115">
        <f>NPV(D14,D23:D52)</f>
        <v>4766282.7501152642</v>
      </c>
      <c r="H17" s="99"/>
      <c r="I17" s="108"/>
      <c r="J17" s="99"/>
      <c r="K17" s="99"/>
    </row>
    <row r="18" spans="1:34">
      <c r="B18" s="114"/>
      <c r="H18" s="116"/>
      <c r="I18" s="117"/>
      <c r="J18" s="116"/>
      <c r="K18" s="116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</row>
    <row r="19" spans="1:34">
      <c r="A19" s="98" t="s">
        <v>158</v>
      </c>
      <c r="B19" s="114"/>
      <c r="C19" s="114" t="s">
        <v>159</v>
      </c>
      <c r="D19" s="114" t="s">
        <v>160</v>
      </c>
      <c r="E19" s="114"/>
      <c r="F19" s="114" t="s">
        <v>161</v>
      </c>
      <c r="G19" s="114" t="s">
        <v>162</v>
      </c>
      <c r="H19" s="116"/>
      <c r="I19" s="116"/>
      <c r="J19" s="116"/>
      <c r="K19" s="116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</row>
    <row r="20" spans="1:34">
      <c r="A20" s="119" t="s">
        <v>163</v>
      </c>
      <c r="B20" s="120" t="s">
        <v>164</v>
      </c>
      <c r="C20" s="120" t="s">
        <v>165</v>
      </c>
      <c r="D20" s="120" t="s">
        <v>166</v>
      </c>
      <c r="E20" s="120" t="s">
        <v>167</v>
      </c>
      <c r="F20" s="120" t="s">
        <v>168</v>
      </c>
      <c r="G20" s="120" t="s">
        <v>161</v>
      </c>
      <c r="H20" s="121"/>
      <c r="I20" s="121"/>
      <c r="J20" s="121"/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spans="1:34">
      <c r="H21" s="99"/>
      <c r="I21" s="99"/>
      <c r="J21" s="99"/>
      <c r="K21" s="99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</row>
    <row r="22" spans="1:34">
      <c r="E22" s="124"/>
      <c r="H22" s="99"/>
      <c r="I22" s="99"/>
      <c r="J22" s="99"/>
      <c r="K22" s="99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</row>
    <row r="23" spans="1:34">
      <c r="A23" s="125">
        <v>1</v>
      </c>
      <c r="B23" s="98">
        <v>1997</v>
      </c>
      <c r="C23" s="126">
        <f>D9</f>
        <v>4766282.7501152651</v>
      </c>
      <c r="D23" s="127">
        <f t="shared" ref="D23:D52" si="0">IF(ROUND(C23,0)=0,0,+$D$12)</f>
        <v>212814.15442103354</v>
      </c>
      <c r="E23" s="127">
        <f t="shared" ref="E23:E52" si="1">+C23*$D$14</f>
        <v>95325.655002305299</v>
      </c>
      <c r="F23" s="128">
        <f t="shared" ref="F23:F52" si="2">+D23-E23</f>
        <v>117488.49941872824</v>
      </c>
      <c r="G23" s="127">
        <f t="shared" ref="G23:G52" si="3">+C23-F23</f>
        <v>4648794.2506965371</v>
      </c>
      <c r="H23" s="100"/>
      <c r="I23" s="100"/>
      <c r="J23" s="100"/>
      <c r="K23" s="100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</row>
    <row r="24" spans="1:34">
      <c r="A24" s="125">
        <f t="shared" ref="A24:B39" si="4">A23+1</f>
        <v>2</v>
      </c>
      <c r="B24" s="98">
        <f t="shared" si="4"/>
        <v>1998</v>
      </c>
      <c r="C24" s="127">
        <f t="shared" ref="C24:C52" si="5">IF(ROUND(+G23,0)=0,0,+G23)</f>
        <v>4648794.2506965371</v>
      </c>
      <c r="D24" s="127">
        <f t="shared" si="0"/>
        <v>212814.15442103354</v>
      </c>
      <c r="E24" s="127">
        <f t="shared" si="1"/>
        <v>92975.885013930747</v>
      </c>
      <c r="F24" s="128">
        <f t="shared" si="2"/>
        <v>119838.26940710279</v>
      </c>
      <c r="G24" s="127">
        <f t="shared" si="3"/>
        <v>4528955.9812894342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</row>
    <row r="25" spans="1:34">
      <c r="A25" s="125">
        <f t="shared" si="4"/>
        <v>3</v>
      </c>
      <c r="B25" s="98">
        <f t="shared" si="4"/>
        <v>1999</v>
      </c>
      <c r="C25" s="127">
        <f t="shared" si="5"/>
        <v>4528955.9812894342</v>
      </c>
      <c r="D25" s="127">
        <f t="shared" si="0"/>
        <v>212814.15442103354</v>
      </c>
      <c r="E25" s="127">
        <f t="shared" si="1"/>
        <v>90579.119625788691</v>
      </c>
      <c r="F25" s="128">
        <f t="shared" si="2"/>
        <v>122235.03479524485</v>
      </c>
      <c r="G25" s="127">
        <f t="shared" si="3"/>
        <v>4406720.9464941891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</row>
    <row r="26" spans="1:34">
      <c r="A26" s="125">
        <f t="shared" si="4"/>
        <v>4</v>
      </c>
      <c r="B26" s="98">
        <f t="shared" si="4"/>
        <v>2000</v>
      </c>
      <c r="C26" s="127">
        <f t="shared" si="5"/>
        <v>4406720.9464941891</v>
      </c>
      <c r="D26" s="127">
        <f t="shared" si="0"/>
        <v>212814.15442103354</v>
      </c>
      <c r="E26" s="127">
        <f t="shared" si="1"/>
        <v>88134.418929883788</v>
      </c>
      <c r="F26" s="128">
        <f t="shared" si="2"/>
        <v>124679.73549114975</v>
      </c>
      <c r="G26" s="127">
        <f t="shared" si="3"/>
        <v>4282041.211003039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4">
      <c r="A27" s="125">
        <f t="shared" si="4"/>
        <v>5</v>
      </c>
      <c r="B27" s="98">
        <f t="shared" si="4"/>
        <v>2001</v>
      </c>
      <c r="C27" s="127">
        <f t="shared" si="5"/>
        <v>4282041.211003039</v>
      </c>
      <c r="D27" s="127">
        <f t="shared" si="0"/>
        <v>212814.15442103354</v>
      </c>
      <c r="E27" s="127">
        <f t="shared" si="1"/>
        <v>85640.824220060778</v>
      </c>
      <c r="F27" s="128">
        <f t="shared" si="2"/>
        <v>127173.33020097276</v>
      </c>
      <c r="G27" s="127">
        <f t="shared" si="3"/>
        <v>4154867.8808020661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</row>
    <row r="28" spans="1:34">
      <c r="A28" s="125">
        <f t="shared" si="4"/>
        <v>6</v>
      </c>
      <c r="B28" s="98">
        <f t="shared" si="4"/>
        <v>2002</v>
      </c>
      <c r="C28" s="127">
        <f t="shared" si="5"/>
        <v>4154867.8808020661</v>
      </c>
      <c r="D28" s="127">
        <f t="shared" si="0"/>
        <v>212814.15442103354</v>
      </c>
      <c r="E28" s="127">
        <f t="shared" si="1"/>
        <v>83097.357616041321</v>
      </c>
      <c r="F28" s="128">
        <f t="shared" si="2"/>
        <v>129716.79680499222</v>
      </c>
      <c r="G28" s="127">
        <f t="shared" si="3"/>
        <v>4025151.083997074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</row>
    <row r="29" spans="1:34">
      <c r="A29" s="125">
        <f t="shared" si="4"/>
        <v>7</v>
      </c>
      <c r="B29" s="98">
        <f t="shared" si="4"/>
        <v>2003</v>
      </c>
      <c r="C29" s="127">
        <f t="shared" si="5"/>
        <v>4025151.083997074</v>
      </c>
      <c r="D29" s="127">
        <f t="shared" si="0"/>
        <v>212814.15442103354</v>
      </c>
      <c r="E29" s="127">
        <f t="shared" si="1"/>
        <v>80503.021679941477</v>
      </c>
      <c r="F29" s="128">
        <f t="shared" si="2"/>
        <v>132311.13274109206</v>
      </c>
      <c r="G29" s="127">
        <f t="shared" si="3"/>
        <v>3892839.9512559818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</row>
    <row r="30" spans="1:34">
      <c r="A30" s="125">
        <f t="shared" si="4"/>
        <v>8</v>
      </c>
      <c r="B30" s="98">
        <f t="shared" si="4"/>
        <v>2004</v>
      </c>
      <c r="C30" s="127">
        <f t="shared" si="5"/>
        <v>3892839.9512559818</v>
      </c>
      <c r="D30" s="127">
        <f t="shared" si="0"/>
        <v>212814.15442103354</v>
      </c>
      <c r="E30" s="127">
        <f t="shared" si="1"/>
        <v>77856.799025119632</v>
      </c>
      <c r="F30" s="128">
        <f t="shared" si="2"/>
        <v>134957.35539591391</v>
      </c>
      <c r="G30" s="127">
        <f t="shared" si="3"/>
        <v>3757882.5958600678</v>
      </c>
      <c r="H30" s="127"/>
      <c r="I30" s="127"/>
      <c r="J30" s="127"/>
      <c r="K30" s="127"/>
    </row>
    <row r="31" spans="1:34">
      <c r="A31" s="125">
        <f t="shared" si="4"/>
        <v>9</v>
      </c>
      <c r="B31" s="98">
        <f t="shared" si="4"/>
        <v>2005</v>
      </c>
      <c r="C31" s="127">
        <f t="shared" si="5"/>
        <v>3757882.5958600678</v>
      </c>
      <c r="D31" s="127">
        <f t="shared" si="0"/>
        <v>212814.15442103354</v>
      </c>
      <c r="E31" s="127">
        <f t="shared" si="1"/>
        <v>75157.65191720135</v>
      </c>
      <c r="F31" s="128">
        <f t="shared" si="2"/>
        <v>137656.50250383219</v>
      </c>
      <c r="G31" s="127">
        <f t="shared" si="3"/>
        <v>3620226.0933562354</v>
      </c>
      <c r="K31" s="127"/>
    </row>
    <row r="32" spans="1:34">
      <c r="A32" s="125">
        <f t="shared" si="4"/>
        <v>10</v>
      </c>
      <c r="B32" s="98">
        <f t="shared" si="4"/>
        <v>2006</v>
      </c>
      <c r="C32" s="127">
        <f t="shared" si="5"/>
        <v>3620226.0933562354</v>
      </c>
      <c r="D32" s="127">
        <f t="shared" si="0"/>
        <v>212814.15442103354</v>
      </c>
      <c r="E32" s="127">
        <f t="shared" si="1"/>
        <v>72404.521867124713</v>
      </c>
      <c r="F32" s="128">
        <f t="shared" si="2"/>
        <v>140409.63255390883</v>
      </c>
      <c r="G32" s="127">
        <f t="shared" si="3"/>
        <v>3479816.4608023264</v>
      </c>
      <c r="K32" s="127"/>
    </row>
    <row r="33" spans="1:11">
      <c r="A33" s="125">
        <f t="shared" si="4"/>
        <v>11</v>
      </c>
      <c r="B33" s="98">
        <f t="shared" si="4"/>
        <v>2007</v>
      </c>
      <c r="C33" s="127">
        <f t="shared" si="5"/>
        <v>3479816.4608023264</v>
      </c>
      <c r="D33" s="127">
        <f t="shared" si="0"/>
        <v>212814.15442103354</v>
      </c>
      <c r="E33" s="127">
        <f t="shared" si="1"/>
        <v>69596.329216046535</v>
      </c>
      <c r="F33" s="128">
        <f t="shared" si="2"/>
        <v>143217.82520498702</v>
      </c>
      <c r="G33" s="127">
        <f t="shared" si="3"/>
        <v>3336598.6355973394</v>
      </c>
      <c r="K33" s="127"/>
    </row>
    <row r="34" spans="1:11">
      <c r="A34" s="125">
        <f t="shared" si="4"/>
        <v>12</v>
      </c>
      <c r="B34" s="98">
        <f t="shared" si="4"/>
        <v>2008</v>
      </c>
      <c r="C34" s="127">
        <f t="shared" si="5"/>
        <v>3336598.6355973394</v>
      </c>
      <c r="D34" s="127">
        <f t="shared" si="0"/>
        <v>212814.15442103354</v>
      </c>
      <c r="E34" s="127">
        <f t="shared" si="1"/>
        <v>66731.972711946786</v>
      </c>
      <c r="F34" s="128">
        <f t="shared" si="2"/>
        <v>146082.18170908676</v>
      </c>
      <c r="G34" s="127">
        <f t="shared" si="3"/>
        <v>3190516.4538882524</v>
      </c>
      <c r="K34" s="127"/>
    </row>
    <row r="35" spans="1:11">
      <c r="A35" s="125">
        <f t="shared" si="4"/>
        <v>13</v>
      </c>
      <c r="B35" s="98">
        <f t="shared" si="4"/>
        <v>2009</v>
      </c>
      <c r="C35" s="127">
        <f t="shared" si="5"/>
        <v>3190516.4538882524</v>
      </c>
      <c r="D35" s="127">
        <f t="shared" si="0"/>
        <v>212814.15442103354</v>
      </c>
      <c r="E35" s="127">
        <f t="shared" si="1"/>
        <v>63810.329077765047</v>
      </c>
      <c r="F35" s="128">
        <f t="shared" si="2"/>
        <v>149003.82534326849</v>
      </c>
      <c r="G35" s="127">
        <f t="shared" si="3"/>
        <v>3041512.6285449839</v>
      </c>
      <c r="K35" s="127"/>
    </row>
    <row r="36" spans="1:11">
      <c r="A36" s="125">
        <f t="shared" si="4"/>
        <v>14</v>
      </c>
      <c r="B36" s="98">
        <f t="shared" si="4"/>
        <v>2010</v>
      </c>
      <c r="C36" s="127">
        <f t="shared" si="5"/>
        <v>3041512.6285449839</v>
      </c>
      <c r="D36" s="127">
        <f t="shared" si="0"/>
        <v>212814.15442103354</v>
      </c>
      <c r="E36" s="127">
        <f t="shared" si="1"/>
        <v>60830.252570899676</v>
      </c>
      <c r="F36" s="128">
        <f t="shared" si="2"/>
        <v>151983.90185013387</v>
      </c>
      <c r="G36" s="127">
        <f t="shared" si="3"/>
        <v>2889528.7266948503</v>
      </c>
      <c r="K36" s="127"/>
    </row>
    <row r="37" spans="1:11">
      <c r="A37" s="125">
        <f t="shared" si="4"/>
        <v>15</v>
      </c>
      <c r="B37" s="98">
        <f t="shared" si="4"/>
        <v>2011</v>
      </c>
      <c r="C37" s="127">
        <f t="shared" si="5"/>
        <v>2889528.7266948503</v>
      </c>
      <c r="D37" s="127">
        <f t="shared" si="0"/>
        <v>212814.15442103354</v>
      </c>
      <c r="E37" s="127">
        <f t="shared" si="1"/>
        <v>57790.574533897008</v>
      </c>
      <c r="F37" s="128">
        <f t="shared" si="2"/>
        <v>155023.57988713653</v>
      </c>
      <c r="G37" s="127">
        <f t="shared" si="3"/>
        <v>2734505.1468077139</v>
      </c>
      <c r="K37" s="127"/>
    </row>
    <row r="38" spans="1:11">
      <c r="A38" s="125">
        <f t="shared" si="4"/>
        <v>16</v>
      </c>
      <c r="B38" s="98">
        <f t="shared" si="4"/>
        <v>2012</v>
      </c>
      <c r="C38" s="127">
        <f t="shared" si="5"/>
        <v>2734505.1468077139</v>
      </c>
      <c r="D38" s="127">
        <f t="shared" si="0"/>
        <v>212814.15442103354</v>
      </c>
      <c r="E38" s="127">
        <f t="shared" si="1"/>
        <v>54690.102936154282</v>
      </c>
      <c r="F38" s="128">
        <f t="shared" si="2"/>
        <v>158124.05148487925</v>
      </c>
      <c r="G38" s="127">
        <f t="shared" si="3"/>
        <v>2576381.0953228348</v>
      </c>
      <c r="K38" s="127"/>
    </row>
    <row r="39" spans="1:11">
      <c r="A39" s="125">
        <f t="shared" si="4"/>
        <v>17</v>
      </c>
      <c r="B39" s="98">
        <f t="shared" si="4"/>
        <v>2013</v>
      </c>
      <c r="C39" s="127">
        <f t="shared" si="5"/>
        <v>2576381.0953228348</v>
      </c>
      <c r="D39" s="127">
        <f t="shared" si="0"/>
        <v>212814.15442103354</v>
      </c>
      <c r="E39" s="127">
        <f t="shared" si="1"/>
        <v>51527.621906456698</v>
      </c>
      <c r="F39" s="128">
        <f t="shared" si="2"/>
        <v>161286.53251457686</v>
      </c>
      <c r="G39" s="127">
        <f t="shared" si="3"/>
        <v>2415094.562808258</v>
      </c>
      <c r="K39" s="127"/>
    </row>
    <row r="40" spans="1:11">
      <c r="A40" s="125">
        <f t="shared" ref="A40:B52" si="6">A39+1</f>
        <v>18</v>
      </c>
      <c r="B40" s="98">
        <f t="shared" si="6"/>
        <v>2014</v>
      </c>
      <c r="C40" s="127">
        <f t="shared" si="5"/>
        <v>2415094.562808258</v>
      </c>
      <c r="D40" s="127">
        <f t="shared" si="0"/>
        <v>212814.15442103354</v>
      </c>
      <c r="E40" s="127">
        <f t="shared" si="1"/>
        <v>48301.89125616516</v>
      </c>
      <c r="F40" s="128">
        <f t="shared" si="2"/>
        <v>164512.26316486837</v>
      </c>
      <c r="G40" s="127">
        <f t="shared" si="3"/>
        <v>2250582.2996433894</v>
      </c>
      <c r="K40" s="127"/>
    </row>
    <row r="41" spans="1:11">
      <c r="A41" s="125">
        <f t="shared" si="6"/>
        <v>19</v>
      </c>
      <c r="B41" s="98">
        <f t="shared" si="6"/>
        <v>2015</v>
      </c>
      <c r="C41" s="127">
        <f t="shared" si="5"/>
        <v>2250582.2996433894</v>
      </c>
      <c r="D41" s="127">
        <f t="shared" si="0"/>
        <v>212814.15442103354</v>
      </c>
      <c r="E41" s="127">
        <f t="shared" si="1"/>
        <v>45011.645992867787</v>
      </c>
      <c r="F41" s="128">
        <f t="shared" si="2"/>
        <v>167802.50842816575</v>
      </c>
      <c r="G41" s="127">
        <f t="shared" si="3"/>
        <v>2082779.7912152237</v>
      </c>
      <c r="K41" s="127"/>
    </row>
    <row r="42" spans="1:11">
      <c r="A42" s="125">
        <f t="shared" si="6"/>
        <v>20</v>
      </c>
      <c r="B42" s="98">
        <f t="shared" si="6"/>
        <v>2016</v>
      </c>
      <c r="C42" s="127">
        <f t="shared" si="5"/>
        <v>2082779.7912152237</v>
      </c>
      <c r="D42" s="127">
        <f t="shared" si="0"/>
        <v>212814.15442103354</v>
      </c>
      <c r="E42" s="127">
        <f t="shared" si="1"/>
        <v>41655.595824304473</v>
      </c>
      <c r="F42" s="128">
        <f t="shared" si="2"/>
        <v>171158.55859672907</v>
      </c>
      <c r="G42" s="127">
        <f t="shared" si="3"/>
        <v>1911621.2326184947</v>
      </c>
      <c r="K42" s="127"/>
    </row>
    <row r="43" spans="1:11">
      <c r="A43" s="125">
        <f t="shared" si="6"/>
        <v>21</v>
      </c>
      <c r="B43" s="98">
        <f t="shared" si="6"/>
        <v>2017</v>
      </c>
      <c r="C43" s="127">
        <f t="shared" si="5"/>
        <v>1911621.2326184947</v>
      </c>
      <c r="D43" s="127">
        <f t="shared" si="0"/>
        <v>212814.15442103354</v>
      </c>
      <c r="E43" s="127">
        <f t="shared" si="1"/>
        <v>38232.424652369897</v>
      </c>
      <c r="F43" s="128">
        <f t="shared" si="2"/>
        <v>174581.72976866364</v>
      </c>
      <c r="G43" s="127">
        <f t="shared" si="3"/>
        <v>1737039.502849831</v>
      </c>
      <c r="K43" s="127"/>
    </row>
    <row r="44" spans="1:11">
      <c r="A44" s="125">
        <f t="shared" si="6"/>
        <v>22</v>
      </c>
      <c r="B44" s="98">
        <f t="shared" si="6"/>
        <v>2018</v>
      </c>
      <c r="C44" s="127">
        <f t="shared" si="5"/>
        <v>1737039.502849831</v>
      </c>
      <c r="D44" s="127">
        <f t="shared" si="0"/>
        <v>212814.15442103354</v>
      </c>
      <c r="E44" s="127">
        <f t="shared" si="1"/>
        <v>34740.790056996622</v>
      </c>
      <c r="F44" s="128">
        <f t="shared" si="2"/>
        <v>178073.36436403691</v>
      </c>
      <c r="G44" s="127">
        <f t="shared" si="3"/>
        <v>1558966.1384857942</v>
      </c>
      <c r="K44" s="127"/>
    </row>
    <row r="45" spans="1:11">
      <c r="A45" s="125">
        <f t="shared" si="6"/>
        <v>23</v>
      </c>
      <c r="B45" s="98">
        <f t="shared" si="6"/>
        <v>2019</v>
      </c>
      <c r="C45" s="127">
        <f t="shared" si="5"/>
        <v>1558966.1384857942</v>
      </c>
      <c r="D45" s="127">
        <f t="shared" si="0"/>
        <v>212814.15442103354</v>
      </c>
      <c r="E45" s="127">
        <f t="shared" si="1"/>
        <v>31179.322769715884</v>
      </c>
      <c r="F45" s="128">
        <f t="shared" si="2"/>
        <v>181634.83165131765</v>
      </c>
      <c r="G45" s="127">
        <f t="shared" si="3"/>
        <v>1377331.3068344765</v>
      </c>
      <c r="K45" s="127"/>
    </row>
    <row r="46" spans="1:11">
      <c r="A46" s="125">
        <f t="shared" si="6"/>
        <v>24</v>
      </c>
      <c r="B46" s="98">
        <f t="shared" si="6"/>
        <v>2020</v>
      </c>
      <c r="C46" s="127">
        <f t="shared" si="5"/>
        <v>1377331.3068344765</v>
      </c>
      <c r="D46" s="127">
        <f t="shared" si="0"/>
        <v>212814.15442103354</v>
      </c>
      <c r="E46" s="127">
        <f t="shared" si="1"/>
        <v>27546.626136689531</v>
      </c>
      <c r="F46" s="128">
        <f t="shared" si="2"/>
        <v>185267.52828434401</v>
      </c>
      <c r="G46" s="127">
        <f t="shared" si="3"/>
        <v>1192063.7785501326</v>
      </c>
      <c r="K46" s="127"/>
    </row>
    <row r="47" spans="1:11">
      <c r="A47" s="125">
        <f t="shared" si="6"/>
        <v>25</v>
      </c>
      <c r="B47" s="98">
        <f t="shared" si="6"/>
        <v>2021</v>
      </c>
      <c r="C47" s="127">
        <f t="shared" si="5"/>
        <v>1192063.7785501326</v>
      </c>
      <c r="D47" s="127">
        <f t="shared" si="0"/>
        <v>212814.15442103354</v>
      </c>
      <c r="E47" s="127">
        <f t="shared" si="1"/>
        <v>23841.275571002654</v>
      </c>
      <c r="F47" s="128">
        <f t="shared" si="2"/>
        <v>188972.87885003089</v>
      </c>
      <c r="G47" s="127">
        <f t="shared" si="3"/>
        <v>1003090.8997001017</v>
      </c>
      <c r="K47" s="127"/>
    </row>
    <row r="48" spans="1:11">
      <c r="A48" s="125">
        <f t="shared" si="6"/>
        <v>26</v>
      </c>
      <c r="B48" s="98">
        <f t="shared" si="6"/>
        <v>2022</v>
      </c>
      <c r="C48" s="127">
        <f t="shared" si="5"/>
        <v>1003090.8997001017</v>
      </c>
      <c r="D48" s="127">
        <f t="shared" si="0"/>
        <v>212814.15442103354</v>
      </c>
      <c r="E48" s="127">
        <f t="shared" si="1"/>
        <v>20061.817994002035</v>
      </c>
      <c r="F48" s="128">
        <f t="shared" si="2"/>
        <v>192752.33642703149</v>
      </c>
      <c r="G48" s="127">
        <f t="shared" si="3"/>
        <v>810338.56327307015</v>
      </c>
      <c r="K48" s="127"/>
    </row>
    <row r="49" spans="1:11">
      <c r="A49" s="125">
        <f t="shared" si="6"/>
        <v>27</v>
      </c>
      <c r="B49" s="98">
        <f t="shared" si="6"/>
        <v>2023</v>
      </c>
      <c r="C49" s="127">
        <f t="shared" si="5"/>
        <v>810338.56327307015</v>
      </c>
      <c r="D49" s="127">
        <f t="shared" si="0"/>
        <v>212814.15442103354</v>
      </c>
      <c r="E49" s="127">
        <f t="shared" si="1"/>
        <v>16206.771265461402</v>
      </c>
      <c r="F49" s="128">
        <f t="shared" si="2"/>
        <v>196607.38315557214</v>
      </c>
      <c r="G49" s="127">
        <f t="shared" si="3"/>
        <v>613731.18011749804</v>
      </c>
      <c r="K49" s="127"/>
    </row>
    <row r="50" spans="1:11">
      <c r="A50" s="125">
        <f t="shared" si="6"/>
        <v>28</v>
      </c>
      <c r="B50" s="98">
        <f t="shared" si="6"/>
        <v>2024</v>
      </c>
      <c r="C50" s="127">
        <f t="shared" si="5"/>
        <v>613731.18011749804</v>
      </c>
      <c r="D50" s="127">
        <f t="shared" si="0"/>
        <v>212814.15442103354</v>
      </c>
      <c r="E50" s="127">
        <f t="shared" si="1"/>
        <v>12274.62360234996</v>
      </c>
      <c r="F50" s="128">
        <f t="shared" si="2"/>
        <v>200539.53081868359</v>
      </c>
      <c r="G50" s="127">
        <f t="shared" si="3"/>
        <v>413191.64929881447</v>
      </c>
      <c r="K50" s="127"/>
    </row>
    <row r="51" spans="1:11">
      <c r="A51" s="125">
        <f t="shared" si="6"/>
        <v>29</v>
      </c>
      <c r="B51" s="98">
        <f t="shared" si="6"/>
        <v>2025</v>
      </c>
      <c r="C51" s="127">
        <f t="shared" si="5"/>
        <v>413191.64929881447</v>
      </c>
      <c r="D51" s="127">
        <f t="shared" si="0"/>
        <v>212814.15442103354</v>
      </c>
      <c r="E51" s="127">
        <f t="shared" si="1"/>
        <v>8263.8329859762889</v>
      </c>
      <c r="F51" s="128">
        <f t="shared" si="2"/>
        <v>204550.32143505727</v>
      </c>
      <c r="G51" s="127">
        <f t="shared" si="3"/>
        <v>208641.32786375721</v>
      </c>
      <c r="K51" s="127"/>
    </row>
    <row r="52" spans="1:11">
      <c r="A52" s="125">
        <f t="shared" si="6"/>
        <v>30</v>
      </c>
      <c r="B52" s="98">
        <f t="shared" si="6"/>
        <v>2026</v>
      </c>
      <c r="C52" s="127">
        <f t="shared" si="5"/>
        <v>208641.32786375721</v>
      </c>
      <c r="D52" s="127">
        <f t="shared" si="0"/>
        <v>212814.15442103354</v>
      </c>
      <c r="E52" s="129">
        <f t="shared" si="1"/>
        <v>4172.8265572751443</v>
      </c>
      <c r="F52" s="129">
        <f t="shared" si="2"/>
        <v>208641.3278637584</v>
      </c>
      <c r="G52" s="127">
        <f t="shared" si="3"/>
        <v>-1.1932570487260818E-9</v>
      </c>
      <c r="K52" s="127"/>
    </row>
    <row r="53" spans="1:11">
      <c r="A53" s="125"/>
      <c r="C53" s="127"/>
      <c r="D53" s="127"/>
      <c r="E53" s="127">
        <f>SUM(E23:E52)</f>
        <v>1618141.8825157406</v>
      </c>
      <c r="F53" s="127">
        <f>SUM(F23:F52)</f>
        <v>4766282.7501152651</v>
      </c>
      <c r="G53" s="127"/>
    </row>
    <row r="54" spans="1:11">
      <c r="A54" s="125"/>
      <c r="C54" s="127"/>
      <c r="D54" s="127"/>
      <c r="E54" s="127"/>
      <c r="F54" s="127"/>
      <c r="G54" s="127"/>
    </row>
    <row r="55" spans="1:11">
      <c r="A55" s="125"/>
      <c r="C55" s="127"/>
      <c r="D55" s="127"/>
      <c r="E55" s="127"/>
      <c r="F55" s="127"/>
      <c r="G55" s="127"/>
    </row>
    <row r="56" spans="1:11">
      <c r="A56" s="125"/>
      <c r="C56" s="127"/>
      <c r="D56" s="127"/>
      <c r="E56" s="127"/>
      <c r="F56" s="127"/>
      <c r="G56" s="127"/>
    </row>
    <row r="57" spans="1:11">
      <c r="A57" s="125"/>
      <c r="C57" s="127"/>
      <c r="D57" s="127"/>
      <c r="E57" s="127"/>
      <c r="F57" s="127"/>
      <c r="G57" s="127"/>
    </row>
    <row r="58" spans="1:11">
      <c r="A58" s="125"/>
      <c r="C58" s="127"/>
      <c r="D58" s="127"/>
      <c r="E58" s="127"/>
      <c r="F58" s="127"/>
      <c r="G58" s="127"/>
    </row>
    <row r="59" spans="1:11">
      <c r="A59" s="125"/>
      <c r="C59" s="127"/>
      <c r="D59" s="127"/>
      <c r="E59" s="127"/>
      <c r="F59" s="127"/>
      <c r="G59" s="127"/>
    </row>
    <row r="60" spans="1:11">
      <c r="A60" s="125"/>
      <c r="C60" s="127"/>
      <c r="D60" s="127"/>
      <c r="E60" s="127"/>
      <c r="F60" s="127"/>
      <c r="G60" s="127"/>
    </row>
    <row r="61" spans="1:11">
      <c r="A61" s="125"/>
      <c r="C61" s="127"/>
      <c r="D61" s="127"/>
      <c r="E61" s="127"/>
      <c r="F61" s="127"/>
      <c r="G61" s="127"/>
    </row>
    <row r="62" spans="1:11">
      <c r="A62" s="125"/>
      <c r="C62" s="127"/>
      <c r="D62" s="127"/>
      <c r="E62" s="127"/>
      <c r="F62" s="127"/>
      <c r="G62" s="127"/>
    </row>
    <row r="63" spans="1:11">
      <c r="A63" s="125"/>
      <c r="C63" s="127"/>
      <c r="D63" s="127"/>
      <c r="E63" s="127"/>
      <c r="F63" s="127"/>
      <c r="G63" s="127"/>
    </row>
    <row r="64" spans="1:11">
      <c r="A64" s="125"/>
      <c r="C64" s="127"/>
      <c r="D64" s="127"/>
      <c r="E64" s="127"/>
      <c r="F64" s="127"/>
      <c r="G64" s="127"/>
    </row>
    <row r="65" spans="1:7">
      <c r="A65" s="125"/>
      <c r="C65" s="127"/>
      <c r="D65" s="127"/>
      <c r="E65" s="127"/>
      <c r="F65" s="127"/>
      <c r="G65" s="127"/>
    </row>
    <row r="66" spans="1:7">
      <c r="A66" s="125"/>
      <c r="C66" s="127"/>
      <c r="D66" s="127"/>
      <c r="E66" s="127"/>
      <c r="F66" s="127"/>
      <c r="G66" s="127"/>
    </row>
    <row r="67" spans="1:7">
      <c r="A67" s="125"/>
      <c r="C67" s="127"/>
      <c r="D67" s="127"/>
      <c r="E67" s="127"/>
      <c r="F67" s="127"/>
      <c r="G67" s="127"/>
    </row>
    <row r="68" spans="1:7">
      <c r="A68" s="125"/>
      <c r="C68" s="127"/>
      <c r="D68" s="127"/>
      <c r="E68" s="127"/>
      <c r="F68" s="127"/>
      <c r="G68" s="127"/>
    </row>
    <row r="69" spans="1:7">
      <c r="A69" s="125"/>
      <c r="C69" s="127"/>
      <c r="D69" s="127"/>
      <c r="E69" s="127"/>
      <c r="F69" s="127"/>
      <c r="G69" s="127"/>
    </row>
    <row r="70" spans="1:7">
      <c r="A70" s="125"/>
      <c r="C70" s="127"/>
      <c r="D70" s="127"/>
      <c r="E70" s="127"/>
      <c r="F70" s="127"/>
      <c r="G70" s="127"/>
    </row>
    <row r="71" spans="1:7">
      <c r="A71" s="125"/>
      <c r="C71" s="127"/>
      <c r="D71" s="127"/>
      <c r="E71" s="127"/>
      <c r="F71" s="127"/>
      <c r="G71" s="127"/>
    </row>
    <row r="72" spans="1:7">
      <c r="A72" s="125"/>
      <c r="C72" s="127"/>
      <c r="D72" s="127"/>
      <c r="E72" s="127"/>
      <c r="F72" s="127"/>
      <c r="G72" s="127"/>
    </row>
    <row r="73" spans="1:7">
      <c r="A73" s="125"/>
      <c r="C73" s="127"/>
      <c r="D73" s="127"/>
      <c r="E73" s="127"/>
      <c r="F73" s="127"/>
      <c r="G73" s="127"/>
    </row>
    <row r="74" spans="1:7">
      <c r="A74" s="125"/>
      <c r="C74" s="127"/>
      <c r="D74" s="127"/>
      <c r="E74" s="127"/>
      <c r="F74" s="127"/>
      <c r="G74" s="127"/>
    </row>
    <row r="75" spans="1:7">
      <c r="A75" s="125"/>
      <c r="C75" s="127"/>
      <c r="D75" s="127"/>
      <c r="E75" s="127"/>
      <c r="F75" s="127"/>
      <c r="G75" s="127"/>
    </row>
    <row r="76" spans="1:7">
      <c r="A76" s="125"/>
      <c r="C76" s="127"/>
      <c r="D76" s="127"/>
      <c r="E76" s="127"/>
      <c r="F76" s="127"/>
      <c r="G76" s="127"/>
    </row>
    <row r="77" spans="1:7">
      <c r="A77" s="125"/>
      <c r="C77" s="127"/>
      <c r="D77" s="127"/>
      <c r="E77" s="127"/>
      <c r="F77" s="127"/>
      <c r="G77" s="127"/>
    </row>
    <row r="78" spans="1:7">
      <c r="A78" s="125"/>
      <c r="C78" s="127"/>
      <c r="D78" s="127"/>
      <c r="E78" s="127"/>
      <c r="F78" s="127"/>
      <c r="G78" s="127"/>
    </row>
    <row r="79" spans="1:7">
      <c r="A79" s="125"/>
      <c r="C79" s="127"/>
      <c r="D79" s="127"/>
      <c r="E79" s="127"/>
      <c r="F79" s="127"/>
      <c r="G79" s="127"/>
    </row>
    <row r="80" spans="1:7">
      <c r="A80" s="125"/>
      <c r="C80" s="127"/>
      <c r="D80" s="127"/>
      <c r="E80" s="127"/>
      <c r="F80" s="127"/>
      <c r="G80" s="127"/>
    </row>
    <row r="81" spans="1:7">
      <c r="A81" s="125"/>
      <c r="C81" s="127"/>
      <c r="D81" s="127"/>
      <c r="E81" s="127"/>
      <c r="F81" s="127"/>
      <c r="G81" s="127"/>
    </row>
    <row r="82" spans="1:7">
      <c r="A82" s="125"/>
      <c r="C82" s="127"/>
      <c r="D82" s="127"/>
      <c r="E82" s="127"/>
      <c r="F82" s="127"/>
      <c r="G82" s="127"/>
    </row>
  </sheetData>
  <printOptions horizontalCentered="1" verticalCentered="1"/>
  <pageMargins left="0.75" right="0.75" top="1" bottom="1" header="0.5" footer="0.5"/>
  <pageSetup scale="94" fitToHeight="5" orientation="portrait" horizontalDpi="300" verticalDpi="300" r:id="rId1"/>
  <headerFooter alignWithMargins="0">
    <oddFooter xml:space="preserve">&amp;L&amp;"Times New Roman,Regular"&amp;8PREPARED BY:  KEYSER MARSTON ASSOCIATES, INC.
&amp;F{&amp;A}: gmr: &amp;D  &amp;T&amp;R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pane ySplit="6" topLeftCell="A70" activePane="bottomLeft" state="frozen"/>
      <selection pane="bottomLeft" activeCell="A5" sqref="A5"/>
    </sheetView>
  </sheetViews>
  <sheetFormatPr defaultColWidth="8.85546875" defaultRowHeight="12.75"/>
  <cols>
    <col min="1" max="1" width="13.7109375" style="181" customWidth="1"/>
    <col min="2" max="2" width="8.85546875" style="182"/>
    <col min="3" max="3" width="13.7109375" style="183" customWidth="1"/>
    <col min="4" max="4" width="9.5703125" style="175" bestFit="1" customWidth="1"/>
    <col min="5" max="5" width="13.140625" style="175" bestFit="1" customWidth="1"/>
    <col min="6" max="6" width="10.42578125" style="175" bestFit="1" customWidth="1"/>
    <col min="7" max="7" width="10.5703125" style="180" bestFit="1" customWidth="1"/>
    <col min="8" max="16384" width="8.85546875" style="175"/>
  </cols>
  <sheetData>
    <row r="1" spans="1:4">
      <c r="A1" s="214" t="s">
        <v>89</v>
      </c>
    </row>
    <row r="2" spans="1:4">
      <c r="A2" s="50" t="str">
        <f>Assumptions!B10</f>
        <v>City of Manteca</v>
      </c>
    </row>
    <row r="3" spans="1:4">
      <c r="A3" s="50" t="str">
        <f>Assumptions!B18</f>
        <v>PFF Sewer Collection Fee</v>
      </c>
    </row>
    <row r="4" spans="1:4">
      <c r="A4" s="214" t="s">
        <v>425</v>
      </c>
    </row>
    <row r="5" spans="1:4">
      <c r="A5" s="50"/>
    </row>
    <row r="6" spans="1:4" ht="43.15" customHeight="1">
      <c r="A6" s="173" t="s">
        <v>228</v>
      </c>
      <c r="B6" s="173" t="s">
        <v>229</v>
      </c>
      <c r="C6" s="174" t="s">
        <v>230</v>
      </c>
      <c r="D6" s="184"/>
    </row>
    <row r="7" spans="1:4">
      <c r="A7" s="176" t="s">
        <v>231</v>
      </c>
      <c r="B7" s="177" t="s">
        <v>232</v>
      </c>
      <c r="C7" s="178">
        <v>0.999977</v>
      </c>
    </row>
    <row r="8" spans="1:4">
      <c r="A8" s="179"/>
      <c r="B8" s="177" t="s">
        <v>233</v>
      </c>
      <c r="C8" s="178">
        <v>76.184443999999999</v>
      </c>
    </row>
    <row r="9" spans="1:4">
      <c r="A9" s="179"/>
      <c r="B9" s="177" t="s">
        <v>234</v>
      </c>
      <c r="C9" s="178">
        <v>36.631224000000003</v>
      </c>
    </row>
    <row r="10" spans="1:4">
      <c r="A10" s="179"/>
      <c r="B10" s="177" t="s">
        <v>235</v>
      </c>
      <c r="C10" s="178">
        <v>34.912390000000002</v>
      </c>
    </row>
    <row r="11" spans="1:4">
      <c r="A11" s="179"/>
      <c r="B11" s="177" t="s">
        <v>236</v>
      </c>
      <c r="C11" s="178">
        <v>155.287542</v>
      </c>
    </row>
    <row r="12" spans="1:4">
      <c r="A12" s="179"/>
      <c r="B12" s="177" t="s">
        <v>237</v>
      </c>
      <c r="C12" s="178">
        <v>7.910844</v>
      </c>
    </row>
    <row r="13" spans="1:4">
      <c r="A13" s="179"/>
      <c r="B13" s="177" t="s">
        <v>238</v>
      </c>
      <c r="C13" s="178">
        <v>55.914966</v>
      </c>
    </row>
    <row r="14" spans="1:4">
      <c r="A14" s="179"/>
      <c r="B14" s="177" t="s">
        <v>239</v>
      </c>
      <c r="C14" s="178">
        <v>13.091668</v>
      </c>
    </row>
    <row r="15" spans="1:4">
      <c r="A15" s="179"/>
      <c r="B15" s="177" t="s">
        <v>240</v>
      </c>
      <c r="C15" s="178">
        <v>8.6079319999999999</v>
      </c>
    </row>
    <row r="16" spans="1:4">
      <c r="A16" s="179"/>
      <c r="B16" s="177" t="s">
        <v>241</v>
      </c>
      <c r="C16" s="178">
        <v>6.7649600000000003</v>
      </c>
    </row>
    <row r="17" spans="1:3">
      <c r="A17" s="179"/>
      <c r="B17" s="177"/>
      <c r="C17" s="178"/>
    </row>
    <row r="18" spans="1:3">
      <c r="A18" s="176" t="s">
        <v>242</v>
      </c>
      <c r="B18" s="177" t="s">
        <v>243</v>
      </c>
      <c r="C18" s="178">
        <v>3385.3006839999998</v>
      </c>
    </row>
    <row r="19" spans="1:3">
      <c r="A19" s="179"/>
      <c r="B19" s="177" t="s">
        <v>233</v>
      </c>
      <c r="C19" s="178">
        <v>29.292310000000001</v>
      </c>
    </row>
    <row r="20" spans="1:3">
      <c r="A20" s="179"/>
      <c r="B20" s="177" t="s">
        <v>234</v>
      </c>
      <c r="C20" s="178">
        <v>18.761132</v>
      </c>
    </row>
    <row r="21" spans="1:3">
      <c r="A21" s="179"/>
      <c r="B21" s="177" t="s">
        <v>235</v>
      </c>
      <c r="C21" s="178">
        <v>25.666180000000001</v>
      </c>
    </row>
    <row r="22" spans="1:3">
      <c r="A22" s="179"/>
      <c r="B22" s="177" t="s">
        <v>244</v>
      </c>
      <c r="C22" s="178">
        <v>175.12787800000001</v>
      </c>
    </row>
    <row r="23" spans="1:3">
      <c r="A23" s="179"/>
      <c r="B23" s="177" t="s">
        <v>236</v>
      </c>
      <c r="C23" s="178">
        <v>1033.033453</v>
      </c>
    </row>
    <row r="24" spans="1:3">
      <c r="A24" s="179"/>
      <c r="B24" s="177" t="s">
        <v>237</v>
      </c>
      <c r="C24" s="178">
        <v>527.84235899999999</v>
      </c>
    </row>
    <row r="25" spans="1:3">
      <c r="A25" s="179"/>
      <c r="B25" s="177" t="s">
        <v>238</v>
      </c>
      <c r="C25" s="178">
        <v>19.097294000000002</v>
      </c>
    </row>
    <row r="26" spans="1:3">
      <c r="A26" s="179"/>
      <c r="B26" s="177" t="s">
        <v>239</v>
      </c>
      <c r="C26" s="178">
        <v>22.485962000000001</v>
      </c>
    </row>
    <row r="27" spans="1:3">
      <c r="A27" s="179"/>
      <c r="B27" s="177" t="s">
        <v>245</v>
      </c>
      <c r="C27" s="178">
        <v>15.368535</v>
      </c>
    </row>
    <row r="28" spans="1:3">
      <c r="A28" s="179"/>
      <c r="B28" s="177" t="s">
        <v>240</v>
      </c>
      <c r="C28" s="178">
        <v>44.270046000000001</v>
      </c>
    </row>
    <row r="29" spans="1:3">
      <c r="A29" s="179"/>
      <c r="B29" s="177" t="s">
        <v>246</v>
      </c>
      <c r="C29" s="178">
        <v>157.17575600000001</v>
      </c>
    </row>
    <row r="30" spans="1:3">
      <c r="A30" s="179"/>
      <c r="B30" s="177" t="s">
        <v>247</v>
      </c>
      <c r="C30" s="178">
        <v>578.53751799999998</v>
      </c>
    </row>
    <row r="31" spans="1:3">
      <c r="A31" s="179"/>
      <c r="B31" s="177" t="s">
        <v>248</v>
      </c>
      <c r="C31" s="178">
        <v>1152.6550749999999</v>
      </c>
    </row>
    <row r="32" spans="1:3">
      <c r="A32" s="179"/>
      <c r="B32" s="177" t="s">
        <v>249</v>
      </c>
      <c r="C32" s="178">
        <v>43.057797000000001</v>
      </c>
    </row>
    <row r="33" spans="1:5">
      <c r="A33" s="179"/>
      <c r="B33" s="177" t="s">
        <v>250</v>
      </c>
      <c r="C33" s="178">
        <v>40.434798000000001</v>
      </c>
    </row>
    <row r="34" spans="1:5">
      <c r="A34" s="179"/>
      <c r="B34" s="177" t="s">
        <v>251</v>
      </c>
      <c r="C34" s="178">
        <v>754.374683</v>
      </c>
    </row>
    <row r="35" spans="1:5">
      <c r="A35" s="179"/>
      <c r="B35" s="177" t="s">
        <v>252</v>
      </c>
      <c r="C35" s="178">
        <v>114.44947000000001</v>
      </c>
    </row>
    <row r="36" spans="1:5">
      <c r="A36" s="179"/>
      <c r="B36" s="177" t="s">
        <v>253</v>
      </c>
      <c r="C36" s="178">
        <v>19.736191999999999</v>
      </c>
    </row>
    <row r="37" spans="1:5">
      <c r="A37" s="179"/>
      <c r="B37" s="177" t="s">
        <v>254</v>
      </c>
      <c r="C37" s="178">
        <v>37.560957999999999</v>
      </c>
    </row>
    <row r="38" spans="1:5">
      <c r="A38" s="179"/>
      <c r="B38" s="177" t="s">
        <v>255</v>
      </c>
      <c r="C38" s="178">
        <v>11.652851999999999</v>
      </c>
    </row>
    <row r="39" spans="1:5">
      <c r="A39" s="179"/>
      <c r="B39" s="177" t="s">
        <v>256</v>
      </c>
      <c r="C39" s="178">
        <v>352.59333099999998</v>
      </c>
    </row>
    <row r="40" spans="1:5">
      <c r="A40" s="179"/>
      <c r="B40" s="177" t="s">
        <v>241</v>
      </c>
      <c r="C40" s="178">
        <v>127.986069</v>
      </c>
      <c r="E40" s="180"/>
    </row>
    <row r="41" spans="1:5">
      <c r="A41" s="179"/>
      <c r="B41" s="177"/>
      <c r="C41" s="178"/>
    </row>
    <row r="42" spans="1:5">
      <c r="A42" s="176" t="s">
        <v>257</v>
      </c>
      <c r="B42" s="177" t="s">
        <v>233</v>
      </c>
      <c r="C42" s="178">
        <v>50.457075000000003</v>
      </c>
    </row>
    <row r="43" spans="1:5">
      <c r="A43" s="179"/>
      <c r="B43" s="177" t="s">
        <v>234</v>
      </c>
      <c r="C43" s="178">
        <v>10.055574999999999</v>
      </c>
    </row>
    <row r="44" spans="1:5">
      <c r="A44" s="179"/>
      <c r="B44" s="177" t="s">
        <v>236</v>
      </c>
      <c r="C44" s="178">
        <v>6.8119079999999999</v>
      </c>
    </row>
    <row r="45" spans="1:5">
      <c r="A45" s="179"/>
      <c r="B45" s="177" t="s">
        <v>237</v>
      </c>
      <c r="C45" s="178">
        <v>34.600757000000002</v>
      </c>
    </row>
    <row r="46" spans="1:5">
      <c r="A46" s="179"/>
      <c r="B46" s="177"/>
      <c r="C46" s="178"/>
    </row>
    <row r="47" spans="1:5">
      <c r="A47" s="176" t="s">
        <v>258</v>
      </c>
      <c r="B47" s="177" t="s">
        <v>243</v>
      </c>
      <c r="C47" s="178">
        <v>111.47872099999999</v>
      </c>
    </row>
    <row r="48" spans="1:5">
      <c r="A48" s="179"/>
      <c r="B48" s="177" t="s">
        <v>259</v>
      </c>
      <c r="C48" s="178">
        <v>44.659910000000004</v>
      </c>
    </row>
    <row r="49" spans="1:3">
      <c r="A49" s="179"/>
      <c r="B49" s="177" t="s">
        <v>233</v>
      </c>
      <c r="C49" s="178">
        <v>162.75238300000001</v>
      </c>
    </row>
    <row r="50" spans="1:3">
      <c r="A50" s="179"/>
      <c r="B50" s="177" t="s">
        <v>234</v>
      </c>
      <c r="C50" s="178">
        <v>320.10928699999999</v>
      </c>
    </row>
    <row r="51" spans="1:3">
      <c r="A51" s="179"/>
      <c r="B51" s="177" t="s">
        <v>235</v>
      </c>
      <c r="C51" s="178">
        <v>68.273225999999994</v>
      </c>
    </row>
    <row r="52" spans="1:3">
      <c r="A52" s="179"/>
      <c r="B52" s="177" t="s">
        <v>244</v>
      </c>
      <c r="C52" s="178">
        <v>563.79220399999997</v>
      </c>
    </row>
    <row r="53" spans="1:3">
      <c r="A53" s="179"/>
      <c r="B53" s="177" t="s">
        <v>236</v>
      </c>
      <c r="C53" s="178">
        <v>1934.059522</v>
      </c>
    </row>
    <row r="54" spans="1:3">
      <c r="A54" s="179"/>
      <c r="B54" s="177" t="s">
        <v>237</v>
      </c>
      <c r="C54" s="178">
        <v>180.02126100000001</v>
      </c>
    </row>
    <row r="55" spans="1:3">
      <c r="A55" s="179"/>
      <c r="B55" s="177" t="s">
        <v>238</v>
      </c>
      <c r="C55" s="178">
        <v>113.576701</v>
      </c>
    </row>
    <row r="56" spans="1:3">
      <c r="A56" s="179"/>
      <c r="B56" s="177" t="s">
        <v>239</v>
      </c>
      <c r="C56" s="178">
        <v>20.52543</v>
      </c>
    </row>
    <row r="57" spans="1:3">
      <c r="A57" s="179"/>
      <c r="B57" s="177" t="s">
        <v>240</v>
      </c>
      <c r="C57" s="178">
        <v>108.351705</v>
      </c>
    </row>
    <row r="58" spans="1:3">
      <c r="A58" s="179"/>
      <c r="B58" s="177" t="s">
        <v>246</v>
      </c>
      <c r="C58" s="178">
        <v>85.042383999999998</v>
      </c>
    </row>
    <row r="59" spans="1:3">
      <c r="A59" s="179"/>
      <c r="B59" s="177" t="s">
        <v>247</v>
      </c>
      <c r="C59" s="178">
        <v>1130.5527509999999</v>
      </c>
    </row>
    <row r="60" spans="1:3">
      <c r="A60" s="179"/>
      <c r="B60" s="177" t="s">
        <v>248</v>
      </c>
      <c r="C60" s="178">
        <v>459.19615099999999</v>
      </c>
    </row>
    <row r="61" spans="1:3">
      <c r="A61" s="179"/>
      <c r="B61" s="177" t="s">
        <v>260</v>
      </c>
      <c r="C61" s="178">
        <v>338.69793499999997</v>
      </c>
    </row>
    <row r="62" spans="1:3">
      <c r="A62" s="179"/>
      <c r="B62" s="177" t="s">
        <v>249</v>
      </c>
      <c r="C62" s="178">
        <v>293.76250499999998</v>
      </c>
    </row>
    <row r="63" spans="1:3">
      <c r="A63" s="179"/>
      <c r="B63" s="177" t="s">
        <v>251</v>
      </c>
      <c r="C63" s="178">
        <v>481.46015399999999</v>
      </c>
    </row>
    <row r="64" spans="1:3">
      <c r="A64" s="179"/>
      <c r="B64" s="177" t="s">
        <v>254</v>
      </c>
      <c r="C64" s="178">
        <v>29.960425000000001</v>
      </c>
    </row>
    <row r="65" spans="1:3">
      <c r="A65" s="179"/>
      <c r="B65" s="177" t="s">
        <v>256</v>
      </c>
      <c r="C65" s="178">
        <v>78.736902000000001</v>
      </c>
    </row>
    <row r="66" spans="1:3">
      <c r="A66" s="179"/>
      <c r="B66" s="177" t="s">
        <v>241</v>
      </c>
      <c r="C66" s="178">
        <v>524.78247399999998</v>
      </c>
    </row>
    <row r="67" spans="1:3">
      <c r="A67" s="179"/>
      <c r="B67" s="177"/>
      <c r="C67" s="178"/>
    </row>
    <row r="68" spans="1:3">
      <c r="A68" s="176" t="s">
        <v>261</v>
      </c>
      <c r="B68" s="177" t="s">
        <v>243</v>
      </c>
      <c r="C68" s="178">
        <v>191.42892800000001</v>
      </c>
    </row>
    <row r="69" spans="1:3">
      <c r="A69" s="179"/>
      <c r="B69" s="177" t="s">
        <v>259</v>
      </c>
      <c r="C69" s="178">
        <v>135.32440500000001</v>
      </c>
    </row>
    <row r="70" spans="1:3">
      <c r="A70" s="179"/>
      <c r="B70" s="177" t="s">
        <v>234</v>
      </c>
      <c r="C70" s="178">
        <v>78.564483999999993</v>
      </c>
    </row>
    <row r="71" spans="1:3">
      <c r="A71" s="179"/>
      <c r="B71" s="177" t="s">
        <v>235</v>
      </c>
      <c r="C71" s="178">
        <v>18.722038000000001</v>
      </c>
    </row>
    <row r="72" spans="1:3">
      <c r="A72" s="179"/>
      <c r="B72" s="177" t="s">
        <v>236</v>
      </c>
      <c r="C72" s="178">
        <v>545.78978700000005</v>
      </c>
    </row>
    <row r="73" spans="1:3">
      <c r="A73" s="179"/>
      <c r="B73" s="177" t="s">
        <v>238</v>
      </c>
      <c r="C73" s="178">
        <v>48.975785000000002</v>
      </c>
    </row>
    <row r="74" spans="1:3">
      <c r="A74" s="179"/>
      <c r="B74" s="177" t="s">
        <v>245</v>
      </c>
      <c r="C74" s="178">
        <v>428.98151100000001</v>
      </c>
    </row>
    <row r="75" spans="1:3">
      <c r="A75" s="179"/>
      <c r="B75" s="177" t="s">
        <v>260</v>
      </c>
      <c r="C75" s="178">
        <v>70.002771999999993</v>
      </c>
    </row>
    <row r="76" spans="1:3">
      <c r="A76" s="179"/>
      <c r="B76" s="177" t="s">
        <v>249</v>
      </c>
      <c r="C76" s="178">
        <v>98.809805999999995</v>
      </c>
    </row>
    <row r="77" spans="1:3">
      <c r="A77" s="179"/>
      <c r="B77" s="177" t="s">
        <v>251</v>
      </c>
      <c r="C77" s="178">
        <v>145.51939100000001</v>
      </c>
    </row>
    <row r="78" spans="1:3">
      <c r="A78" s="179"/>
      <c r="B78" s="177" t="s">
        <v>256</v>
      </c>
      <c r="C78" s="178">
        <v>195.96840499999999</v>
      </c>
    </row>
    <row r="80" spans="1:3">
      <c r="B80" s="182" t="s">
        <v>262</v>
      </c>
      <c r="C80" s="183">
        <f>SUM(C7:C78)</f>
        <v>18192.570937</v>
      </c>
    </row>
  </sheetData>
  <pageMargins left="0.75" right="0.75" top="0.5" bottom="0.5" header="0.5" footer="0.5"/>
  <pageSetup scale="7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zoomScale="75" workbookViewId="0">
      <selection sqref="A1:E4"/>
    </sheetView>
  </sheetViews>
  <sheetFormatPr defaultRowHeight="12.75"/>
  <cols>
    <col min="1" max="1" width="41.28515625" customWidth="1"/>
    <col min="3" max="3" width="12.28515625" bestFit="1" customWidth="1"/>
    <col min="4" max="4" width="9.7109375" bestFit="1" customWidth="1"/>
    <col min="5" max="5" width="16.140625" bestFit="1" customWidth="1"/>
    <col min="6" max="6" width="9.7109375" bestFit="1" customWidth="1"/>
    <col min="7" max="7" width="11.28515625" bestFit="1" customWidth="1"/>
    <col min="9" max="9" width="11.28515625" bestFit="1" customWidth="1"/>
    <col min="257" max="257" width="41.28515625" customWidth="1"/>
    <col min="259" max="259" width="12.28515625" bestFit="1" customWidth="1"/>
    <col min="260" max="260" width="9.7109375" bestFit="1" customWidth="1"/>
    <col min="261" max="261" width="11.42578125" bestFit="1" customWidth="1"/>
    <col min="262" max="262" width="9.7109375" bestFit="1" customWidth="1"/>
    <col min="263" max="263" width="11.28515625" bestFit="1" customWidth="1"/>
    <col min="265" max="265" width="11.28515625" bestFit="1" customWidth="1"/>
    <col min="513" max="513" width="41.28515625" customWidth="1"/>
    <col min="515" max="515" width="12.28515625" bestFit="1" customWidth="1"/>
    <col min="516" max="516" width="9.7109375" bestFit="1" customWidth="1"/>
    <col min="517" max="517" width="11.42578125" bestFit="1" customWidth="1"/>
    <col min="518" max="518" width="9.7109375" bestFit="1" customWidth="1"/>
    <col min="519" max="519" width="11.28515625" bestFit="1" customWidth="1"/>
    <col min="521" max="521" width="11.28515625" bestFit="1" customWidth="1"/>
    <col min="769" max="769" width="41.28515625" customWidth="1"/>
    <col min="771" max="771" width="12.28515625" bestFit="1" customWidth="1"/>
    <col min="772" max="772" width="9.7109375" bestFit="1" customWidth="1"/>
    <col min="773" max="773" width="11.42578125" bestFit="1" customWidth="1"/>
    <col min="774" max="774" width="9.7109375" bestFit="1" customWidth="1"/>
    <col min="775" max="775" width="11.28515625" bestFit="1" customWidth="1"/>
    <col min="777" max="777" width="11.28515625" bestFit="1" customWidth="1"/>
    <col min="1025" max="1025" width="41.28515625" customWidth="1"/>
    <col min="1027" max="1027" width="12.28515625" bestFit="1" customWidth="1"/>
    <col min="1028" max="1028" width="9.7109375" bestFit="1" customWidth="1"/>
    <col min="1029" max="1029" width="11.42578125" bestFit="1" customWidth="1"/>
    <col min="1030" max="1030" width="9.7109375" bestFit="1" customWidth="1"/>
    <col min="1031" max="1031" width="11.28515625" bestFit="1" customWidth="1"/>
    <col min="1033" max="1033" width="11.28515625" bestFit="1" customWidth="1"/>
    <col min="1281" max="1281" width="41.28515625" customWidth="1"/>
    <col min="1283" max="1283" width="12.28515625" bestFit="1" customWidth="1"/>
    <col min="1284" max="1284" width="9.7109375" bestFit="1" customWidth="1"/>
    <col min="1285" max="1285" width="11.42578125" bestFit="1" customWidth="1"/>
    <col min="1286" max="1286" width="9.7109375" bestFit="1" customWidth="1"/>
    <col min="1287" max="1287" width="11.28515625" bestFit="1" customWidth="1"/>
    <col min="1289" max="1289" width="11.28515625" bestFit="1" customWidth="1"/>
    <col min="1537" max="1537" width="41.28515625" customWidth="1"/>
    <col min="1539" max="1539" width="12.28515625" bestFit="1" customWidth="1"/>
    <col min="1540" max="1540" width="9.7109375" bestFit="1" customWidth="1"/>
    <col min="1541" max="1541" width="11.42578125" bestFit="1" customWidth="1"/>
    <col min="1542" max="1542" width="9.7109375" bestFit="1" customWidth="1"/>
    <col min="1543" max="1543" width="11.28515625" bestFit="1" customWidth="1"/>
    <col min="1545" max="1545" width="11.28515625" bestFit="1" customWidth="1"/>
    <col min="1793" max="1793" width="41.28515625" customWidth="1"/>
    <col min="1795" max="1795" width="12.28515625" bestFit="1" customWidth="1"/>
    <col min="1796" max="1796" width="9.7109375" bestFit="1" customWidth="1"/>
    <col min="1797" max="1797" width="11.42578125" bestFit="1" customWidth="1"/>
    <col min="1798" max="1798" width="9.7109375" bestFit="1" customWidth="1"/>
    <col min="1799" max="1799" width="11.28515625" bestFit="1" customWidth="1"/>
    <col min="1801" max="1801" width="11.28515625" bestFit="1" customWidth="1"/>
    <col min="2049" max="2049" width="41.28515625" customWidth="1"/>
    <col min="2051" max="2051" width="12.28515625" bestFit="1" customWidth="1"/>
    <col min="2052" max="2052" width="9.7109375" bestFit="1" customWidth="1"/>
    <col min="2053" max="2053" width="11.42578125" bestFit="1" customWidth="1"/>
    <col min="2054" max="2054" width="9.7109375" bestFit="1" customWidth="1"/>
    <col min="2055" max="2055" width="11.28515625" bestFit="1" customWidth="1"/>
    <col min="2057" max="2057" width="11.28515625" bestFit="1" customWidth="1"/>
    <col min="2305" max="2305" width="41.28515625" customWidth="1"/>
    <col min="2307" max="2307" width="12.28515625" bestFit="1" customWidth="1"/>
    <col min="2308" max="2308" width="9.7109375" bestFit="1" customWidth="1"/>
    <col min="2309" max="2309" width="11.42578125" bestFit="1" customWidth="1"/>
    <col min="2310" max="2310" width="9.7109375" bestFit="1" customWidth="1"/>
    <col min="2311" max="2311" width="11.28515625" bestFit="1" customWidth="1"/>
    <col min="2313" max="2313" width="11.28515625" bestFit="1" customWidth="1"/>
    <col min="2561" max="2561" width="41.28515625" customWidth="1"/>
    <col min="2563" max="2563" width="12.28515625" bestFit="1" customWidth="1"/>
    <col min="2564" max="2564" width="9.7109375" bestFit="1" customWidth="1"/>
    <col min="2565" max="2565" width="11.42578125" bestFit="1" customWidth="1"/>
    <col min="2566" max="2566" width="9.7109375" bestFit="1" customWidth="1"/>
    <col min="2567" max="2567" width="11.28515625" bestFit="1" customWidth="1"/>
    <col min="2569" max="2569" width="11.28515625" bestFit="1" customWidth="1"/>
    <col min="2817" max="2817" width="41.28515625" customWidth="1"/>
    <col min="2819" max="2819" width="12.28515625" bestFit="1" customWidth="1"/>
    <col min="2820" max="2820" width="9.7109375" bestFit="1" customWidth="1"/>
    <col min="2821" max="2821" width="11.42578125" bestFit="1" customWidth="1"/>
    <col min="2822" max="2822" width="9.7109375" bestFit="1" customWidth="1"/>
    <col min="2823" max="2823" width="11.28515625" bestFit="1" customWidth="1"/>
    <col min="2825" max="2825" width="11.28515625" bestFit="1" customWidth="1"/>
    <col min="3073" max="3073" width="41.28515625" customWidth="1"/>
    <col min="3075" max="3075" width="12.28515625" bestFit="1" customWidth="1"/>
    <col min="3076" max="3076" width="9.7109375" bestFit="1" customWidth="1"/>
    <col min="3077" max="3077" width="11.42578125" bestFit="1" customWidth="1"/>
    <col min="3078" max="3078" width="9.7109375" bestFit="1" customWidth="1"/>
    <col min="3079" max="3079" width="11.28515625" bestFit="1" customWidth="1"/>
    <col min="3081" max="3081" width="11.28515625" bestFit="1" customWidth="1"/>
    <col min="3329" max="3329" width="41.28515625" customWidth="1"/>
    <col min="3331" max="3331" width="12.28515625" bestFit="1" customWidth="1"/>
    <col min="3332" max="3332" width="9.7109375" bestFit="1" customWidth="1"/>
    <col min="3333" max="3333" width="11.42578125" bestFit="1" customWidth="1"/>
    <col min="3334" max="3334" width="9.7109375" bestFit="1" customWidth="1"/>
    <col min="3335" max="3335" width="11.28515625" bestFit="1" customWidth="1"/>
    <col min="3337" max="3337" width="11.28515625" bestFit="1" customWidth="1"/>
    <col min="3585" max="3585" width="41.28515625" customWidth="1"/>
    <col min="3587" max="3587" width="12.28515625" bestFit="1" customWidth="1"/>
    <col min="3588" max="3588" width="9.7109375" bestFit="1" customWidth="1"/>
    <col min="3589" max="3589" width="11.42578125" bestFit="1" customWidth="1"/>
    <col min="3590" max="3590" width="9.7109375" bestFit="1" customWidth="1"/>
    <col min="3591" max="3591" width="11.28515625" bestFit="1" customWidth="1"/>
    <col min="3593" max="3593" width="11.28515625" bestFit="1" customWidth="1"/>
    <col min="3841" max="3841" width="41.28515625" customWidth="1"/>
    <col min="3843" max="3843" width="12.28515625" bestFit="1" customWidth="1"/>
    <col min="3844" max="3844" width="9.7109375" bestFit="1" customWidth="1"/>
    <col min="3845" max="3845" width="11.42578125" bestFit="1" customWidth="1"/>
    <col min="3846" max="3846" width="9.7109375" bestFit="1" customWidth="1"/>
    <col min="3847" max="3847" width="11.28515625" bestFit="1" customWidth="1"/>
    <col min="3849" max="3849" width="11.28515625" bestFit="1" customWidth="1"/>
    <col min="4097" max="4097" width="41.28515625" customWidth="1"/>
    <col min="4099" max="4099" width="12.28515625" bestFit="1" customWidth="1"/>
    <col min="4100" max="4100" width="9.7109375" bestFit="1" customWidth="1"/>
    <col min="4101" max="4101" width="11.42578125" bestFit="1" customWidth="1"/>
    <col min="4102" max="4102" width="9.7109375" bestFit="1" customWidth="1"/>
    <col min="4103" max="4103" width="11.28515625" bestFit="1" customWidth="1"/>
    <col min="4105" max="4105" width="11.28515625" bestFit="1" customWidth="1"/>
    <col min="4353" max="4353" width="41.28515625" customWidth="1"/>
    <col min="4355" max="4355" width="12.28515625" bestFit="1" customWidth="1"/>
    <col min="4356" max="4356" width="9.7109375" bestFit="1" customWidth="1"/>
    <col min="4357" max="4357" width="11.42578125" bestFit="1" customWidth="1"/>
    <col min="4358" max="4358" width="9.7109375" bestFit="1" customWidth="1"/>
    <col min="4359" max="4359" width="11.28515625" bestFit="1" customWidth="1"/>
    <col min="4361" max="4361" width="11.28515625" bestFit="1" customWidth="1"/>
    <col min="4609" max="4609" width="41.28515625" customWidth="1"/>
    <col min="4611" max="4611" width="12.28515625" bestFit="1" customWidth="1"/>
    <col min="4612" max="4612" width="9.7109375" bestFit="1" customWidth="1"/>
    <col min="4613" max="4613" width="11.42578125" bestFit="1" customWidth="1"/>
    <col min="4614" max="4614" width="9.7109375" bestFit="1" customWidth="1"/>
    <col min="4615" max="4615" width="11.28515625" bestFit="1" customWidth="1"/>
    <col min="4617" max="4617" width="11.28515625" bestFit="1" customWidth="1"/>
    <col min="4865" max="4865" width="41.28515625" customWidth="1"/>
    <col min="4867" max="4867" width="12.28515625" bestFit="1" customWidth="1"/>
    <col min="4868" max="4868" width="9.7109375" bestFit="1" customWidth="1"/>
    <col min="4869" max="4869" width="11.42578125" bestFit="1" customWidth="1"/>
    <col min="4870" max="4870" width="9.7109375" bestFit="1" customWidth="1"/>
    <col min="4871" max="4871" width="11.28515625" bestFit="1" customWidth="1"/>
    <col min="4873" max="4873" width="11.28515625" bestFit="1" customWidth="1"/>
    <col min="5121" max="5121" width="41.28515625" customWidth="1"/>
    <col min="5123" max="5123" width="12.28515625" bestFit="1" customWidth="1"/>
    <col min="5124" max="5124" width="9.7109375" bestFit="1" customWidth="1"/>
    <col min="5125" max="5125" width="11.42578125" bestFit="1" customWidth="1"/>
    <col min="5126" max="5126" width="9.7109375" bestFit="1" customWidth="1"/>
    <col min="5127" max="5127" width="11.28515625" bestFit="1" customWidth="1"/>
    <col min="5129" max="5129" width="11.28515625" bestFit="1" customWidth="1"/>
    <col min="5377" max="5377" width="41.28515625" customWidth="1"/>
    <col min="5379" max="5379" width="12.28515625" bestFit="1" customWidth="1"/>
    <col min="5380" max="5380" width="9.7109375" bestFit="1" customWidth="1"/>
    <col min="5381" max="5381" width="11.42578125" bestFit="1" customWidth="1"/>
    <col min="5382" max="5382" width="9.7109375" bestFit="1" customWidth="1"/>
    <col min="5383" max="5383" width="11.28515625" bestFit="1" customWidth="1"/>
    <col min="5385" max="5385" width="11.28515625" bestFit="1" customWidth="1"/>
    <col min="5633" max="5633" width="41.28515625" customWidth="1"/>
    <col min="5635" max="5635" width="12.28515625" bestFit="1" customWidth="1"/>
    <col min="5636" max="5636" width="9.7109375" bestFit="1" customWidth="1"/>
    <col min="5637" max="5637" width="11.42578125" bestFit="1" customWidth="1"/>
    <col min="5638" max="5638" width="9.7109375" bestFit="1" customWidth="1"/>
    <col min="5639" max="5639" width="11.28515625" bestFit="1" customWidth="1"/>
    <col min="5641" max="5641" width="11.28515625" bestFit="1" customWidth="1"/>
    <col min="5889" max="5889" width="41.28515625" customWidth="1"/>
    <col min="5891" max="5891" width="12.28515625" bestFit="1" customWidth="1"/>
    <col min="5892" max="5892" width="9.7109375" bestFit="1" customWidth="1"/>
    <col min="5893" max="5893" width="11.42578125" bestFit="1" customWidth="1"/>
    <col min="5894" max="5894" width="9.7109375" bestFit="1" customWidth="1"/>
    <col min="5895" max="5895" width="11.28515625" bestFit="1" customWidth="1"/>
    <col min="5897" max="5897" width="11.28515625" bestFit="1" customWidth="1"/>
    <col min="6145" max="6145" width="41.28515625" customWidth="1"/>
    <col min="6147" max="6147" width="12.28515625" bestFit="1" customWidth="1"/>
    <col min="6148" max="6148" width="9.7109375" bestFit="1" customWidth="1"/>
    <col min="6149" max="6149" width="11.42578125" bestFit="1" customWidth="1"/>
    <col min="6150" max="6150" width="9.7109375" bestFit="1" customWidth="1"/>
    <col min="6151" max="6151" width="11.28515625" bestFit="1" customWidth="1"/>
    <col min="6153" max="6153" width="11.28515625" bestFit="1" customWidth="1"/>
    <col min="6401" max="6401" width="41.28515625" customWidth="1"/>
    <col min="6403" max="6403" width="12.28515625" bestFit="1" customWidth="1"/>
    <col min="6404" max="6404" width="9.7109375" bestFit="1" customWidth="1"/>
    <col min="6405" max="6405" width="11.42578125" bestFit="1" customWidth="1"/>
    <col min="6406" max="6406" width="9.7109375" bestFit="1" customWidth="1"/>
    <col min="6407" max="6407" width="11.28515625" bestFit="1" customWidth="1"/>
    <col min="6409" max="6409" width="11.28515625" bestFit="1" customWidth="1"/>
    <col min="6657" max="6657" width="41.28515625" customWidth="1"/>
    <col min="6659" max="6659" width="12.28515625" bestFit="1" customWidth="1"/>
    <col min="6660" max="6660" width="9.7109375" bestFit="1" customWidth="1"/>
    <col min="6661" max="6661" width="11.42578125" bestFit="1" customWidth="1"/>
    <col min="6662" max="6662" width="9.7109375" bestFit="1" customWidth="1"/>
    <col min="6663" max="6663" width="11.28515625" bestFit="1" customWidth="1"/>
    <col min="6665" max="6665" width="11.28515625" bestFit="1" customWidth="1"/>
    <col min="6913" max="6913" width="41.28515625" customWidth="1"/>
    <col min="6915" max="6915" width="12.28515625" bestFit="1" customWidth="1"/>
    <col min="6916" max="6916" width="9.7109375" bestFit="1" customWidth="1"/>
    <col min="6917" max="6917" width="11.42578125" bestFit="1" customWidth="1"/>
    <col min="6918" max="6918" width="9.7109375" bestFit="1" customWidth="1"/>
    <col min="6919" max="6919" width="11.28515625" bestFit="1" customWidth="1"/>
    <col min="6921" max="6921" width="11.28515625" bestFit="1" customWidth="1"/>
    <col min="7169" max="7169" width="41.28515625" customWidth="1"/>
    <col min="7171" max="7171" width="12.28515625" bestFit="1" customWidth="1"/>
    <col min="7172" max="7172" width="9.7109375" bestFit="1" customWidth="1"/>
    <col min="7173" max="7173" width="11.42578125" bestFit="1" customWidth="1"/>
    <col min="7174" max="7174" width="9.7109375" bestFit="1" customWidth="1"/>
    <col min="7175" max="7175" width="11.28515625" bestFit="1" customWidth="1"/>
    <col min="7177" max="7177" width="11.28515625" bestFit="1" customWidth="1"/>
    <col min="7425" max="7425" width="41.28515625" customWidth="1"/>
    <col min="7427" max="7427" width="12.28515625" bestFit="1" customWidth="1"/>
    <col min="7428" max="7428" width="9.7109375" bestFit="1" customWidth="1"/>
    <col min="7429" max="7429" width="11.42578125" bestFit="1" customWidth="1"/>
    <col min="7430" max="7430" width="9.7109375" bestFit="1" customWidth="1"/>
    <col min="7431" max="7431" width="11.28515625" bestFit="1" customWidth="1"/>
    <col min="7433" max="7433" width="11.28515625" bestFit="1" customWidth="1"/>
    <col min="7681" max="7681" width="41.28515625" customWidth="1"/>
    <col min="7683" max="7683" width="12.28515625" bestFit="1" customWidth="1"/>
    <col min="7684" max="7684" width="9.7109375" bestFit="1" customWidth="1"/>
    <col min="7685" max="7685" width="11.42578125" bestFit="1" customWidth="1"/>
    <col min="7686" max="7686" width="9.7109375" bestFit="1" customWidth="1"/>
    <col min="7687" max="7687" width="11.28515625" bestFit="1" customWidth="1"/>
    <col min="7689" max="7689" width="11.28515625" bestFit="1" customWidth="1"/>
    <col min="7937" max="7937" width="41.28515625" customWidth="1"/>
    <col min="7939" max="7939" width="12.28515625" bestFit="1" customWidth="1"/>
    <col min="7940" max="7940" width="9.7109375" bestFit="1" customWidth="1"/>
    <col min="7941" max="7941" width="11.42578125" bestFit="1" customWidth="1"/>
    <col min="7942" max="7942" width="9.7109375" bestFit="1" customWidth="1"/>
    <col min="7943" max="7943" width="11.28515625" bestFit="1" customWidth="1"/>
    <col min="7945" max="7945" width="11.28515625" bestFit="1" customWidth="1"/>
    <col min="8193" max="8193" width="41.28515625" customWidth="1"/>
    <col min="8195" max="8195" width="12.28515625" bestFit="1" customWidth="1"/>
    <col min="8196" max="8196" width="9.7109375" bestFit="1" customWidth="1"/>
    <col min="8197" max="8197" width="11.42578125" bestFit="1" customWidth="1"/>
    <col min="8198" max="8198" width="9.7109375" bestFit="1" customWidth="1"/>
    <col min="8199" max="8199" width="11.28515625" bestFit="1" customWidth="1"/>
    <col min="8201" max="8201" width="11.28515625" bestFit="1" customWidth="1"/>
    <col min="8449" max="8449" width="41.28515625" customWidth="1"/>
    <col min="8451" max="8451" width="12.28515625" bestFit="1" customWidth="1"/>
    <col min="8452" max="8452" width="9.7109375" bestFit="1" customWidth="1"/>
    <col min="8453" max="8453" width="11.42578125" bestFit="1" customWidth="1"/>
    <col min="8454" max="8454" width="9.7109375" bestFit="1" customWidth="1"/>
    <col min="8455" max="8455" width="11.28515625" bestFit="1" customWidth="1"/>
    <col min="8457" max="8457" width="11.28515625" bestFit="1" customWidth="1"/>
    <col min="8705" max="8705" width="41.28515625" customWidth="1"/>
    <col min="8707" max="8707" width="12.28515625" bestFit="1" customWidth="1"/>
    <col min="8708" max="8708" width="9.7109375" bestFit="1" customWidth="1"/>
    <col min="8709" max="8709" width="11.42578125" bestFit="1" customWidth="1"/>
    <col min="8710" max="8710" width="9.7109375" bestFit="1" customWidth="1"/>
    <col min="8711" max="8711" width="11.28515625" bestFit="1" customWidth="1"/>
    <col min="8713" max="8713" width="11.28515625" bestFit="1" customWidth="1"/>
    <col min="8961" max="8961" width="41.28515625" customWidth="1"/>
    <col min="8963" max="8963" width="12.28515625" bestFit="1" customWidth="1"/>
    <col min="8964" max="8964" width="9.7109375" bestFit="1" customWidth="1"/>
    <col min="8965" max="8965" width="11.42578125" bestFit="1" customWidth="1"/>
    <col min="8966" max="8966" width="9.7109375" bestFit="1" customWidth="1"/>
    <col min="8967" max="8967" width="11.28515625" bestFit="1" customWidth="1"/>
    <col min="8969" max="8969" width="11.28515625" bestFit="1" customWidth="1"/>
    <col min="9217" max="9217" width="41.28515625" customWidth="1"/>
    <col min="9219" max="9219" width="12.28515625" bestFit="1" customWidth="1"/>
    <col min="9220" max="9220" width="9.7109375" bestFit="1" customWidth="1"/>
    <col min="9221" max="9221" width="11.42578125" bestFit="1" customWidth="1"/>
    <col min="9222" max="9222" width="9.7109375" bestFit="1" customWidth="1"/>
    <col min="9223" max="9223" width="11.28515625" bestFit="1" customWidth="1"/>
    <col min="9225" max="9225" width="11.28515625" bestFit="1" customWidth="1"/>
    <col min="9473" max="9473" width="41.28515625" customWidth="1"/>
    <col min="9475" max="9475" width="12.28515625" bestFit="1" customWidth="1"/>
    <col min="9476" max="9476" width="9.7109375" bestFit="1" customWidth="1"/>
    <col min="9477" max="9477" width="11.42578125" bestFit="1" customWidth="1"/>
    <col min="9478" max="9478" width="9.7109375" bestFit="1" customWidth="1"/>
    <col min="9479" max="9479" width="11.28515625" bestFit="1" customWidth="1"/>
    <col min="9481" max="9481" width="11.28515625" bestFit="1" customWidth="1"/>
    <col min="9729" max="9729" width="41.28515625" customWidth="1"/>
    <col min="9731" max="9731" width="12.28515625" bestFit="1" customWidth="1"/>
    <col min="9732" max="9732" width="9.7109375" bestFit="1" customWidth="1"/>
    <col min="9733" max="9733" width="11.42578125" bestFit="1" customWidth="1"/>
    <col min="9734" max="9734" width="9.7109375" bestFit="1" customWidth="1"/>
    <col min="9735" max="9735" width="11.28515625" bestFit="1" customWidth="1"/>
    <col min="9737" max="9737" width="11.28515625" bestFit="1" customWidth="1"/>
    <col min="9985" max="9985" width="41.28515625" customWidth="1"/>
    <col min="9987" max="9987" width="12.28515625" bestFit="1" customWidth="1"/>
    <col min="9988" max="9988" width="9.7109375" bestFit="1" customWidth="1"/>
    <col min="9989" max="9989" width="11.42578125" bestFit="1" customWidth="1"/>
    <col min="9990" max="9990" width="9.7109375" bestFit="1" customWidth="1"/>
    <col min="9991" max="9991" width="11.28515625" bestFit="1" customWidth="1"/>
    <col min="9993" max="9993" width="11.28515625" bestFit="1" customWidth="1"/>
    <col min="10241" max="10241" width="41.28515625" customWidth="1"/>
    <col min="10243" max="10243" width="12.28515625" bestFit="1" customWidth="1"/>
    <col min="10244" max="10244" width="9.7109375" bestFit="1" customWidth="1"/>
    <col min="10245" max="10245" width="11.42578125" bestFit="1" customWidth="1"/>
    <col min="10246" max="10246" width="9.7109375" bestFit="1" customWidth="1"/>
    <col min="10247" max="10247" width="11.28515625" bestFit="1" customWidth="1"/>
    <col min="10249" max="10249" width="11.28515625" bestFit="1" customWidth="1"/>
    <col min="10497" max="10497" width="41.28515625" customWidth="1"/>
    <col min="10499" max="10499" width="12.28515625" bestFit="1" customWidth="1"/>
    <col min="10500" max="10500" width="9.7109375" bestFit="1" customWidth="1"/>
    <col min="10501" max="10501" width="11.42578125" bestFit="1" customWidth="1"/>
    <col min="10502" max="10502" width="9.7109375" bestFit="1" customWidth="1"/>
    <col min="10503" max="10503" width="11.28515625" bestFit="1" customWidth="1"/>
    <col min="10505" max="10505" width="11.28515625" bestFit="1" customWidth="1"/>
    <col min="10753" max="10753" width="41.28515625" customWidth="1"/>
    <col min="10755" max="10755" width="12.28515625" bestFit="1" customWidth="1"/>
    <col min="10756" max="10756" width="9.7109375" bestFit="1" customWidth="1"/>
    <col min="10757" max="10757" width="11.42578125" bestFit="1" customWidth="1"/>
    <col min="10758" max="10758" width="9.7109375" bestFit="1" customWidth="1"/>
    <col min="10759" max="10759" width="11.28515625" bestFit="1" customWidth="1"/>
    <col min="10761" max="10761" width="11.28515625" bestFit="1" customWidth="1"/>
    <col min="11009" max="11009" width="41.28515625" customWidth="1"/>
    <col min="11011" max="11011" width="12.28515625" bestFit="1" customWidth="1"/>
    <col min="11012" max="11012" width="9.7109375" bestFit="1" customWidth="1"/>
    <col min="11013" max="11013" width="11.42578125" bestFit="1" customWidth="1"/>
    <col min="11014" max="11014" width="9.7109375" bestFit="1" customWidth="1"/>
    <col min="11015" max="11015" width="11.28515625" bestFit="1" customWidth="1"/>
    <col min="11017" max="11017" width="11.28515625" bestFit="1" customWidth="1"/>
    <col min="11265" max="11265" width="41.28515625" customWidth="1"/>
    <col min="11267" max="11267" width="12.28515625" bestFit="1" customWidth="1"/>
    <col min="11268" max="11268" width="9.7109375" bestFit="1" customWidth="1"/>
    <col min="11269" max="11269" width="11.42578125" bestFit="1" customWidth="1"/>
    <col min="11270" max="11270" width="9.7109375" bestFit="1" customWidth="1"/>
    <col min="11271" max="11271" width="11.28515625" bestFit="1" customWidth="1"/>
    <col min="11273" max="11273" width="11.28515625" bestFit="1" customWidth="1"/>
    <col min="11521" max="11521" width="41.28515625" customWidth="1"/>
    <col min="11523" max="11523" width="12.28515625" bestFit="1" customWidth="1"/>
    <col min="11524" max="11524" width="9.7109375" bestFit="1" customWidth="1"/>
    <col min="11525" max="11525" width="11.42578125" bestFit="1" customWidth="1"/>
    <col min="11526" max="11526" width="9.7109375" bestFit="1" customWidth="1"/>
    <col min="11527" max="11527" width="11.28515625" bestFit="1" customWidth="1"/>
    <col min="11529" max="11529" width="11.28515625" bestFit="1" customWidth="1"/>
    <col min="11777" max="11777" width="41.28515625" customWidth="1"/>
    <col min="11779" max="11779" width="12.28515625" bestFit="1" customWidth="1"/>
    <col min="11780" max="11780" width="9.7109375" bestFit="1" customWidth="1"/>
    <col min="11781" max="11781" width="11.42578125" bestFit="1" customWidth="1"/>
    <col min="11782" max="11782" width="9.7109375" bestFit="1" customWidth="1"/>
    <col min="11783" max="11783" width="11.28515625" bestFit="1" customWidth="1"/>
    <col min="11785" max="11785" width="11.28515625" bestFit="1" customWidth="1"/>
    <col min="12033" max="12033" width="41.28515625" customWidth="1"/>
    <col min="12035" max="12035" width="12.28515625" bestFit="1" customWidth="1"/>
    <col min="12036" max="12036" width="9.7109375" bestFit="1" customWidth="1"/>
    <col min="12037" max="12037" width="11.42578125" bestFit="1" customWidth="1"/>
    <col min="12038" max="12038" width="9.7109375" bestFit="1" customWidth="1"/>
    <col min="12039" max="12039" width="11.28515625" bestFit="1" customWidth="1"/>
    <col min="12041" max="12041" width="11.28515625" bestFit="1" customWidth="1"/>
    <col min="12289" max="12289" width="41.28515625" customWidth="1"/>
    <col min="12291" max="12291" width="12.28515625" bestFit="1" customWidth="1"/>
    <col min="12292" max="12292" width="9.7109375" bestFit="1" customWidth="1"/>
    <col min="12293" max="12293" width="11.42578125" bestFit="1" customWidth="1"/>
    <col min="12294" max="12294" width="9.7109375" bestFit="1" customWidth="1"/>
    <col min="12295" max="12295" width="11.28515625" bestFit="1" customWidth="1"/>
    <col min="12297" max="12297" width="11.28515625" bestFit="1" customWidth="1"/>
    <col min="12545" max="12545" width="41.28515625" customWidth="1"/>
    <col min="12547" max="12547" width="12.28515625" bestFit="1" customWidth="1"/>
    <col min="12548" max="12548" width="9.7109375" bestFit="1" customWidth="1"/>
    <col min="12549" max="12549" width="11.42578125" bestFit="1" customWidth="1"/>
    <col min="12550" max="12550" width="9.7109375" bestFit="1" customWidth="1"/>
    <col min="12551" max="12551" width="11.28515625" bestFit="1" customWidth="1"/>
    <col min="12553" max="12553" width="11.28515625" bestFit="1" customWidth="1"/>
    <col min="12801" max="12801" width="41.28515625" customWidth="1"/>
    <col min="12803" max="12803" width="12.28515625" bestFit="1" customWidth="1"/>
    <col min="12804" max="12804" width="9.7109375" bestFit="1" customWidth="1"/>
    <col min="12805" max="12805" width="11.42578125" bestFit="1" customWidth="1"/>
    <col min="12806" max="12806" width="9.7109375" bestFit="1" customWidth="1"/>
    <col min="12807" max="12807" width="11.28515625" bestFit="1" customWidth="1"/>
    <col min="12809" max="12809" width="11.28515625" bestFit="1" customWidth="1"/>
    <col min="13057" max="13057" width="41.28515625" customWidth="1"/>
    <col min="13059" max="13059" width="12.28515625" bestFit="1" customWidth="1"/>
    <col min="13060" max="13060" width="9.7109375" bestFit="1" customWidth="1"/>
    <col min="13061" max="13061" width="11.42578125" bestFit="1" customWidth="1"/>
    <col min="13062" max="13062" width="9.7109375" bestFit="1" customWidth="1"/>
    <col min="13063" max="13063" width="11.28515625" bestFit="1" customWidth="1"/>
    <col min="13065" max="13065" width="11.28515625" bestFit="1" customWidth="1"/>
    <col min="13313" max="13313" width="41.28515625" customWidth="1"/>
    <col min="13315" max="13315" width="12.28515625" bestFit="1" customWidth="1"/>
    <col min="13316" max="13316" width="9.7109375" bestFit="1" customWidth="1"/>
    <col min="13317" max="13317" width="11.42578125" bestFit="1" customWidth="1"/>
    <col min="13318" max="13318" width="9.7109375" bestFit="1" customWidth="1"/>
    <col min="13319" max="13319" width="11.28515625" bestFit="1" customWidth="1"/>
    <col min="13321" max="13321" width="11.28515625" bestFit="1" customWidth="1"/>
    <col min="13569" max="13569" width="41.28515625" customWidth="1"/>
    <col min="13571" max="13571" width="12.28515625" bestFit="1" customWidth="1"/>
    <col min="13572" max="13572" width="9.7109375" bestFit="1" customWidth="1"/>
    <col min="13573" max="13573" width="11.42578125" bestFit="1" customWidth="1"/>
    <col min="13574" max="13574" width="9.7109375" bestFit="1" customWidth="1"/>
    <col min="13575" max="13575" width="11.28515625" bestFit="1" customWidth="1"/>
    <col min="13577" max="13577" width="11.28515625" bestFit="1" customWidth="1"/>
    <col min="13825" max="13825" width="41.28515625" customWidth="1"/>
    <col min="13827" max="13827" width="12.28515625" bestFit="1" customWidth="1"/>
    <col min="13828" max="13828" width="9.7109375" bestFit="1" customWidth="1"/>
    <col min="13829" max="13829" width="11.42578125" bestFit="1" customWidth="1"/>
    <col min="13830" max="13830" width="9.7109375" bestFit="1" customWidth="1"/>
    <col min="13831" max="13831" width="11.28515625" bestFit="1" customWidth="1"/>
    <col min="13833" max="13833" width="11.28515625" bestFit="1" customWidth="1"/>
    <col min="14081" max="14081" width="41.28515625" customWidth="1"/>
    <col min="14083" max="14083" width="12.28515625" bestFit="1" customWidth="1"/>
    <col min="14084" max="14084" width="9.7109375" bestFit="1" customWidth="1"/>
    <col min="14085" max="14085" width="11.42578125" bestFit="1" customWidth="1"/>
    <col min="14086" max="14086" width="9.7109375" bestFit="1" customWidth="1"/>
    <col min="14087" max="14087" width="11.28515625" bestFit="1" customWidth="1"/>
    <col min="14089" max="14089" width="11.28515625" bestFit="1" customWidth="1"/>
    <col min="14337" max="14337" width="41.28515625" customWidth="1"/>
    <col min="14339" max="14339" width="12.28515625" bestFit="1" customWidth="1"/>
    <col min="14340" max="14340" width="9.7109375" bestFit="1" customWidth="1"/>
    <col min="14341" max="14341" width="11.42578125" bestFit="1" customWidth="1"/>
    <col min="14342" max="14342" width="9.7109375" bestFit="1" customWidth="1"/>
    <col min="14343" max="14343" width="11.28515625" bestFit="1" customWidth="1"/>
    <col min="14345" max="14345" width="11.28515625" bestFit="1" customWidth="1"/>
    <col min="14593" max="14593" width="41.28515625" customWidth="1"/>
    <col min="14595" max="14595" width="12.28515625" bestFit="1" customWidth="1"/>
    <col min="14596" max="14596" width="9.7109375" bestFit="1" customWidth="1"/>
    <col min="14597" max="14597" width="11.42578125" bestFit="1" customWidth="1"/>
    <col min="14598" max="14598" width="9.7109375" bestFit="1" customWidth="1"/>
    <col min="14599" max="14599" width="11.28515625" bestFit="1" customWidth="1"/>
    <col min="14601" max="14601" width="11.28515625" bestFit="1" customWidth="1"/>
    <col min="14849" max="14849" width="41.28515625" customWidth="1"/>
    <col min="14851" max="14851" width="12.28515625" bestFit="1" customWidth="1"/>
    <col min="14852" max="14852" width="9.7109375" bestFit="1" customWidth="1"/>
    <col min="14853" max="14853" width="11.42578125" bestFit="1" customWidth="1"/>
    <col min="14854" max="14854" width="9.7109375" bestFit="1" customWidth="1"/>
    <col min="14855" max="14855" width="11.28515625" bestFit="1" customWidth="1"/>
    <col min="14857" max="14857" width="11.28515625" bestFit="1" customWidth="1"/>
    <col min="15105" max="15105" width="41.28515625" customWidth="1"/>
    <col min="15107" max="15107" width="12.28515625" bestFit="1" customWidth="1"/>
    <col min="15108" max="15108" width="9.7109375" bestFit="1" customWidth="1"/>
    <col min="15109" max="15109" width="11.42578125" bestFit="1" customWidth="1"/>
    <col min="15110" max="15110" width="9.7109375" bestFit="1" customWidth="1"/>
    <col min="15111" max="15111" width="11.28515625" bestFit="1" customWidth="1"/>
    <col min="15113" max="15113" width="11.28515625" bestFit="1" customWidth="1"/>
    <col min="15361" max="15361" width="41.28515625" customWidth="1"/>
    <col min="15363" max="15363" width="12.28515625" bestFit="1" customWidth="1"/>
    <col min="15364" max="15364" width="9.7109375" bestFit="1" customWidth="1"/>
    <col min="15365" max="15365" width="11.42578125" bestFit="1" customWidth="1"/>
    <col min="15366" max="15366" width="9.7109375" bestFit="1" customWidth="1"/>
    <col min="15367" max="15367" width="11.28515625" bestFit="1" customWidth="1"/>
    <col min="15369" max="15369" width="11.28515625" bestFit="1" customWidth="1"/>
    <col min="15617" max="15617" width="41.28515625" customWidth="1"/>
    <col min="15619" max="15619" width="12.28515625" bestFit="1" customWidth="1"/>
    <col min="15620" max="15620" width="9.7109375" bestFit="1" customWidth="1"/>
    <col min="15621" max="15621" width="11.42578125" bestFit="1" customWidth="1"/>
    <col min="15622" max="15622" width="9.7109375" bestFit="1" customWidth="1"/>
    <col min="15623" max="15623" width="11.28515625" bestFit="1" customWidth="1"/>
    <col min="15625" max="15625" width="11.28515625" bestFit="1" customWidth="1"/>
    <col min="15873" max="15873" width="41.28515625" customWidth="1"/>
    <col min="15875" max="15875" width="12.28515625" bestFit="1" customWidth="1"/>
    <col min="15876" max="15876" width="9.7109375" bestFit="1" customWidth="1"/>
    <col min="15877" max="15877" width="11.42578125" bestFit="1" customWidth="1"/>
    <col min="15878" max="15878" width="9.7109375" bestFit="1" customWidth="1"/>
    <col min="15879" max="15879" width="11.28515625" bestFit="1" customWidth="1"/>
    <col min="15881" max="15881" width="11.28515625" bestFit="1" customWidth="1"/>
    <col min="16129" max="16129" width="41.28515625" customWidth="1"/>
    <col min="16131" max="16131" width="12.28515625" bestFit="1" customWidth="1"/>
    <col min="16132" max="16132" width="9.7109375" bestFit="1" customWidth="1"/>
    <col min="16133" max="16133" width="11.42578125" bestFit="1" customWidth="1"/>
    <col min="16134" max="16134" width="9.7109375" bestFit="1" customWidth="1"/>
    <col min="16135" max="16135" width="11.28515625" bestFit="1" customWidth="1"/>
    <col min="16137" max="16137" width="11.28515625" bestFit="1" customWidth="1"/>
  </cols>
  <sheetData>
    <row r="1" spans="1:9">
      <c r="A1" s="214" t="s">
        <v>307</v>
      </c>
      <c r="E1" s="51" t="str">
        <f>Assumptions!$B$12</f>
        <v>Internal</v>
      </c>
    </row>
    <row r="2" spans="1:9">
      <c r="A2" s="50" t="str">
        <f>Assumptions!B10</f>
        <v>City of Manteca</v>
      </c>
      <c r="E2" s="52" t="str">
        <f>Assumptions!$B$13</f>
        <v>Working Draft - v1</v>
      </c>
    </row>
    <row r="3" spans="1:9">
      <c r="A3" s="50" t="str">
        <f>Assumptions!B18</f>
        <v>PFF Sewer Collection Fee</v>
      </c>
      <c r="E3" s="53">
        <f>Assumptions!$B$14</f>
        <v>41075</v>
      </c>
    </row>
    <row r="4" spans="1:9">
      <c r="A4" s="214" t="s">
        <v>308</v>
      </c>
    </row>
    <row r="6" spans="1:9">
      <c r="C6" s="4"/>
      <c r="D6" s="4"/>
      <c r="E6" s="4" t="s">
        <v>48</v>
      </c>
    </row>
    <row r="7" spans="1:9">
      <c r="C7" s="4" t="s">
        <v>263</v>
      </c>
      <c r="D7" s="185" t="s">
        <v>264</v>
      </c>
      <c r="E7" s="4" t="s">
        <v>265</v>
      </c>
      <c r="F7" s="186"/>
      <c r="G7" s="186"/>
      <c r="H7" s="186"/>
    </row>
    <row r="8" spans="1:9">
      <c r="A8" s="5" t="s">
        <v>7</v>
      </c>
      <c r="C8" s="6" t="s">
        <v>5</v>
      </c>
      <c r="D8" s="187" t="s">
        <v>266</v>
      </c>
      <c r="E8" s="6" t="s">
        <v>5</v>
      </c>
      <c r="F8" s="185"/>
      <c r="G8" s="185"/>
      <c r="H8" s="186"/>
    </row>
    <row r="9" spans="1:9">
      <c r="D9" s="186"/>
      <c r="F9" s="186"/>
      <c r="G9" s="186"/>
      <c r="H9" s="186"/>
    </row>
    <row r="10" spans="1:9">
      <c r="A10" t="s">
        <v>267</v>
      </c>
      <c r="C10" s="188">
        <f>73800*4</f>
        <v>295200</v>
      </c>
      <c r="D10" s="189">
        <v>15</v>
      </c>
      <c r="E10" s="188">
        <f>C10*D10</f>
        <v>4428000</v>
      </c>
      <c r="F10" s="190"/>
      <c r="G10" s="190"/>
      <c r="H10" s="186"/>
      <c r="I10" s="191"/>
    </row>
    <row r="11" spans="1:9">
      <c r="A11" t="s">
        <v>268</v>
      </c>
      <c r="C11" s="188">
        <v>48000</v>
      </c>
      <c r="D11" s="189">
        <f>D10</f>
        <v>15</v>
      </c>
      <c r="E11" s="188">
        <f>C11*D11</f>
        <v>720000</v>
      </c>
      <c r="F11" s="190"/>
      <c r="G11" s="190"/>
      <c r="H11" s="186"/>
      <c r="I11" s="191"/>
    </row>
    <row r="12" spans="1:9">
      <c r="C12" s="192"/>
      <c r="D12" s="189"/>
      <c r="E12" s="192"/>
      <c r="F12" s="190"/>
      <c r="G12" s="190"/>
      <c r="H12" s="186"/>
      <c r="I12" s="191"/>
    </row>
    <row r="13" spans="1:9">
      <c r="A13" t="s">
        <v>269</v>
      </c>
      <c r="C13" s="193">
        <f>SUM(C9:C12)</f>
        <v>343200</v>
      </c>
      <c r="D13" s="194"/>
      <c r="E13" s="193">
        <f>SUM(E9:E12)</f>
        <v>5148000</v>
      </c>
      <c r="F13" s="195"/>
      <c r="G13" s="195"/>
      <c r="H13" s="186"/>
      <c r="I13" s="191"/>
    </row>
    <row r="14" spans="1:9">
      <c r="C14" s="196"/>
      <c r="D14" s="194"/>
      <c r="E14" s="193"/>
      <c r="F14" s="195"/>
      <c r="G14" s="186"/>
      <c r="H14" s="186"/>
      <c r="I14" s="191"/>
    </row>
    <row r="15" spans="1:9">
      <c r="A15" t="s">
        <v>270</v>
      </c>
      <c r="B15" s="197">
        <v>0.25</v>
      </c>
      <c r="C15" s="196"/>
      <c r="D15" s="195"/>
      <c r="E15" s="193">
        <f>B15*$E$13</f>
        <v>1287000</v>
      </c>
      <c r="F15" s="195"/>
      <c r="G15" s="190"/>
      <c r="H15" s="186"/>
      <c r="I15" s="191"/>
    </row>
    <row r="16" spans="1:9">
      <c r="A16" t="s">
        <v>271</v>
      </c>
      <c r="B16" s="197">
        <v>0.25</v>
      </c>
      <c r="C16" s="196"/>
      <c r="D16" s="195"/>
      <c r="E16" s="193">
        <f>B16*$E$13</f>
        <v>1287000</v>
      </c>
      <c r="F16" s="195"/>
      <c r="G16" s="190"/>
      <c r="H16" s="186"/>
      <c r="I16" s="191"/>
    </row>
    <row r="17" spans="1:9">
      <c r="A17" t="s">
        <v>272</v>
      </c>
      <c r="B17" s="197">
        <v>0.25</v>
      </c>
      <c r="C17" s="196"/>
      <c r="D17" s="195"/>
      <c r="E17" s="193">
        <f>B17*$E$13</f>
        <v>1287000</v>
      </c>
      <c r="F17" s="195"/>
      <c r="G17" s="190"/>
      <c r="H17" s="186"/>
      <c r="I17" s="191"/>
    </row>
    <row r="18" spans="1:9">
      <c r="A18" t="s">
        <v>273</v>
      </c>
      <c r="B18" s="197">
        <v>0.25</v>
      </c>
      <c r="C18" s="196"/>
      <c r="D18" s="195"/>
      <c r="E18" s="193">
        <f>B18*$E$13</f>
        <v>1287000</v>
      </c>
      <c r="F18" s="195"/>
      <c r="G18" s="190"/>
      <c r="H18" s="186"/>
      <c r="I18" s="191"/>
    </row>
    <row r="19" spans="1:9">
      <c r="C19" s="196"/>
      <c r="D19" s="186"/>
      <c r="E19" s="198"/>
      <c r="F19" s="186"/>
      <c r="G19" s="186"/>
      <c r="H19" s="186"/>
      <c r="I19" s="191"/>
    </row>
    <row r="20" spans="1:9">
      <c r="C20" s="196"/>
      <c r="D20" s="186"/>
      <c r="E20" s="193"/>
      <c r="F20" s="186"/>
      <c r="G20" s="186"/>
      <c r="H20" s="186"/>
      <c r="I20" s="191"/>
    </row>
    <row r="21" spans="1:9">
      <c r="A21" t="s">
        <v>274</v>
      </c>
      <c r="C21" s="196"/>
      <c r="D21" s="195"/>
      <c r="E21" s="193">
        <f>SUM(E15:E19)</f>
        <v>5148000</v>
      </c>
      <c r="F21" s="195"/>
      <c r="G21" s="195"/>
      <c r="H21" s="186"/>
      <c r="I21" s="191"/>
    </row>
    <row r="22" spans="1:9">
      <c r="C22" s="196"/>
      <c r="D22" s="186"/>
      <c r="E22" s="193"/>
      <c r="F22" s="186"/>
      <c r="G22" s="186"/>
      <c r="H22" s="186"/>
      <c r="I22" s="191"/>
    </row>
    <row r="23" spans="1:9">
      <c r="C23" s="188"/>
      <c r="D23" s="190"/>
      <c r="E23" s="190"/>
      <c r="F23" s="190"/>
      <c r="G23" s="190"/>
      <c r="H23" s="186"/>
      <c r="I23" s="191"/>
    </row>
    <row r="24" spans="1:9">
      <c r="A24" t="s">
        <v>12</v>
      </c>
      <c r="C24" s="188"/>
      <c r="D24" s="199"/>
      <c r="E24" s="199"/>
      <c r="F24" s="199"/>
      <c r="G24" s="199"/>
      <c r="H24" s="200"/>
      <c r="I24" s="191"/>
    </row>
    <row r="25" spans="1:9">
      <c r="A25" t="s">
        <v>275</v>
      </c>
      <c r="C25" s="193"/>
    </row>
    <row r="26" spans="1:9">
      <c r="A26" t="s">
        <v>276</v>
      </c>
      <c r="C26" s="193"/>
    </row>
    <row r="27" spans="1:9">
      <c r="C27" s="201"/>
    </row>
  </sheetData>
  <printOptions horizontalCentered="1" verticalCentered="1"/>
  <pageMargins left="0.5" right="0.5" top="1" bottom="1" header="0.5" footer="0.5"/>
  <pageSetup orientation="portrait" r:id="rId1"/>
  <headerFooter alignWithMargins="0">
    <oddFooter>&amp;L&amp;8&amp;F  (&amp;A)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="65" workbookViewId="0">
      <selection activeCell="D115" sqref="D115"/>
    </sheetView>
  </sheetViews>
  <sheetFormatPr defaultColWidth="11.42578125" defaultRowHeight="15.75"/>
  <cols>
    <col min="1" max="1" width="51.5703125" style="130" bestFit="1" customWidth="1"/>
    <col min="2" max="2" width="17.28515625" style="130" bestFit="1" customWidth="1"/>
    <col min="3" max="3" width="14.28515625" style="130" customWidth="1"/>
    <col min="4" max="4" width="17.5703125" style="130" bestFit="1" customWidth="1"/>
    <col min="5" max="5" width="11.42578125" style="130" customWidth="1"/>
    <col min="6" max="6" width="13.28515625" style="130" customWidth="1"/>
    <col min="7" max="8" width="11.42578125" style="130" customWidth="1"/>
    <col min="9" max="9" width="48.7109375" style="130" customWidth="1"/>
    <col min="10" max="11" width="11.42578125" style="130" customWidth="1"/>
    <col min="12" max="12" width="16.5703125" style="130" bestFit="1" customWidth="1"/>
    <col min="13" max="13" width="11.42578125" style="130" customWidth="1"/>
    <col min="14" max="14" width="30.42578125" style="130" bestFit="1" customWidth="1"/>
    <col min="15" max="16384" width="11.42578125" style="130"/>
  </cols>
  <sheetData>
    <row r="1" spans="1:7">
      <c r="A1" s="214" t="s">
        <v>426</v>
      </c>
      <c r="B1" s="51" t="str">
        <f>Assumptions!$B$12</f>
        <v>Internal</v>
      </c>
      <c r="C1"/>
      <c r="D1"/>
      <c r="G1" s="131" t="s">
        <v>169</v>
      </c>
    </row>
    <row r="2" spans="1:7">
      <c r="A2" s="50" t="str">
        <f>Assumptions!B10</f>
        <v>City of Manteca</v>
      </c>
      <c r="B2" s="52" t="str">
        <f>Assumptions!$B$13</f>
        <v>Working Draft - v1</v>
      </c>
      <c r="C2"/>
      <c r="D2"/>
      <c r="G2" s="131"/>
    </row>
    <row r="3" spans="1:7">
      <c r="A3" s="50" t="str">
        <f>Assumptions!B18</f>
        <v>PFF Sewer Collection Fee</v>
      </c>
      <c r="B3" s="53">
        <f>Assumptions!$B$14</f>
        <v>41075</v>
      </c>
      <c r="C3"/>
      <c r="D3"/>
      <c r="G3" s="131"/>
    </row>
    <row r="4" spans="1:7">
      <c r="A4" s="214" t="s">
        <v>427</v>
      </c>
      <c r="B4"/>
      <c r="C4"/>
      <c r="D4"/>
      <c r="E4"/>
      <c r="G4" s="131"/>
    </row>
    <row r="5" spans="1:7">
      <c r="D5" s="132"/>
      <c r="G5" s="131"/>
    </row>
    <row r="6" spans="1:7">
      <c r="G6" s="131"/>
    </row>
    <row r="7" spans="1:7">
      <c r="A7" s="133"/>
      <c r="G7" s="131"/>
    </row>
    <row r="8" spans="1:7">
      <c r="A8" s="134"/>
      <c r="G8" s="131"/>
    </row>
    <row r="9" spans="1:7">
      <c r="G9" s="131"/>
    </row>
    <row r="10" spans="1:7">
      <c r="B10" s="135"/>
      <c r="G10" s="131"/>
    </row>
    <row r="11" spans="1:7">
      <c r="D11" s="136"/>
      <c r="E11" s="136"/>
      <c r="F11" s="136"/>
      <c r="G11" s="131"/>
    </row>
    <row r="12" spans="1:7">
      <c r="A12" s="218" t="s">
        <v>7</v>
      </c>
      <c r="B12" s="219" t="s">
        <v>170</v>
      </c>
      <c r="D12" s="136"/>
      <c r="E12" s="136"/>
      <c r="F12" s="136"/>
      <c r="G12" s="131"/>
    </row>
    <row r="13" spans="1:7">
      <c r="A13" s="220"/>
      <c r="B13" s="220"/>
      <c r="C13" s="139"/>
      <c r="D13" s="140"/>
      <c r="E13" s="140"/>
      <c r="F13" s="136"/>
      <c r="G13" s="131"/>
    </row>
    <row r="14" spans="1:7">
      <c r="A14" s="221" t="s">
        <v>318</v>
      </c>
      <c r="B14" s="222">
        <v>0.02</v>
      </c>
      <c r="D14" s="136"/>
      <c r="E14" s="136"/>
      <c r="F14" s="136"/>
      <c r="G14" s="131"/>
    </row>
    <row r="15" spans="1:7">
      <c r="A15" s="221" t="s">
        <v>316</v>
      </c>
      <c r="B15" s="223">
        <v>30</v>
      </c>
      <c r="G15" s="131"/>
    </row>
    <row r="16" spans="1:7">
      <c r="A16" s="221" t="s">
        <v>317</v>
      </c>
      <c r="B16" s="223">
        <v>1</v>
      </c>
      <c r="G16" s="131"/>
    </row>
    <row r="17" spans="1:7">
      <c r="A17" s="221" t="s">
        <v>319</v>
      </c>
      <c r="B17" s="224">
        <f>(PMT(B14/B16,B15*B16,-1000))*B16</f>
        <v>44.649922293402959</v>
      </c>
      <c r="C17" s="142"/>
      <c r="D17" s="142"/>
      <c r="E17" s="142"/>
      <c r="F17" s="142"/>
      <c r="G17" s="131"/>
    </row>
    <row r="18" spans="1:7">
      <c r="A18" s="221" t="s">
        <v>171</v>
      </c>
      <c r="B18" s="224">
        <f>(-PMT(B14/B16,B15*B16,B37,0))*B16</f>
        <v>212814.15442103354</v>
      </c>
      <c r="C18" s="142"/>
      <c r="D18" s="142"/>
      <c r="E18" s="142"/>
      <c r="F18" s="142"/>
      <c r="G18" s="131"/>
    </row>
    <row r="19" spans="1:7">
      <c r="A19" s="221" t="s">
        <v>320</v>
      </c>
      <c r="B19" s="224">
        <f>(B17-((PMT(0/B16,B15*B16,-1000))*B16))</f>
        <v>11.316588960069623</v>
      </c>
      <c r="C19" s="142"/>
      <c r="D19" s="142"/>
      <c r="E19" s="142"/>
      <c r="F19" s="142"/>
      <c r="G19" s="131"/>
    </row>
    <row r="20" spans="1:7">
      <c r="B20" s="142"/>
      <c r="C20" s="142"/>
      <c r="D20" s="142"/>
      <c r="E20" s="142"/>
      <c r="F20" s="142"/>
      <c r="G20" s="131"/>
    </row>
    <row r="21" spans="1:7" hidden="1">
      <c r="A21" s="130" t="s">
        <v>172</v>
      </c>
      <c r="B21" s="142">
        <f>'2. Zone 24 CIP Costs'!E13</f>
        <v>4766282.7501152651</v>
      </c>
      <c r="C21" s="164"/>
      <c r="D21" s="164"/>
      <c r="G21" s="131"/>
    </row>
    <row r="22" spans="1:7" hidden="1">
      <c r="B22" s="144"/>
      <c r="D22" s="217"/>
      <c r="G22" s="131"/>
    </row>
    <row r="23" spans="1:7" hidden="1">
      <c r="A23" s="130" t="s">
        <v>173</v>
      </c>
      <c r="B23" s="142">
        <f>SUM(B21:B21)</f>
        <v>4766282.7501152651</v>
      </c>
      <c r="C23" s="145">
        <f>B23/B35</f>
        <v>1</v>
      </c>
      <c r="G23" s="131"/>
    </row>
    <row r="24" spans="1:7" hidden="1">
      <c r="G24" s="131"/>
    </row>
    <row r="25" spans="1:7" hidden="1">
      <c r="A25" s="130" t="s">
        <v>174</v>
      </c>
      <c r="B25" s="142"/>
      <c r="C25" s="142"/>
      <c r="D25" s="142"/>
      <c r="E25" s="142"/>
      <c r="F25" s="142"/>
      <c r="G25" s="131"/>
    </row>
    <row r="26" spans="1:7" hidden="1">
      <c r="A26" s="130" t="s">
        <v>175</v>
      </c>
      <c r="B26" s="142">
        <f>B63+$B$35*C63</f>
        <v>0</v>
      </c>
      <c r="C26" s="142"/>
      <c r="D26" s="142"/>
      <c r="E26" s="142"/>
      <c r="F26" s="142"/>
      <c r="G26" s="131"/>
    </row>
    <row r="27" spans="1:7" hidden="1">
      <c r="A27" s="130" t="s">
        <v>176</v>
      </c>
      <c r="B27" s="142">
        <f>B64+$B$35*C64</f>
        <v>0</v>
      </c>
      <c r="C27" s="146">
        <f>B27/BOND_AMOUNT</f>
        <v>0</v>
      </c>
      <c r="D27" s="142"/>
      <c r="E27" s="142"/>
      <c r="F27" s="142"/>
      <c r="G27" s="131"/>
    </row>
    <row r="28" spans="1:7" hidden="1">
      <c r="A28" s="143" t="s">
        <v>177</v>
      </c>
      <c r="B28" s="142">
        <f>B65+$B$35*C65</f>
        <v>0</v>
      </c>
      <c r="G28" s="131"/>
    </row>
    <row r="29" spans="1:7" hidden="1">
      <c r="A29" s="130" t="s">
        <v>178</v>
      </c>
      <c r="B29" s="142">
        <f>B66+$B$35*C66</f>
        <v>0</v>
      </c>
      <c r="C29" s="145"/>
      <c r="D29" s="142"/>
      <c r="E29" s="142"/>
      <c r="F29" s="142"/>
      <c r="G29" s="131"/>
    </row>
    <row r="30" spans="1:7" hidden="1">
      <c r="A30" s="130" t="s">
        <v>179</v>
      </c>
      <c r="B30" s="142">
        <f>B67+$B$35*C67</f>
        <v>0</v>
      </c>
      <c r="C30" s="145"/>
      <c r="G30" s="131"/>
    </row>
    <row r="31" spans="1:7" hidden="1">
      <c r="A31" s="130" t="s">
        <v>180</v>
      </c>
      <c r="B31" s="142">
        <f>SUM(B69:B72)+$B$35*SUM(C69:C72)</f>
        <v>0</v>
      </c>
      <c r="C31" s="145"/>
      <c r="G31" s="131"/>
    </row>
    <row r="32" spans="1:7" hidden="1">
      <c r="B32" s="144"/>
      <c r="C32" s="147"/>
      <c r="D32" s="142"/>
      <c r="E32" s="142"/>
      <c r="F32" s="142"/>
      <c r="G32" s="131"/>
    </row>
    <row r="33" spans="1:7" hidden="1">
      <c r="A33" s="130" t="s">
        <v>181</v>
      </c>
      <c r="B33" s="142">
        <f>SUM(B25:B32)</f>
        <v>0</v>
      </c>
      <c r="C33" s="141">
        <f>B33/B35</f>
        <v>0</v>
      </c>
      <c r="G33" s="131"/>
    </row>
    <row r="34" spans="1:7" hidden="1">
      <c r="B34" s="144"/>
      <c r="C34" s="141"/>
      <c r="G34" s="131"/>
    </row>
    <row r="35" spans="1:7" hidden="1">
      <c r="A35" s="142" t="s">
        <v>182</v>
      </c>
      <c r="B35" s="142">
        <f>(+B23+B74)/(1-C74)</f>
        <v>4766282.7501152651</v>
      </c>
      <c r="C35" s="141">
        <f>SUM(C23:C34)</f>
        <v>1</v>
      </c>
      <c r="G35" s="131"/>
    </row>
    <row r="36" spans="1:7" hidden="1">
      <c r="G36" s="131"/>
    </row>
    <row r="37" spans="1:7" hidden="1">
      <c r="A37" s="130" t="s">
        <v>183</v>
      </c>
      <c r="B37" s="142">
        <f>B23+B33</f>
        <v>4766282.7501152651</v>
      </c>
      <c r="D37" s="142"/>
      <c r="E37" s="142"/>
      <c r="F37" s="142"/>
      <c r="G37" s="131"/>
    </row>
    <row r="38" spans="1:7" hidden="1">
      <c r="G38" s="131"/>
    </row>
    <row r="39" spans="1:7" hidden="1">
      <c r="A39" s="130" t="s">
        <v>184</v>
      </c>
      <c r="B39" s="142">
        <f>IF(MOD(B35,5000)&gt;0,TRUNC(B35/5000)*5000+5000,B35)</f>
        <v>4770000</v>
      </c>
      <c r="C39" s="142"/>
      <c r="G39" s="131"/>
    </row>
    <row r="40" spans="1:7" hidden="1">
      <c r="A40" s="139" t="s">
        <v>185</v>
      </c>
      <c r="B40" s="142"/>
      <c r="C40" s="142"/>
      <c r="G40" s="131"/>
    </row>
    <row r="41" spans="1:7" hidden="1">
      <c r="G41" s="131"/>
    </row>
    <row r="42" spans="1:7" hidden="1">
      <c r="A42" s="130" t="s">
        <v>312</v>
      </c>
      <c r="G42" s="131"/>
    </row>
    <row r="43" spans="1:7" hidden="1">
      <c r="G43" s="131"/>
    </row>
    <row r="44" spans="1:7" hidden="1">
      <c r="G44" s="131"/>
    </row>
    <row r="45" spans="1:7" hidden="1">
      <c r="A45" s="130" t="s">
        <v>310</v>
      </c>
      <c r="G45" s="131"/>
    </row>
    <row r="46" spans="1:7" hidden="1">
      <c r="G46" s="131"/>
    </row>
    <row r="47" spans="1:7" hidden="1">
      <c r="A47" s="148"/>
      <c r="G47" s="131"/>
    </row>
    <row r="48" spans="1:7" hidden="1"/>
    <row r="49" spans="1:7" hidden="1">
      <c r="A49" s="137"/>
      <c r="B49" s="137"/>
      <c r="C49" s="137"/>
      <c r="D49" s="137"/>
      <c r="E49" s="137"/>
      <c r="F49" s="137"/>
      <c r="G49" s="137"/>
    </row>
    <row r="50" spans="1:7" hidden="1"/>
    <row r="51" spans="1:7" hidden="1">
      <c r="A51" s="130" t="s">
        <v>186</v>
      </c>
    </row>
    <row r="52" spans="1:7" hidden="1"/>
    <row r="53" spans="1:7" hidden="1">
      <c r="A53" s="130" t="s">
        <v>187</v>
      </c>
    </row>
    <row r="54" spans="1:7" hidden="1"/>
    <row r="55" spans="1:7" hidden="1"/>
    <row r="56" spans="1:7" hidden="1">
      <c r="A56" s="149"/>
    </row>
    <row r="57" spans="1:7" hidden="1">
      <c r="A57" s="150"/>
    </row>
    <row r="58" spans="1:7" hidden="1"/>
    <row r="59" spans="1:7" hidden="1"/>
    <row r="60" spans="1:7" hidden="1">
      <c r="A60" s="151"/>
      <c r="B60" s="151" t="s">
        <v>188</v>
      </c>
      <c r="C60" s="151" t="s">
        <v>189</v>
      </c>
      <c r="D60" s="152"/>
    </row>
    <row r="61" spans="1:7" hidden="1">
      <c r="A61" s="138" t="s">
        <v>190</v>
      </c>
      <c r="B61" s="138" t="s">
        <v>191</v>
      </c>
      <c r="C61" s="138" t="s">
        <v>191</v>
      </c>
      <c r="D61" s="138" t="s">
        <v>192</v>
      </c>
    </row>
    <row r="62" spans="1:7" hidden="1"/>
    <row r="63" spans="1:7" hidden="1">
      <c r="A63" s="130" t="s">
        <v>193</v>
      </c>
      <c r="B63" s="153">
        <v>0</v>
      </c>
      <c r="C63" s="154">
        <v>0</v>
      </c>
      <c r="D63" s="130" t="s">
        <v>194</v>
      </c>
    </row>
    <row r="64" spans="1:7" hidden="1">
      <c r="A64" s="130" t="s">
        <v>195</v>
      </c>
      <c r="B64" s="153">
        <v>0</v>
      </c>
      <c r="C64" s="155">
        <v>0</v>
      </c>
      <c r="D64" s="130" t="s">
        <v>196</v>
      </c>
    </row>
    <row r="65" spans="1:6" hidden="1">
      <c r="A65" s="130" t="s">
        <v>197</v>
      </c>
      <c r="B65" s="153">
        <v>0</v>
      </c>
      <c r="C65" s="155">
        <v>0</v>
      </c>
    </row>
    <row r="66" spans="1:6" hidden="1">
      <c r="A66" s="130" t="s">
        <v>198</v>
      </c>
      <c r="B66" s="156">
        <v>0</v>
      </c>
      <c r="C66" s="155">
        <v>0</v>
      </c>
      <c r="D66" s="130" t="s">
        <v>199</v>
      </c>
    </row>
    <row r="67" spans="1:6" hidden="1">
      <c r="A67" s="130" t="s">
        <v>200</v>
      </c>
      <c r="B67" s="157">
        <v>0</v>
      </c>
      <c r="C67" s="157">
        <v>0</v>
      </c>
    </row>
    <row r="68" spans="1:6" hidden="1">
      <c r="A68" s="130" t="s">
        <v>201</v>
      </c>
      <c r="B68" s="142"/>
      <c r="C68" s="158"/>
    </row>
    <row r="69" spans="1:6" hidden="1">
      <c r="A69" s="130" t="s">
        <v>202</v>
      </c>
      <c r="B69" s="156">
        <v>0</v>
      </c>
      <c r="C69" s="157">
        <v>0</v>
      </c>
    </row>
    <row r="70" spans="1:6" hidden="1">
      <c r="A70" s="130" t="s">
        <v>203</v>
      </c>
      <c r="B70" s="156">
        <v>0</v>
      </c>
      <c r="C70" s="157">
        <v>0</v>
      </c>
    </row>
    <row r="71" spans="1:6" hidden="1">
      <c r="A71" s="130" t="s">
        <v>204</v>
      </c>
      <c r="B71" s="156">
        <v>0</v>
      </c>
      <c r="C71" s="157">
        <v>0</v>
      </c>
    </row>
    <row r="72" spans="1:6" hidden="1">
      <c r="A72" s="130" t="s">
        <v>205</v>
      </c>
      <c r="B72" s="159">
        <f>0.1*(B69+B70+B71)</f>
        <v>0</v>
      </c>
      <c r="C72" s="155">
        <v>0</v>
      </c>
    </row>
    <row r="73" spans="1:6" hidden="1">
      <c r="B73" s="160" t="s">
        <v>206</v>
      </c>
      <c r="C73" s="160" t="s">
        <v>206</v>
      </c>
    </row>
    <row r="74" spans="1:6" hidden="1">
      <c r="B74" s="142">
        <f>SUM(B62:B73)</f>
        <v>0</v>
      </c>
      <c r="C74" s="141">
        <f>SUM(C62:C73)</f>
        <v>0</v>
      </c>
      <c r="F74" s="161"/>
    </row>
    <row r="75" spans="1:6" hidden="1">
      <c r="B75" s="142"/>
      <c r="C75" s="141"/>
      <c r="F75" s="161"/>
    </row>
    <row r="76" spans="1:6" hidden="1">
      <c r="B76" s="142"/>
      <c r="F76" s="162"/>
    </row>
    <row r="77" spans="1:6" hidden="1">
      <c r="A77" s="130" t="s">
        <v>207</v>
      </c>
      <c r="B77" s="142">
        <f>B23</f>
        <v>4766282.7501152651</v>
      </c>
      <c r="C77" s="163">
        <f>B77/$B$80</f>
        <v>1</v>
      </c>
      <c r="F77" s="164"/>
    </row>
    <row r="78" spans="1:6" hidden="1">
      <c r="A78" s="130" t="s">
        <v>208</v>
      </c>
      <c r="B78" s="142">
        <f>FIXED</f>
        <v>0</v>
      </c>
      <c r="C78" s="163">
        <f>B78/$B$80</f>
        <v>0</v>
      </c>
      <c r="F78" s="164"/>
    </row>
    <row r="79" spans="1:6" hidden="1">
      <c r="A79" s="130" t="s">
        <v>209</v>
      </c>
      <c r="B79" s="165">
        <f>C74*B35</f>
        <v>0</v>
      </c>
      <c r="C79" s="166">
        <f>B79/$B$80</f>
        <v>0</v>
      </c>
      <c r="F79" s="162"/>
    </row>
    <row r="80" spans="1:6" hidden="1">
      <c r="A80" s="130" t="s">
        <v>210</v>
      </c>
      <c r="B80" s="162">
        <f>SUM(B77:B79)</f>
        <v>4766282.7501152651</v>
      </c>
      <c r="C80" s="167">
        <f>SUM(C77:C79)</f>
        <v>1</v>
      </c>
    </row>
    <row r="81" spans="1:6" hidden="1">
      <c r="D81" s="164"/>
    </row>
    <row r="82" spans="1:6" hidden="1">
      <c r="D82" s="164"/>
    </row>
    <row r="83" spans="1:6" hidden="1">
      <c r="A83" s="132" t="s">
        <v>12</v>
      </c>
      <c r="D83" s="164"/>
    </row>
    <row r="84" spans="1:6" hidden="1">
      <c r="A84" s="130" t="s">
        <v>211</v>
      </c>
    </row>
    <row r="85" spans="1:6" hidden="1">
      <c r="A85" s="130" t="s">
        <v>212</v>
      </c>
    </row>
    <row r="86" spans="1:6" hidden="1">
      <c r="F86" s="164"/>
    </row>
    <row r="87" spans="1:6" hidden="1">
      <c r="A87" s="152"/>
      <c r="C87" s="168" t="s">
        <v>213</v>
      </c>
      <c r="D87" s="169"/>
    </row>
    <row r="88" spans="1:6" hidden="1">
      <c r="A88" s="151"/>
      <c r="B88" s="131" t="s">
        <v>214</v>
      </c>
      <c r="C88" s="151" t="s">
        <v>188</v>
      </c>
      <c r="D88" s="151" t="s">
        <v>215</v>
      </c>
    </row>
    <row r="89" spans="1:6" hidden="1">
      <c r="A89" s="138" t="s">
        <v>216</v>
      </c>
      <c r="B89" s="170" t="s">
        <v>217</v>
      </c>
      <c r="C89" s="138" t="s">
        <v>191</v>
      </c>
      <c r="D89" s="138" t="s">
        <v>191</v>
      </c>
    </row>
    <row r="90" spans="1:6" hidden="1"/>
    <row r="91" spans="1:6" hidden="1">
      <c r="A91" s="152" t="s">
        <v>218</v>
      </c>
      <c r="B91" s="142">
        <v>15000</v>
      </c>
      <c r="C91" s="142">
        <v>15000</v>
      </c>
      <c r="D91" s="141">
        <v>0</v>
      </c>
    </row>
    <row r="92" spans="1:6" hidden="1">
      <c r="A92" s="152" t="s">
        <v>219</v>
      </c>
      <c r="B92" s="141">
        <v>0.02</v>
      </c>
      <c r="C92" s="142">
        <v>0</v>
      </c>
      <c r="D92" s="141">
        <v>0.02</v>
      </c>
    </row>
    <row r="93" spans="1:6" hidden="1">
      <c r="A93" s="152" t="s">
        <v>220</v>
      </c>
      <c r="B93" s="141">
        <v>0.01</v>
      </c>
      <c r="C93" s="142">
        <v>20000</v>
      </c>
      <c r="D93" s="141">
        <v>0.01</v>
      </c>
    </row>
    <row r="94" spans="1:6" hidden="1">
      <c r="A94" s="152" t="s">
        <v>221</v>
      </c>
      <c r="B94" s="141">
        <v>5.0000000000000001E-3</v>
      </c>
      <c r="C94" s="142">
        <v>70000</v>
      </c>
      <c r="D94" s="141">
        <v>5.0000000000000001E-3</v>
      </c>
    </row>
    <row r="95" spans="1:6" hidden="1"/>
    <row r="96" spans="1:6" hidden="1">
      <c r="A96" s="130" t="s">
        <v>222</v>
      </c>
    </row>
    <row r="97" spans="1:2" hidden="1">
      <c r="A97" s="130" t="s">
        <v>223</v>
      </c>
    </row>
    <row r="98" spans="1:2" hidden="1"/>
    <row r="101" spans="1:2">
      <c r="A101" s="148"/>
      <c r="B101" s="148"/>
    </row>
  </sheetData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QD2UCF5UJE4V-699202894-347</_dlc_DocId>
    <_dlc_DocIdUrl xmlns="7184055b-e5ea-4162-8b19-ace5c644b73a">
      <Url>http://intranet2/pw/_layouts/15/DocIdRedir.aspx?ID=QD2UCF5UJE4V-699202894-347</Url>
      <Description>QD2UCF5UJE4V-699202894-347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2ADC9-4AFE-4A7F-ACB5-37B54A0B5769}"/>
</file>

<file path=customXml/itemProps2.xml><?xml version="1.0" encoding="utf-8"?>
<ds:datastoreItem xmlns:ds="http://schemas.openxmlformats.org/officeDocument/2006/customXml" ds:itemID="{CFD634D5-B059-4744-81E0-7CA8A3F0545A}"/>
</file>

<file path=customXml/itemProps3.xml><?xml version="1.0" encoding="utf-8"?>
<ds:datastoreItem xmlns:ds="http://schemas.openxmlformats.org/officeDocument/2006/customXml" ds:itemID="{984AA70A-0CC0-44B2-85A9-636D8BB0028C}"/>
</file>

<file path=customXml/itemProps4.xml><?xml version="1.0" encoding="utf-8"?>
<ds:datastoreItem xmlns:ds="http://schemas.openxmlformats.org/officeDocument/2006/customXml" ds:itemID="{CB982849-C34F-4699-8244-CCE85817EBA8}"/>
</file>

<file path=customXml/itemProps5.xml><?xml version="1.0" encoding="utf-8"?>
<ds:datastoreItem xmlns:ds="http://schemas.openxmlformats.org/officeDocument/2006/customXml" ds:itemID="{4C295B66-C70E-4E48-82C8-DB37987437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Assumptions</vt:lpstr>
      <vt:lpstr>1. Wastewater Fee Calc Sum</vt:lpstr>
      <vt:lpstr>2. CIP From Master Plan</vt:lpstr>
      <vt:lpstr>2. Zone 24 CIP Costs</vt:lpstr>
      <vt:lpstr>3. Fund Balance Sewer</vt:lpstr>
      <vt:lpstr>DEBT_SERVICE_V</vt:lpstr>
      <vt:lpstr>4. Und Land Sewer Zones</vt:lpstr>
      <vt:lpstr>5. City Admin Costs</vt:lpstr>
      <vt:lpstr>6. Financing Assumptions</vt:lpstr>
      <vt:lpstr>7. PFF Update Costs</vt:lpstr>
      <vt:lpstr>Fund Alloc</vt:lpstr>
      <vt:lpstr>_FIN_ASSUM_03</vt:lpstr>
      <vt:lpstr>_ISSUANCE_COST</vt:lpstr>
      <vt:lpstr>BOND_AMOUNT</vt:lpstr>
      <vt:lpstr>FIXED</vt:lpstr>
      <vt:lpstr>P_FINANCE_ASSUM</vt:lpstr>
      <vt:lpstr>VARIABLE</vt:lpstr>
    </vt:vector>
  </TitlesOfParts>
  <Company>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BT</dc:creator>
  <cp:lastModifiedBy>Govea, Phil</cp:lastModifiedBy>
  <cp:lastPrinted>2012-01-03T02:31:49Z</cp:lastPrinted>
  <dcterms:created xsi:type="dcterms:W3CDTF">2012-01-03T01:48:06Z</dcterms:created>
  <dcterms:modified xsi:type="dcterms:W3CDTF">2012-06-20T16:58:26Z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73356252-d446-48b1-bb1d-75694747f37d</vt:lpwstr>
  </property>
  <property fmtid="{D5CDD505-2E9C-101B-9397-08002B2CF9AE}" pid="4" name="Order">
    <vt:r8>5000</vt:r8>
  </property>
  <property fmtid="{D5CDD505-2E9C-101B-9397-08002B2CF9AE}" pid="5" name="TemplateUrl">
    <vt:lpwstr/>
  </property>
  <property fmtid="{D5CDD505-2E9C-101B-9397-08002B2CF9AE}" pid="6" name="_dlc_DocId">
    <vt:lpwstr>DS6S4WKU732Q-3-50</vt:lpwstr>
  </property>
  <property fmtid="{D5CDD505-2E9C-101B-9397-08002B2CF9AE}" pid="7" name="_dlc_DocIdUrl">
    <vt:lpwstr>http://intranet:12013/_layouts/DocIdRedir.aspx?ID=DS6S4WKU732Q-3-50, DS6S4WKU732Q-3-50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dlc_DocIdPersistId">
    <vt:bool>false</vt:bool>
  </property>
</Properties>
</file>