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xl/connections.xml" ContentType="application/vnd.openxmlformats-officedocument.spreadsheetml.connections+xml"/>
  <Override PartName="/xl/queryTables/queryTable1.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finance/Proformas/Engineering and Public Works/"/>
    </mc:Choice>
  </mc:AlternateContent>
  <bookViews>
    <workbookView xWindow="0" yWindow="0" windowWidth="2160" windowHeight="0"/>
  </bookViews>
  <sheets>
    <sheet name="Current Working" sheetId="5" r:id="rId1"/>
    <sheet name="Expenses" sheetId="4" r:id="rId2"/>
    <sheet name="Revenues" sheetId="3" r:id="rId3"/>
    <sheet name="Balance Sheet" sheetId="2" r:id="rId4"/>
    <sheet name="Budget Upload" sheetId="6" r:id="rId5"/>
    <sheet name=" Gas Tax  FY17 and prior" sheetId="1" r:id="rId6"/>
  </sheets>
  <externalReferences>
    <externalReference r:id="rId7"/>
    <externalReference r:id="rId8"/>
    <externalReference r:id="rId9"/>
  </externalReferences>
  <definedNames>
    <definedName name="_xlnm._FilterDatabase" localSheetId="1" hidden="1">Expenses!$A$2:$BJ$349</definedName>
    <definedName name="_xlnm.Print_Area" localSheetId="0">'Current Working'!$B$1:$BJ$44</definedName>
    <definedName name="qsysprt" localSheetId="3">'Balance Sheet'!$B$1:$N$24</definedName>
  </definedNames>
  <calcPr calcId="162913"/>
</workbook>
</file>

<file path=xl/calcChain.xml><?xml version="1.0" encoding="utf-8"?>
<calcChain xmlns="http://schemas.openxmlformats.org/spreadsheetml/2006/main">
  <c r="L8" i="5" l="1"/>
  <c r="AK46" i="4" l="1"/>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3" i="4"/>
  <c r="AK4" i="3"/>
  <c r="AK5" i="3"/>
  <c r="AK6" i="3"/>
  <c r="AK7" i="3"/>
  <c r="AK8" i="3"/>
  <c r="AK9" i="3"/>
  <c r="AK10" i="3"/>
  <c r="AK11" i="3"/>
  <c r="AK12" i="3"/>
  <c r="AK13" i="3"/>
  <c r="AK3" i="3"/>
  <c r="AU3" i="3" l="1"/>
  <c r="AU4" i="3"/>
  <c r="AU5" i="3"/>
  <c r="AU6" i="3"/>
  <c r="AU7" i="3"/>
  <c r="AU8" i="3"/>
  <c r="AU9" i="3"/>
  <c r="AU10" i="3"/>
  <c r="AU11" i="3"/>
  <c r="AU12" i="3"/>
  <c r="AU13" i="3"/>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AL201" i="4"/>
  <c r="AL202" i="4"/>
  <c r="AL203" i="4"/>
  <c r="AL204" i="4"/>
  <c r="AL205" i="4"/>
  <c r="AL206" i="4"/>
  <c r="AL207" i="4"/>
  <c r="AL208" i="4"/>
  <c r="AL209" i="4"/>
  <c r="AL210" i="4"/>
  <c r="AL211" i="4"/>
  <c r="AL212" i="4"/>
  <c r="AL213" i="4"/>
  <c r="AL214" i="4"/>
  <c r="AL215" i="4"/>
  <c r="AL216" i="4"/>
  <c r="AL217" i="4"/>
  <c r="AL218" i="4"/>
  <c r="AL219" i="4"/>
  <c r="AL220" i="4"/>
  <c r="AL221" i="4"/>
  <c r="AL222" i="4"/>
  <c r="AL223" i="4"/>
  <c r="AL224" i="4"/>
  <c r="AL225" i="4"/>
  <c r="AL226" i="4"/>
  <c r="AL227" i="4"/>
  <c r="AL228" i="4"/>
  <c r="AL229" i="4"/>
  <c r="AL230" i="4"/>
  <c r="AL231" i="4"/>
  <c r="AL232" i="4"/>
  <c r="AL233" i="4"/>
  <c r="AL234" i="4"/>
  <c r="AL235" i="4"/>
  <c r="AL236" i="4"/>
  <c r="AL237" i="4"/>
  <c r="AL238" i="4"/>
  <c r="AL239" i="4"/>
  <c r="AL240" i="4"/>
  <c r="AL241" i="4"/>
  <c r="AL242" i="4"/>
  <c r="AL243" i="4"/>
  <c r="AL244" i="4"/>
  <c r="AL245" i="4"/>
  <c r="AL246" i="4"/>
  <c r="AL247" i="4"/>
  <c r="AL248" i="4"/>
  <c r="AL249" i="4"/>
  <c r="AL250" i="4"/>
  <c r="AL251" i="4"/>
  <c r="AL252" i="4"/>
  <c r="AL253" i="4"/>
  <c r="AL254" i="4"/>
  <c r="AL255" i="4"/>
  <c r="AL256" i="4"/>
  <c r="AL257" i="4"/>
  <c r="AL258" i="4"/>
  <c r="AL259" i="4"/>
  <c r="AL260" i="4"/>
  <c r="AL261" i="4"/>
  <c r="AL262" i="4"/>
  <c r="AL263" i="4"/>
  <c r="AL264" i="4"/>
  <c r="AL265" i="4"/>
  <c r="AL266" i="4"/>
  <c r="AL267" i="4"/>
  <c r="AL268" i="4"/>
  <c r="AL269" i="4"/>
  <c r="AL270" i="4"/>
  <c r="AL271" i="4"/>
  <c r="AL272" i="4"/>
  <c r="AL273" i="4"/>
  <c r="AL274" i="4"/>
  <c r="AL275" i="4"/>
  <c r="AL276" i="4"/>
  <c r="AL277" i="4"/>
  <c r="AL278" i="4"/>
  <c r="AL279" i="4"/>
  <c r="AL280" i="4"/>
  <c r="AL281" i="4"/>
  <c r="AL282" i="4"/>
  <c r="AL283" i="4"/>
  <c r="AL284" i="4"/>
  <c r="AL285" i="4"/>
  <c r="AL286" i="4"/>
  <c r="AL287" i="4"/>
  <c r="AL288" i="4"/>
  <c r="AL289" i="4"/>
  <c r="AL290" i="4"/>
  <c r="AL291" i="4"/>
  <c r="AL292" i="4"/>
  <c r="AL293" i="4"/>
  <c r="AL294" i="4"/>
  <c r="AL295" i="4"/>
  <c r="AL296" i="4"/>
  <c r="AL297" i="4"/>
  <c r="AL298" i="4"/>
  <c r="AL299" i="4"/>
  <c r="AL300" i="4"/>
  <c r="AL301" i="4"/>
  <c r="AL302" i="4"/>
  <c r="AL303" i="4"/>
  <c r="AL304" i="4"/>
  <c r="AL305" i="4"/>
  <c r="AL306" i="4"/>
  <c r="AL307" i="4"/>
  <c r="AL308" i="4"/>
  <c r="AL309" i="4"/>
  <c r="AL310" i="4"/>
  <c r="AL311" i="4"/>
  <c r="AL312" i="4"/>
  <c r="AL313" i="4"/>
  <c r="AL314" i="4"/>
  <c r="AL315" i="4"/>
  <c r="AL316" i="4"/>
  <c r="AL317" i="4"/>
  <c r="AL318" i="4"/>
  <c r="AL319" i="4"/>
  <c r="AL320" i="4"/>
  <c r="AL321" i="4"/>
  <c r="AL322" i="4"/>
  <c r="AL323" i="4"/>
  <c r="AL324" i="4"/>
  <c r="AL325" i="4"/>
  <c r="AL326" i="4"/>
  <c r="AL327" i="4"/>
  <c r="AL328" i="4"/>
  <c r="AL329" i="4"/>
  <c r="AL330" i="4"/>
  <c r="AL331" i="4"/>
  <c r="AL332" i="4"/>
  <c r="AL333" i="4"/>
  <c r="AL334" i="4"/>
  <c r="AL335" i="4"/>
  <c r="AL336" i="4"/>
  <c r="AL337" i="4"/>
  <c r="AL338" i="4"/>
  <c r="AL339" i="4"/>
  <c r="AL340" i="4"/>
  <c r="AL341" i="4"/>
  <c r="AL342" i="4"/>
  <c r="AL343" i="4"/>
  <c r="AL344" i="4"/>
  <c r="AL345" i="4"/>
  <c r="AL346" i="4"/>
  <c r="AL347" i="4"/>
  <c r="AL348" i="4"/>
  <c r="AL349" i="4"/>
  <c r="AL3" i="4"/>
  <c r="F208" i="4" l="1"/>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AK8" i="4" l="1"/>
  <c r="G11" i="5" l="1"/>
  <c r="H11" i="5"/>
  <c r="I11" i="5"/>
  <c r="J11" i="5"/>
  <c r="K11" i="5"/>
  <c r="L11" i="5"/>
  <c r="G12" i="5"/>
  <c r="H12" i="5"/>
  <c r="I12" i="5"/>
  <c r="J12" i="5"/>
  <c r="K12" i="5"/>
  <c r="L12" i="5"/>
  <c r="G13" i="5"/>
  <c r="H13" i="5"/>
  <c r="I13" i="5"/>
  <c r="J13" i="5"/>
  <c r="K13" i="5"/>
  <c r="L13" i="5"/>
  <c r="F12" i="5"/>
  <c r="F13" i="5"/>
  <c r="F11" i="5"/>
  <c r="AO11" i="5" l="1"/>
  <c r="AO12" i="5"/>
  <c r="AO13" i="5"/>
  <c r="AO17" i="5"/>
  <c r="AO18" i="5"/>
  <c r="AO19" i="5"/>
  <c r="AO20" i="5"/>
  <c r="AO21" i="5"/>
  <c r="AO22" i="5"/>
  <c r="AO27" i="5"/>
  <c r="AP27" i="5"/>
  <c r="AO26" i="5"/>
  <c r="AK350" i="4"/>
  <c r="AL350" i="4"/>
  <c r="AK14" i="3"/>
  <c r="AO23" i="5" l="1"/>
  <c r="AO14" i="5"/>
  <c r="AO28" i="5"/>
  <c r="BF32" i="5"/>
  <c r="BC27" i="5"/>
  <c r="BD27" i="5"/>
  <c r="BE27" i="5"/>
  <c r="BF27" i="5"/>
  <c r="BG27" i="5"/>
  <c r="BB27" i="5"/>
  <c r="AY27" i="5"/>
  <c r="BC26" i="5"/>
  <c r="BD26" i="5"/>
  <c r="BE26" i="5"/>
  <c r="BF26" i="5"/>
  <c r="BG26" i="5"/>
  <c r="BB26" i="5"/>
  <c r="AY26" i="5"/>
  <c r="AG135" i="4"/>
  <c r="AB350" i="4"/>
  <c r="AC350" i="4"/>
  <c r="AD350" i="4"/>
  <c r="S350" i="4"/>
  <c r="T350" i="4"/>
  <c r="U350" i="4"/>
  <c r="V350" i="4"/>
  <c r="Q350" i="4"/>
  <c r="F6" i="4"/>
  <c r="AY18" i="5"/>
  <c r="AY19" i="5"/>
  <c r="AY20" i="5"/>
  <c r="AY21" i="5"/>
  <c r="AY22" i="5"/>
  <c r="BB18" i="5"/>
  <c r="BC18" i="5"/>
  <c r="BD18" i="5"/>
  <c r="BE18" i="5"/>
  <c r="BF18" i="5"/>
  <c r="BG18" i="5"/>
  <c r="BB19" i="5"/>
  <c r="BC19" i="5"/>
  <c r="BD19" i="5"/>
  <c r="BE19" i="5"/>
  <c r="BF19" i="5"/>
  <c r="BG19" i="5"/>
  <c r="BB20" i="5"/>
  <c r="BC20" i="5"/>
  <c r="BD20" i="5"/>
  <c r="BE20" i="5"/>
  <c r="BF20" i="5"/>
  <c r="BG20" i="5"/>
  <c r="BB21" i="5"/>
  <c r="BC21" i="5"/>
  <c r="BD21" i="5"/>
  <c r="BE21" i="5"/>
  <c r="BF21" i="5"/>
  <c r="BG21" i="5"/>
  <c r="BB22" i="5"/>
  <c r="BC22" i="5"/>
  <c r="BD22" i="5"/>
  <c r="BE22" i="5"/>
  <c r="BF22" i="5"/>
  <c r="BG22" i="5"/>
  <c r="BC17" i="5"/>
  <c r="BD17" i="5"/>
  <c r="BE17" i="5"/>
  <c r="BF17" i="5"/>
  <c r="BG17" i="5"/>
  <c r="BB17" i="5"/>
  <c r="AY17" i="5"/>
  <c r="AO30" i="5" l="1"/>
  <c r="AO32" i="5" s="1"/>
  <c r="N350" i="4"/>
  <c r="I350" i="4"/>
  <c r="H208" i="4"/>
  <c r="G17" i="5"/>
  <c r="H17" i="5"/>
  <c r="I17" i="5"/>
  <c r="J17" i="5"/>
  <c r="K17" i="5"/>
  <c r="L17" i="5"/>
  <c r="G18" i="5"/>
  <c r="H18" i="5"/>
  <c r="I18" i="5"/>
  <c r="J18" i="5"/>
  <c r="K18" i="5"/>
  <c r="L18" i="5"/>
  <c r="G19" i="5"/>
  <c r="H19" i="5"/>
  <c r="I19" i="5"/>
  <c r="J19" i="5"/>
  <c r="K19" i="5"/>
  <c r="L19" i="5"/>
  <c r="G20" i="5"/>
  <c r="H20" i="5"/>
  <c r="I20" i="5"/>
  <c r="J20" i="5"/>
  <c r="K20" i="5"/>
  <c r="L20" i="5"/>
  <c r="G21" i="5"/>
  <c r="H21" i="5"/>
  <c r="I21" i="5"/>
  <c r="J21" i="5"/>
  <c r="K21" i="5"/>
  <c r="L21" i="5"/>
  <c r="G22" i="5"/>
  <c r="H22" i="5"/>
  <c r="I22" i="5"/>
  <c r="J22" i="5"/>
  <c r="K22" i="5"/>
  <c r="L22" i="5"/>
  <c r="F18" i="5"/>
  <c r="F19" i="5"/>
  <c r="F20" i="5"/>
  <c r="F21" i="5"/>
  <c r="F22" i="5"/>
  <c r="Q18" i="5"/>
  <c r="Q19" i="5"/>
  <c r="Q22" i="5"/>
  <c r="Q20" i="5"/>
  <c r="F17" i="5"/>
  <c r="AN26" i="5"/>
  <c r="AP26" i="5"/>
  <c r="AQ26" i="5"/>
  <c r="AR26" i="5"/>
  <c r="AS26" i="5"/>
  <c r="AT26" i="5"/>
  <c r="AM26" i="5"/>
  <c r="AN27" i="5"/>
  <c r="AQ27" i="5"/>
  <c r="AR27" i="5"/>
  <c r="AS27" i="5"/>
  <c r="AT27" i="5"/>
  <c r="AM27" i="5"/>
  <c r="AC27" i="5"/>
  <c r="AD27" i="5"/>
  <c r="AE27" i="5"/>
  <c r="AF27" i="5"/>
  <c r="AG27" i="5"/>
  <c r="AH27" i="5"/>
  <c r="AB27" i="5"/>
  <c r="AC26" i="5"/>
  <c r="AD26" i="5"/>
  <c r="AE26" i="5"/>
  <c r="AF26" i="5"/>
  <c r="AG26" i="5"/>
  <c r="AH26" i="5"/>
  <c r="AB26" i="5"/>
  <c r="AQ3" i="4"/>
  <c r="AQ4" i="4"/>
  <c r="AQ5"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AQ201" i="4"/>
  <c r="AQ202" i="4"/>
  <c r="AQ203" i="4"/>
  <c r="AQ204" i="4"/>
  <c r="AQ205" i="4"/>
  <c r="AQ206" i="4"/>
  <c r="AY350" i="4"/>
  <c r="AX350" i="4"/>
  <c r="AW350" i="4"/>
  <c r="AV350" i="4"/>
  <c r="AU350" i="4"/>
  <c r="AT350" i="4"/>
  <c r="AS350" i="4"/>
  <c r="AZ207" i="4"/>
  <c r="AZ206" i="4"/>
  <c r="AZ205" i="4"/>
  <c r="AZ204" i="4"/>
  <c r="AZ202" i="4"/>
  <c r="AZ201" i="4"/>
  <c r="AZ200" i="4"/>
  <c r="AZ199"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5" i="4"/>
  <c r="AZ4" i="4"/>
  <c r="AZ3" i="4"/>
  <c r="BB12" i="5"/>
  <c r="BC12" i="5"/>
  <c r="BD12" i="5"/>
  <c r="BE12" i="5"/>
  <c r="BF12" i="5"/>
  <c r="BG12" i="5"/>
  <c r="BB13" i="5"/>
  <c r="BC13" i="5"/>
  <c r="BD13" i="5"/>
  <c r="BE13" i="5"/>
  <c r="BF13" i="5"/>
  <c r="BG13" i="5"/>
  <c r="BC11" i="5"/>
  <c r="BD11" i="5"/>
  <c r="BE11" i="5"/>
  <c r="BF11" i="5"/>
  <c r="BG11" i="5"/>
  <c r="BB11" i="5"/>
  <c r="AY12" i="5"/>
  <c r="AY13" i="5"/>
  <c r="AY11" i="5"/>
  <c r="AN17" i="5"/>
  <c r="AP17" i="5"/>
  <c r="AQ17" i="5"/>
  <c r="AR17" i="5"/>
  <c r="AS17" i="5"/>
  <c r="AT17" i="5"/>
  <c r="AN18" i="5"/>
  <c r="AP18" i="5"/>
  <c r="AQ18" i="5"/>
  <c r="AR18" i="5"/>
  <c r="AS18" i="5"/>
  <c r="AT18" i="5"/>
  <c r="AN19" i="5"/>
  <c r="AP19" i="5"/>
  <c r="AQ19" i="5"/>
  <c r="AR19" i="5"/>
  <c r="AS19" i="5"/>
  <c r="AT19" i="5"/>
  <c r="AN20" i="5"/>
  <c r="AP20" i="5"/>
  <c r="AQ20" i="5"/>
  <c r="AR20" i="5"/>
  <c r="AS20" i="5"/>
  <c r="AT20" i="5"/>
  <c r="AN21" i="5"/>
  <c r="AP21" i="5"/>
  <c r="AQ21" i="5"/>
  <c r="AR21" i="5"/>
  <c r="AS21" i="5"/>
  <c r="AT21" i="5"/>
  <c r="AN22" i="5"/>
  <c r="AP22" i="5"/>
  <c r="AQ22" i="5"/>
  <c r="AR22" i="5"/>
  <c r="AS22" i="5"/>
  <c r="AT22" i="5"/>
  <c r="AM18" i="5"/>
  <c r="AM19" i="5"/>
  <c r="AM20" i="5"/>
  <c r="AM21" i="5"/>
  <c r="AM22" i="5"/>
  <c r="AM17" i="5"/>
  <c r="AD17" i="5"/>
  <c r="AE17" i="5"/>
  <c r="AF17" i="5"/>
  <c r="AH17" i="5"/>
  <c r="AD18" i="5"/>
  <c r="AE18" i="5"/>
  <c r="AF18" i="5"/>
  <c r="AH18" i="5"/>
  <c r="AD19" i="5"/>
  <c r="AE19" i="5"/>
  <c r="AF19" i="5"/>
  <c r="AH19" i="5"/>
  <c r="AD20" i="5"/>
  <c r="AE20" i="5"/>
  <c r="AF20" i="5"/>
  <c r="AD21" i="5"/>
  <c r="AE21" i="5"/>
  <c r="AF21" i="5"/>
  <c r="AH21" i="5"/>
  <c r="AD22" i="5"/>
  <c r="AE22" i="5"/>
  <c r="AF22" i="5"/>
  <c r="AH22" i="5"/>
  <c r="AM12" i="5"/>
  <c r="AN12" i="5"/>
  <c r="AP12" i="5"/>
  <c r="AQ12" i="5"/>
  <c r="AR12" i="5"/>
  <c r="AS12" i="5"/>
  <c r="AT12" i="5"/>
  <c r="AM13" i="5"/>
  <c r="AN13" i="5"/>
  <c r="AP13" i="5"/>
  <c r="AQ13" i="5"/>
  <c r="AR13" i="5"/>
  <c r="AS13" i="5"/>
  <c r="AT13" i="5"/>
  <c r="AN11" i="5"/>
  <c r="AP11" i="5"/>
  <c r="AQ11" i="5"/>
  <c r="AR11" i="5"/>
  <c r="AS11" i="5"/>
  <c r="AT11" i="5"/>
  <c r="AM11" i="5"/>
  <c r="AZ12" i="3"/>
  <c r="AZ13" i="3"/>
  <c r="AG12" i="3"/>
  <c r="AG13" i="3"/>
  <c r="AG3" i="3"/>
  <c r="AY14" i="3"/>
  <c r="AX14" i="3"/>
  <c r="AW14" i="3"/>
  <c r="AV14" i="3"/>
  <c r="AU14" i="3"/>
  <c r="AT14" i="3"/>
  <c r="AS14" i="3"/>
  <c r="AZ11" i="3"/>
  <c r="AZ10" i="3"/>
  <c r="AZ9" i="3"/>
  <c r="AZ8" i="3"/>
  <c r="AZ7" i="3"/>
  <c r="AZ6" i="3"/>
  <c r="AZ5" i="3"/>
  <c r="AZ4" i="3"/>
  <c r="AZ3" i="3"/>
  <c r="AC11" i="5"/>
  <c r="AD11" i="5"/>
  <c r="AE11" i="5"/>
  <c r="AF11" i="5"/>
  <c r="AG11" i="5"/>
  <c r="AH11" i="5"/>
  <c r="AC12" i="5"/>
  <c r="AD12" i="5"/>
  <c r="AE12" i="5"/>
  <c r="AF12" i="5"/>
  <c r="AG12" i="5"/>
  <c r="AH12" i="5"/>
  <c r="AC13" i="5"/>
  <c r="AD13" i="5"/>
  <c r="AE13" i="5"/>
  <c r="AF13" i="5"/>
  <c r="AG13" i="5"/>
  <c r="AH13" i="5"/>
  <c r="AB12" i="5"/>
  <c r="AB13" i="5"/>
  <c r="AB11" i="5"/>
  <c r="L27" i="5"/>
  <c r="R27" i="5"/>
  <c r="S27" i="5"/>
  <c r="T27" i="5"/>
  <c r="U27" i="5"/>
  <c r="V27" i="5"/>
  <c r="W27" i="5"/>
  <c r="Q27" i="5"/>
  <c r="R26" i="5"/>
  <c r="S26" i="5"/>
  <c r="T26" i="5"/>
  <c r="U26" i="5"/>
  <c r="V26" i="5"/>
  <c r="W26" i="5"/>
  <c r="Q26" i="5"/>
  <c r="X5" i="3"/>
  <c r="X6" i="3"/>
  <c r="X7" i="3"/>
  <c r="X8" i="3"/>
  <c r="X9" i="3"/>
  <c r="X10" i="3"/>
  <c r="X11" i="3"/>
  <c r="X12" i="3"/>
  <c r="X13" i="3"/>
  <c r="X3" i="3"/>
  <c r="AA14" i="3"/>
  <c r="AB14" i="3"/>
  <c r="AC14" i="3"/>
  <c r="AD14" i="3"/>
  <c r="AE14" i="3"/>
  <c r="AF14" i="3"/>
  <c r="Z14" i="3"/>
  <c r="R14" i="3"/>
  <c r="S14" i="3"/>
  <c r="T14" i="3"/>
  <c r="U14" i="3"/>
  <c r="V14" i="3"/>
  <c r="W14" i="3"/>
  <c r="Q14" i="3"/>
  <c r="I14" i="3"/>
  <c r="J14" i="3"/>
  <c r="K14" i="3"/>
  <c r="L14" i="3"/>
  <c r="M14" i="3"/>
  <c r="N14" i="3"/>
  <c r="H14" i="3"/>
  <c r="F13" i="3"/>
  <c r="Q12" i="5"/>
  <c r="R12" i="5"/>
  <c r="S12" i="5"/>
  <c r="T12" i="5"/>
  <c r="U12" i="5"/>
  <c r="V12" i="5"/>
  <c r="W12" i="5"/>
  <c r="Q13" i="5"/>
  <c r="R13" i="5"/>
  <c r="S13" i="5"/>
  <c r="T13" i="5"/>
  <c r="U13" i="5"/>
  <c r="V13" i="5"/>
  <c r="W13" i="5"/>
  <c r="R11" i="5"/>
  <c r="S11" i="5"/>
  <c r="T11" i="5"/>
  <c r="U11" i="5"/>
  <c r="V11" i="5"/>
  <c r="W11" i="5"/>
  <c r="Q11" i="5"/>
  <c r="S18" i="5"/>
  <c r="T18" i="5"/>
  <c r="U18" i="5"/>
  <c r="V18" i="5"/>
  <c r="S19" i="5"/>
  <c r="T19" i="5"/>
  <c r="U19" i="5"/>
  <c r="V19" i="5"/>
  <c r="S20" i="5"/>
  <c r="T20" i="5"/>
  <c r="U20" i="5"/>
  <c r="V20" i="5"/>
  <c r="Q21" i="5"/>
  <c r="S21" i="5"/>
  <c r="T21" i="5"/>
  <c r="U21" i="5"/>
  <c r="V21" i="5"/>
  <c r="S22" i="5"/>
  <c r="T22" i="5"/>
  <c r="U22" i="5"/>
  <c r="V22" i="5"/>
  <c r="S17" i="5"/>
  <c r="T17" i="5"/>
  <c r="U17" i="5"/>
  <c r="V17" i="5"/>
  <c r="Q17" i="5"/>
  <c r="G27" i="5"/>
  <c r="H27" i="5"/>
  <c r="I27" i="5"/>
  <c r="J27" i="5"/>
  <c r="K27" i="5"/>
  <c r="F27" i="5"/>
  <c r="G26" i="5"/>
  <c r="H26" i="5"/>
  <c r="I26" i="5"/>
  <c r="J26" i="5"/>
  <c r="K26" i="5"/>
  <c r="L26" i="5"/>
  <c r="F26" i="5"/>
  <c r="O12" i="3"/>
  <c r="O3" i="3"/>
  <c r="F12" i="3"/>
  <c r="AH20" i="5" l="1"/>
  <c r="AF350" i="4"/>
  <c r="AC18" i="5"/>
  <c r="AG22" i="5"/>
  <c r="AG20" i="5"/>
  <c r="AG19" i="5"/>
  <c r="AC22" i="5"/>
  <c r="AG18" i="5"/>
  <c r="AG17" i="5"/>
  <c r="AC19" i="5"/>
  <c r="AB21" i="5"/>
  <c r="AG21" i="5"/>
  <c r="AC17" i="5"/>
  <c r="AC20" i="5"/>
  <c r="AC21" i="5"/>
  <c r="AE350" i="4"/>
  <c r="Z350" i="4"/>
  <c r="AA350" i="4"/>
  <c r="R22" i="5"/>
  <c r="W22" i="5"/>
  <c r="W21" i="5"/>
  <c r="W18" i="5"/>
  <c r="W350" i="4"/>
  <c r="W17" i="5"/>
  <c r="W19" i="5"/>
  <c r="W20" i="5"/>
  <c r="R20" i="5"/>
  <c r="R21" i="5"/>
  <c r="R350" i="4"/>
  <c r="R19" i="5"/>
  <c r="R17" i="5"/>
  <c r="R18" i="5"/>
  <c r="T28" i="5"/>
  <c r="AF28" i="5"/>
  <c r="AD28" i="5"/>
  <c r="AC28" i="5"/>
  <c r="AZ350" i="4"/>
  <c r="U28" i="5"/>
  <c r="AB19" i="5"/>
  <c r="AB20" i="5"/>
  <c r="AB17" i="5"/>
  <c r="AB22" i="5"/>
  <c r="AB18" i="5"/>
  <c r="AB28" i="5"/>
  <c r="AH28" i="5"/>
  <c r="AU28" i="5" s="1"/>
  <c r="AG28" i="5"/>
  <c r="AE28" i="5"/>
  <c r="AZ14" i="3"/>
  <c r="R28" i="5"/>
  <c r="W28" i="5"/>
  <c r="V28" i="5"/>
  <c r="S28" i="5"/>
  <c r="L28" i="5"/>
  <c r="I28" i="5"/>
  <c r="H28" i="5"/>
  <c r="K28" i="5"/>
  <c r="J28" i="5"/>
  <c r="G28" i="5"/>
  <c r="AG186" i="4"/>
  <c r="AG187" i="4"/>
  <c r="AG188" i="4"/>
  <c r="AG189" i="4"/>
  <c r="AG190" i="4"/>
  <c r="AG191" i="4"/>
  <c r="AG192" i="4"/>
  <c r="AG193" i="4"/>
  <c r="AG194" i="4"/>
  <c r="AG195" i="4"/>
  <c r="AG196" i="4"/>
  <c r="AG197" i="4"/>
  <c r="AG198" i="4"/>
  <c r="AG199" i="4"/>
  <c r="AG200"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18" i="4"/>
  <c r="AQ3" i="3"/>
  <c r="AQ14" i="3" s="1"/>
  <c r="AJ14" i="3"/>
  <c r="AL14" i="3"/>
  <c r="AM14" i="3"/>
  <c r="AN14" i="3"/>
  <c r="AO14" i="3"/>
  <c r="AP14" i="3"/>
  <c r="AI14" i="3"/>
  <c r="H21" i="2"/>
  <c r="F21" i="2"/>
  <c r="D21" i="2"/>
  <c r="T10" i="2"/>
  <c r="R10" i="2"/>
  <c r="P10" i="2"/>
  <c r="N10" i="2"/>
  <c r="L10" i="2"/>
  <c r="J10" i="2"/>
  <c r="H10" i="2"/>
  <c r="H23" i="2" s="1"/>
  <c r="F10" i="2"/>
  <c r="F23" i="2" s="1"/>
  <c r="D10" i="2"/>
  <c r="D23" i="2" s="1"/>
  <c r="D24" i="2" s="1"/>
  <c r="AQ11" i="3"/>
  <c r="AG11" i="3"/>
  <c r="O11" i="3"/>
  <c r="F11" i="3"/>
  <c r="AQ10" i="3"/>
  <c r="AG10" i="3"/>
  <c r="O10" i="3"/>
  <c r="F10" i="3"/>
  <c r="AQ9" i="3"/>
  <c r="AG9" i="3"/>
  <c r="O9" i="3"/>
  <c r="F9" i="3"/>
  <c r="AQ8" i="3"/>
  <c r="AG8" i="3"/>
  <c r="O8" i="3"/>
  <c r="F8" i="3"/>
  <c r="AQ7" i="3"/>
  <c r="AG7" i="3"/>
  <c r="O7" i="3"/>
  <c r="F7" i="3"/>
  <c r="AQ6" i="3"/>
  <c r="AG6" i="3"/>
  <c r="O6" i="3"/>
  <c r="F6" i="3"/>
  <c r="AQ5" i="3"/>
  <c r="AG5" i="3"/>
  <c r="O5" i="3"/>
  <c r="F5" i="3"/>
  <c r="AQ4" i="3"/>
  <c r="AG4" i="3"/>
  <c r="X4" i="3"/>
  <c r="O4" i="3"/>
  <c r="F4" i="3"/>
  <c r="F3" i="3"/>
  <c r="M11" i="5"/>
  <c r="N11" i="5" s="1"/>
  <c r="AP350" i="4"/>
  <c r="AO350" i="4"/>
  <c r="AN350" i="4"/>
  <c r="AM350" i="4"/>
  <c r="AJ350" i="4"/>
  <c r="AK355" i="4" s="1"/>
  <c r="M350" i="4"/>
  <c r="L350" i="4"/>
  <c r="K350" i="4"/>
  <c r="J350" i="4"/>
  <c r="AQ207" i="4"/>
  <c r="AG207" i="4"/>
  <c r="X207" i="4"/>
  <c r="O207" i="4"/>
  <c r="AG206" i="4"/>
  <c r="X206" i="4"/>
  <c r="O206" i="4"/>
  <c r="AG205" i="4"/>
  <c r="X205" i="4"/>
  <c r="O205" i="4"/>
  <c r="AG204" i="4"/>
  <c r="X204" i="4"/>
  <c r="O204" i="4"/>
  <c r="AG203" i="4"/>
  <c r="O203" i="4"/>
  <c r="AG202" i="4"/>
  <c r="X202" i="4"/>
  <c r="O202" i="4"/>
  <c r="AG201" i="4"/>
  <c r="X201" i="4"/>
  <c r="O201" i="4"/>
  <c r="X200" i="4"/>
  <c r="O200" i="4"/>
  <c r="X199" i="4"/>
  <c r="O199" i="4"/>
  <c r="O198" i="4"/>
  <c r="O197" i="4"/>
  <c r="O196" i="4"/>
  <c r="O195" i="4"/>
  <c r="O194" i="4"/>
  <c r="O193" i="4"/>
  <c r="O192" i="4"/>
  <c r="O191" i="4"/>
  <c r="O190" i="4"/>
  <c r="O189" i="4"/>
  <c r="O188" i="4"/>
  <c r="O187" i="4"/>
  <c r="O186" i="4"/>
  <c r="AG185" i="4"/>
  <c r="O185" i="4"/>
  <c r="AG184" i="4"/>
  <c r="O184" i="4"/>
  <c r="AG183" i="4"/>
  <c r="O183" i="4"/>
  <c r="AG182" i="4"/>
  <c r="O182" i="4"/>
  <c r="AG181" i="4"/>
  <c r="O181" i="4"/>
  <c r="AG180" i="4"/>
  <c r="O180" i="4"/>
  <c r="AG179" i="4"/>
  <c r="O179" i="4"/>
  <c r="AG178" i="4"/>
  <c r="O178" i="4"/>
  <c r="F178" i="4"/>
  <c r="AG177" i="4"/>
  <c r="O177" i="4"/>
  <c r="F177" i="4"/>
  <c r="X176" i="4"/>
  <c r="O176" i="4"/>
  <c r="F176" i="4"/>
  <c r="AG175" i="4"/>
  <c r="X175" i="4"/>
  <c r="O175" i="4"/>
  <c r="F175" i="4"/>
  <c r="AG174" i="4"/>
  <c r="X174" i="4"/>
  <c r="O174" i="4"/>
  <c r="F174" i="4"/>
  <c r="AG173" i="4"/>
  <c r="X173" i="4"/>
  <c r="O173" i="4"/>
  <c r="F173" i="4"/>
  <c r="AG172" i="4"/>
  <c r="X172" i="4"/>
  <c r="O172" i="4"/>
  <c r="F172" i="4"/>
  <c r="AG171" i="4"/>
  <c r="X171" i="4"/>
  <c r="O171" i="4"/>
  <c r="F171" i="4"/>
  <c r="AG170" i="4"/>
  <c r="X170" i="4"/>
  <c r="O170" i="4"/>
  <c r="F170" i="4"/>
  <c r="AG169" i="4"/>
  <c r="X169" i="4"/>
  <c r="O169" i="4"/>
  <c r="F169" i="4"/>
  <c r="AG168" i="4"/>
  <c r="X168" i="4"/>
  <c r="O168" i="4"/>
  <c r="F168" i="4"/>
  <c r="AG167" i="4"/>
  <c r="X167" i="4"/>
  <c r="O167" i="4"/>
  <c r="F167" i="4"/>
  <c r="AG166" i="4"/>
  <c r="X166" i="4"/>
  <c r="O166" i="4"/>
  <c r="F166" i="4"/>
  <c r="AG165" i="4"/>
  <c r="X165" i="4"/>
  <c r="O165" i="4"/>
  <c r="F165" i="4"/>
  <c r="AG164" i="4"/>
  <c r="X164" i="4"/>
  <c r="O164" i="4"/>
  <c r="F164" i="4"/>
  <c r="AG163" i="4"/>
  <c r="X163" i="4"/>
  <c r="O163" i="4"/>
  <c r="F163" i="4"/>
  <c r="AG162" i="4"/>
  <c r="X162" i="4"/>
  <c r="O162" i="4"/>
  <c r="F162" i="4"/>
  <c r="AG161" i="4"/>
  <c r="X161" i="4"/>
  <c r="O161" i="4"/>
  <c r="F161" i="4"/>
  <c r="AG160" i="4"/>
  <c r="X160" i="4"/>
  <c r="O160" i="4"/>
  <c r="F160" i="4"/>
  <c r="AG159" i="4"/>
  <c r="X159" i="4"/>
  <c r="O159" i="4"/>
  <c r="F159" i="4"/>
  <c r="AG158" i="4"/>
  <c r="X158" i="4"/>
  <c r="O158" i="4"/>
  <c r="F158" i="4"/>
  <c r="AG157" i="4"/>
  <c r="X157" i="4"/>
  <c r="O157" i="4"/>
  <c r="F157" i="4"/>
  <c r="AG156" i="4"/>
  <c r="X156" i="4"/>
  <c r="O156" i="4"/>
  <c r="F156" i="4"/>
  <c r="AG155" i="4"/>
  <c r="X155" i="4"/>
  <c r="O155" i="4"/>
  <c r="F155" i="4"/>
  <c r="AG154" i="4"/>
  <c r="X154" i="4"/>
  <c r="O154" i="4"/>
  <c r="F154" i="4"/>
  <c r="AG153" i="4"/>
  <c r="X153" i="4"/>
  <c r="O153" i="4"/>
  <c r="F153" i="4"/>
  <c r="AG152" i="4"/>
  <c r="X152" i="4"/>
  <c r="O152" i="4"/>
  <c r="F152" i="4"/>
  <c r="AG151" i="4"/>
  <c r="X151" i="4"/>
  <c r="O151" i="4"/>
  <c r="F151" i="4"/>
  <c r="AG150" i="4"/>
  <c r="X150" i="4"/>
  <c r="O150" i="4"/>
  <c r="F150" i="4"/>
  <c r="AG149" i="4"/>
  <c r="X149" i="4"/>
  <c r="O149" i="4"/>
  <c r="F149" i="4"/>
  <c r="AG148" i="4"/>
  <c r="X148" i="4"/>
  <c r="O148" i="4"/>
  <c r="F148" i="4"/>
  <c r="AG147" i="4"/>
  <c r="X147" i="4"/>
  <c r="O147" i="4"/>
  <c r="F147" i="4"/>
  <c r="AG146" i="4"/>
  <c r="X146" i="4"/>
  <c r="O146" i="4"/>
  <c r="F146" i="4"/>
  <c r="AG145" i="4"/>
  <c r="X145" i="4"/>
  <c r="O145" i="4"/>
  <c r="F145" i="4"/>
  <c r="AG144" i="4"/>
  <c r="X144" i="4"/>
  <c r="O144" i="4"/>
  <c r="F144" i="4"/>
  <c r="AG143" i="4"/>
  <c r="X143" i="4"/>
  <c r="O143" i="4"/>
  <c r="F143" i="4"/>
  <c r="AG142" i="4"/>
  <c r="X142" i="4"/>
  <c r="O142" i="4"/>
  <c r="F142" i="4"/>
  <c r="AG141" i="4"/>
  <c r="X141" i="4"/>
  <c r="O141" i="4"/>
  <c r="F141" i="4"/>
  <c r="AG140" i="4"/>
  <c r="X140" i="4"/>
  <c r="O140" i="4"/>
  <c r="F140" i="4"/>
  <c r="AG139" i="4"/>
  <c r="X139" i="4"/>
  <c r="O139" i="4"/>
  <c r="F139" i="4"/>
  <c r="AG138" i="4"/>
  <c r="X138" i="4"/>
  <c r="O138" i="4"/>
  <c r="F138" i="4"/>
  <c r="AG137" i="4"/>
  <c r="X137" i="4"/>
  <c r="O137" i="4"/>
  <c r="F137" i="4"/>
  <c r="AG136" i="4"/>
  <c r="X136" i="4"/>
  <c r="O136" i="4"/>
  <c r="F136" i="4"/>
  <c r="X135" i="4"/>
  <c r="O135" i="4"/>
  <c r="F135" i="4"/>
  <c r="AG134" i="4"/>
  <c r="X134" i="4"/>
  <c r="O134" i="4"/>
  <c r="F134" i="4"/>
  <c r="AG133" i="4"/>
  <c r="X133" i="4"/>
  <c r="O133" i="4"/>
  <c r="F133" i="4"/>
  <c r="AG132" i="4"/>
  <c r="X132" i="4"/>
  <c r="O132" i="4"/>
  <c r="F132" i="4"/>
  <c r="AG131" i="4"/>
  <c r="X131" i="4"/>
  <c r="O131" i="4"/>
  <c r="F131" i="4"/>
  <c r="AG130" i="4"/>
  <c r="X130" i="4"/>
  <c r="O130" i="4"/>
  <c r="F130" i="4"/>
  <c r="AG129" i="4"/>
  <c r="X129" i="4"/>
  <c r="O129" i="4"/>
  <c r="F129" i="4"/>
  <c r="AG128" i="4"/>
  <c r="X128" i="4"/>
  <c r="O128" i="4"/>
  <c r="F128" i="4"/>
  <c r="AG127" i="4"/>
  <c r="X127" i="4"/>
  <c r="O127" i="4"/>
  <c r="F127" i="4"/>
  <c r="AG126" i="4"/>
  <c r="X126" i="4"/>
  <c r="O126" i="4"/>
  <c r="F126" i="4"/>
  <c r="AG125" i="4"/>
  <c r="X125" i="4"/>
  <c r="O125" i="4"/>
  <c r="F125" i="4"/>
  <c r="AG124" i="4"/>
  <c r="X124" i="4"/>
  <c r="O124" i="4"/>
  <c r="F124" i="4"/>
  <c r="AG123" i="4"/>
  <c r="X123" i="4"/>
  <c r="O123" i="4"/>
  <c r="F123" i="4"/>
  <c r="AG122" i="4"/>
  <c r="X122" i="4"/>
  <c r="O122" i="4"/>
  <c r="F122" i="4"/>
  <c r="AG121" i="4"/>
  <c r="X121" i="4"/>
  <c r="O121" i="4"/>
  <c r="F121" i="4"/>
  <c r="AG120" i="4"/>
  <c r="X120" i="4"/>
  <c r="O120" i="4"/>
  <c r="F120" i="4"/>
  <c r="AG119" i="4"/>
  <c r="X119" i="4"/>
  <c r="O119" i="4"/>
  <c r="F119" i="4"/>
  <c r="AG118" i="4"/>
  <c r="X118" i="4"/>
  <c r="O118" i="4"/>
  <c r="F118" i="4"/>
  <c r="AG117" i="4"/>
  <c r="X117" i="4"/>
  <c r="O117" i="4"/>
  <c r="F117" i="4"/>
  <c r="AG116" i="4"/>
  <c r="X116" i="4"/>
  <c r="O116" i="4"/>
  <c r="F116" i="4"/>
  <c r="AG115" i="4"/>
  <c r="X115" i="4"/>
  <c r="O115" i="4"/>
  <c r="F115" i="4"/>
  <c r="AG114" i="4"/>
  <c r="X114" i="4"/>
  <c r="O114" i="4"/>
  <c r="F114" i="4"/>
  <c r="AG113" i="4"/>
  <c r="X113" i="4"/>
  <c r="O113" i="4"/>
  <c r="F113" i="4"/>
  <c r="AG112" i="4"/>
  <c r="X112" i="4"/>
  <c r="O112" i="4"/>
  <c r="F112" i="4"/>
  <c r="AG111" i="4"/>
  <c r="X111" i="4"/>
  <c r="O111" i="4"/>
  <c r="F111" i="4"/>
  <c r="AI350" i="4"/>
  <c r="AG110" i="4"/>
  <c r="X110" i="4"/>
  <c r="O110" i="4"/>
  <c r="F110" i="4"/>
  <c r="AG109" i="4"/>
  <c r="X109" i="4"/>
  <c r="O109" i="4"/>
  <c r="F109" i="4"/>
  <c r="AG108" i="4"/>
  <c r="X108" i="4"/>
  <c r="O108" i="4"/>
  <c r="F108" i="4"/>
  <c r="AG107" i="4"/>
  <c r="X107" i="4"/>
  <c r="O107" i="4"/>
  <c r="F107" i="4"/>
  <c r="AG106" i="4"/>
  <c r="X106" i="4"/>
  <c r="O106" i="4"/>
  <c r="F106" i="4"/>
  <c r="AG105" i="4"/>
  <c r="X105" i="4"/>
  <c r="O105" i="4"/>
  <c r="F105" i="4"/>
  <c r="AG104" i="4"/>
  <c r="X104" i="4"/>
  <c r="O104" i="4"/>
  <c r="F104" i="4"/>
  <c r="AG103" i="4"/>
  <c r="X103" i="4"/>
  <c r="O103" i="4"/>
  <c r="F103" i="4"/>
  <c r="AG102" i="4"/>
  <c r="X102" i="4"/>
  <c r="O102" i="4"/>
  <c r="F102" i="4"/>
  <c r="AG101" i="4"/>
  <c r="X101" i="4"/>
  <c r="O101" i="4"/>
  <c r="F101" i="4"/>
  <c r="AG100" i="4"/>
  <c r="X100" i="4"/>
  <c r="O100" i="4"/>
  <c r="F100" i="4"/>
  <c r="AG99" i="4"/>
  <c r="X99" i="4"/>
  <c r="O99" i="4"/>
  <c r="F99" i="4"/>
  <c r="AG98" i="4"/>
  <c r="X98" i="4"/>
  <c r="O98" i="4"/>
  <c r="F98" i="4"/>
  <c r="AG97" i="4"/>
  <c r="X97" i="4"/>
  <c r="O97" i="4"/>
  <c r="F97" i="4"/>
  <c r="AG96" i="4"/>
  <c r="X96" i="4"/>
  <c r="O96" i="4"/>
  <c r="F96" i="4"/>
  <c r="AG95" i="4"/>
  <c r="X95" i="4"/>
  <c r="O95" i="4"/>
  <c r="F95" i="4"/>
  <c r="AG94" i="4"/>
  <c r="X94" i="4"/>
  <c r="O94" i="4"/>
  <c r="F94" i="4"/>
  <c r="AG93" i="4"/>
  <c r="X93" i="4"/>
  <c r="O93" i="4"/>
  <c r="F93" i="4"/>
  <c r="AG92" i="4"/>
  <c r="X92" i="4"/>
  <c r="O92" i="4"/>
  <c r="F92" i="4"/>
  <c r="AG91" i="4"/>
  <c r="X91" i="4"/>
  <c r="O91" i="4"/>
  <c r="F91" i="4"/>
  <c r="AG90" i="4"/>
  <c r="X90" i="4"/>
  <c r="O90" i="4"/>
  <c r="F90" i="4"/>
  <c r="AG89" i="4"/>
  <c r="X89" i="4"/>
  <c r="O89" i="4"/>
  <c r="F89" i="4"/>
  <c r="AG88" i="4"/>
  <c r="X88" i="4"/>
  <c r="O88" i="4"/>
  <c r="F88" i="4"/>
  <c r="AG87" i="4"/>
  <c r="X87" i="4"/>
  <c r="O87" i="4"/>
  <c r="F87" i="4"/>
  <c r="AG86" i="4"/>
  <c r="X86" i="4"/>
  <c r="O86" i="4"/>
  <c r="F86" i="4"/>
  <c r="AG85" i="4"/>
  <c r="X85" i="4"/>
  <c r="O85" i="4"/>
  <c r="F85" i="4"/>
  <c r="AG84" i="4"/>
  <c r="X84" i="4"/>
  <c r="O84" i="4"/>
  <c r="F84" i="4"/>
  <c r="AG83" i="4"/>
  <c r="X83" i="4"/>
  <c r="O83" i="4"/>
  <c r="F83" i="4"/>
  <c r="AG82" i="4"/>
  <c r="X82" i="4"/>
  <c r="O82" i="4"/>
  <c r="F82" i="4"/>
  <c r="AG81" i="4"/>
  <c r="X81" i="4"/>
  <c r="O81" i="4"/>
  <c r="F81" i="4"/>
  <c r="AG80" i="4"/>
  <c r="X80" i="4"/>
  <c r="O80" i="4"/>
  <c r="F80" i="4"/>
  <c r="AG79" i="4"/>
  <c r="X79" i="4"/>
  <c r="O79" i="4"/>
  <c r="F79" i="4"/>
  <c r="AG78" i="4"/>
  <c r="X78" i="4"/>
  <c r="O78" i="4"/>
  <c r="F78" i="4"/>
  <c r="AG77" i="4"/>
  <c r="X77" i="4"/>
  <c r="O77" i="4"/>
  <c r="F77" i="4"/>
  <c r="AG76" i="4"/>
  <c r="X76" i="4"/>
  <c r="O76" i="4"/>
  <c r="F76" i="4"/>
  <c r="AG75" i="4"/>
  <c r="X75" i="4"/>
  <c r="O75" i="4"/>
  <c r="F75" i="4"/>
  <c r="AG74" i="4"/>
  <c r="X74" i="4"/>
  <c r="O74" i="4"/>
  <c r="F74" i="4"/>
  <c r="AG73" i="4"/>
  <c r="X73" i="4"/>
  <c r="O73" i="4"/>
  <c r="F73" i="4"/>
  <c r="AG72" i="4"/>
  <c r="X72" i="4"/>
  <c r="O72" i="4"/>
  <c r="F72" i="4"/>
  <c r="AG71" i="4"/>
  <c r="X71" i="4"/>
  <c r="O71" i="4"/>
  <c r="F71" i="4"/>
  <c r="AG70" i="4"/>
  <c r="X70" i="4"/>
  <c r="O70" i="4"/>
  <c r="F70" i="4"/>
  <c r="AG69" i="4"/>
  <c r="X69" i="4"/>
  <c r="O69" i="4"/>
  <c r="F69" i="4"/>
  <c r="AG68" i="4"/>
  <c r="X68" i="4"/>
  <c r="O68" i="4"/>
  <c r="F68" i="4"/>
  <c r="AG67" i="4"/>
  <c r="X67" i="4"/>
  <c r="O67" i="4"/>
  <c r="F67" i="4"/>
  <c r="AG66" i="4"/>
  <c r="X66" i="4"/>
  <c r="O66" i="4"/>
  <c r="F66" i="4"/>
  <c r="AG65" i="4"/>
  <c r="X65" i="4"/>
  <c r="O65" i="4"/>
  <c r="F65" i="4"/>
  <c r="AG64" i="4"/>
  <c r="X64" i="4"/>
  <c r="O64" i="4"/>
  <c r="F64" i="4"/>
  <c r="AG63" i="4"/>
  <c r="X63" i="4"/>
  <c r="O63" i="4"/>
  <c r="F63" i="4"/>
  <c r="AG62" i="4"/>
  <c r="X62" i="4"/>
  <c r="O62" i="4"/>
  <c r="F62" i="4"/>
  <c r="AG61" i="4"/>
  <c r="X61" i="4"/>
  <c r="O61" i="4"/>
  <c r="F61" i="4"/>
  <c r="AG60" i="4"/>
  <c r="X60" i="4"/>
  <c r="O60" i="4"/>
  <c r="F60" i="4"/>
  <c r="AG59" i="4"/>
  <c r="X59" i="4"/>
  <c r="O59" i="4"/>
  <c r="F59" i="4"/>
  <c r="AG58" i="4"/>
  <c r="X58" i="4"/>
  <c r="O58" i="4"/>
  <c r="F58" i="4"/>
  <c r="AG57" i="4"/>
  <c r="X57" i="4"/>
  <c r="O57" i="4"/>
  <c r="F57" i="4"/>
  <c r="AG56" i="4"/>
  <c r="X56" i="4"/>
  <c r="O56" i="4"/>
  <c r="F56" i="4"/>
  <c r="AG55" i="4"/>
  <c r="X55" i="4"/>
  <c r="O55" i="4"/>
  <c r="F55" i="4"/>
  <c r="AG54" i="4"/>
  <c r="X54" i="4"/>
  <c r="O54" i="4"/>
  <c r="F54" i="4"/>
  <c r="AG53" i="4"/>
  <c r="X53" i="4"/>
  <c r="O53" i="4"/>
  <c r="F53" i="4"/>
  <c r="AG52" i="4"/>
  <c r="X52" i="4"/>
  <c r="O52" i="4"/>
  <c r="F52" i="4"/>
  <c r="AG51" i="4"/>
  <c r="X51" i="4"/>
  <c r="O51" i="4"/>
  <c r="F51" i="4"/>
  <c r="AG50" i="4"/>
  <c r="X50" i="4"/>
  <c r="O50" i="4"/>
  <c r="F50" i="4"/>
  <c r="AG49" i="4"/>
  <c r="X49" i="4"/>
  <c r="O49" i="4"/>
  <c r="F49" i="4"/>
  <c r="AG48" i="4"/>
  <c r="X48" i="4"/>
  <c r="O48" i="4"/>
  <c r="F48" i="4"/>
  <c r="AG47" i="4"/>
  <c r="X47" i="4"/>
  <c r="O47" i="4"/>
  <c r="F47" i="4"/>
  <c r="AG46" i="4"/>
  <c r="X46" i="4"/>
  <c r="O46" i="4"/>
  <c r="F46" i="4"/>
  <c r="AG45" i="4"/>
  <c r="X45" i="4"/>
  <c r="O45" i="4"/>
  <c r="F45" i="4"/>
  <c r="AG44" i="4"/>
  <c r="X44" i="4"/>
  <c r="O44" i="4"/>
  <c r="F44" i="4"/>
  <c r="AG43" i="4"/>
  <c r="X43" i="4"/>
  <c r="O43" i="4"/>
  <c r="F43" i="4"/>
  <c r="AG42" i="4"/>
  <c r="X42" i="4"/>
  <c r="O42" i="4"/>
  <c r="F42" i="4"/>
  <c r="AG41" i="4"/>
  <c r="X41" i="4"/>
  <c r="O41" i="4"/>
  <c r="F41" i="4"/>
  <c r="AG40" i="4"/>
  <c r="X40" i="4"/>
  <c r="O40" i="4"/>
  <c r="F40" i="4"/>
  <c r="AG39" i="4"/>
  <c r="X39" i="4"/>
  <c r="O39" i="4"/>
  <c r="F39" i="4"/>
  <c r="AG38" i="4"/>
  <c r="X38" i="4"/>
  <c r="O38" i="4"/>
  <c r="F38" i="4"/>
  <c r="AG37" i="4"/>
  <c r="X37" i="4"/>
  <c r="O37" i="4"/>
  <c r="F37" i="4"/>
  <c r="AG36" i="4"/>
  <c r="X36" i="4"/>
  <c r="O36" i="4"/>
  <c r="F36" i="4"/>
  <c r="AG35" i="4"/>
  <c r="X35" i="4"/>
  <c r="O35" i="4"/>
  <c r="F35" i="4"/>
  <c r="AG34" i="4"/>
  <c r="X34" i="4"/>
  <c r="O34" i="4"/>
  <c r="F34" i="4"/>
  <c r="AG33" i="4"/>
  <c r="X33" i="4"/>
  <c r="O33" i="4"/>
  <c r="F33" i="4"/>
  <c r="AG32" i="4"/>
  <c r="X32" i="4"/>
  <c r="O32" i="4"/>
  <c r="F32" i="4"/>
  <c r="AG31" i="4"/>
  <c r="X31" i="4"/>
  <c r="O31" i="4"/>
  <c r="F31" i="4"/>
  <c r="AG30" i="4"/>
  <c r="X30" i="4"/>
  <c r="O30" i="4"/>
  <c r="F30" i="4"/>
  <c r="AG29" i="4"/>
  <c r="X29" i="4"/>
  <c r="O29" i="4"/>
  <c r="F29" i="4"/>
  <c r="AG28" i="4"/>
  <c r="X28" i="4"/>
  <c r="O28" i="4"/>
  <c r="F28" i="4"/>
  <c r="AG27" i="4"/>
  <c r="X27" i="4"/>
  <c r="O27" i="4"/>
  <c r="F27" i="4"/>
  <c r="AG26" i="4"/>
  <c r="X26" i="4"/>
  <c r="O26" i="4"/>
  <c r="F26" i="4"/>
  <c r="AG25" i="4"/>
  <c r="X25" i="4"/>
  <c r="O25" i="4"/>
  <c r="F25" i="4"/>
  <c r="AG24" i="4"/>
  <c r="X24" i="4"/>
  <c r="O24" i="4"/>
  <c r="F24" i="4"/>
  <c r="AG23" i="4"/>
  <c r="X23" i="4"/>
  <c r="O23" i="4"/>
  <c r="F23" i="4"/>
  <c r="AG22" i="4"/>
  <c r="X22" i="4"/>
  <c r="O22" i="4"/>
  <c r="F22" i="4"/>
  <c r="AG21" i="4"/>
  <c r="X21" i="4"/>
  <c r="O21" i="4"/>
  <c r="F21" i="4"/>
  <c r="AG20" i="4"/>
  <c r="X20" i="4"/>
  <c r="O20" i="4"/>
  <c r="F20" i="4"/>
  <c r="AG19" i="4"/>
  <c r="X19" i="4"/>
  <c r="O19" i="4"/>
  <c r="F19" i="4"/>
  <c r="AG18" i="4"/>
  <c r="X18" i="4"/>
  <c r="O18" i="4"/>
  <c r="AG17" i="4"/>
  <c r="X17" i="4"/>
  <c r="O17" i="4"/>
  <c r="F17" i="4"/>
  <c r="AG16" i="4"/>
  <c r="X16" i="4"/>
  <c r="O16" i="4"/>
  <c r="F16" i="4"/>
  <c r="AG15" i="4"/>
  <c r="X15" i="4"/>
  <c r="O15" i="4"/>
  <c r="F15" i="4"/>
  <c r="AG14" i="4"/>
  <c r="X14" i="4"/>
  <c r="O14" i="4"/>
  <c r="F14" i="4"/>
  <c r="AG13" i="4"/>
  <c r="X13" i="4"/>
  <c r="O13" i="4"/>
  <c r="F13" i="4"/>
  <c r="AG12" i="4"/>
  <c r="X12" i="4"/>
  <c r="O12" i="4"/>
  <c r="F12" i="4"/>
  <c r="AG11" i="4"/>
  <c r="X11" i="4"/>
  <c r="O11" i="4"/>
  <c r="F11" i="4"/>
  <c r="AG10" i="4"/>
  <c r="X10" i="4"/>
  <c r="O10" i="4"/>
  <c r="F10" i="4"/>
  <c r="AG9" i="4"/>
  <c r="X9" i="4"/>
  <c r="O9" i="4"/>
  <c r="F9" i="4"/>
  <c r="AG8" i="4"/>
  <c r="X8" i="4"/>
  <c r="O8" i="4"/>
  <c r="F8" i="4"/>
  <c r="AG7" i="4"/>
  <c r="X7" i="4"/>
  <c r="O7" i="4"/>
  <c r="F7" i="4"/>
  <c r="AG5" i="4"/>
  <c r="X5" i="4"/>
  <c r="O5" i="4"/>
  <c r="F5" i="4"/>
  <c r="AG4" i="4"/>
  <c r="X4" i="4"/>
  <c r="O4" i="4"/>
  <c r="F4" i="4"/>
  <c r="AG3" i="4"/>
  <c r="X3" i="4"/>
  <c r="O3" i="4"/>
  <c r="F3" i="4"/>
  <c r="BG67" i="5"/>
  <c r="BG59" i="5"/>
  <c r="BG65" i="5" s="1"/>
  <c r="AT59" i="5"/>
  <c r="AT65" i="5" s="1"/>
  <c r="W59" i="5"/>
  <c r="W65" i="5" s="1"/>
  <c r="L58" i="5"/>
  <c r="L59" i="5" s="1"/>
  <c r="L65" i="5" s="1"/>
  <c r="BG53" i="5"/>
  <c r="BG64" i="5" s="1"/>
  <c r="AT53" i="5"/>
  <c r="AT64" i="5" s="1"/>
  <c r="W53" i="5"/>
  <c r="L53" i="5"/>
  <c r="L52" i="5"/>
  <c r="AY42" i="5"/>
  <c r="AB42" i="5"/>
  <c r="AY37" i="5"/>
  <c r="AB37" i="5"/>
  <c r="Q37" i="5"/>
  <c r="Q28" i="5"/>
  <c r="F28" i="5"/>
  <c r="M27" i="5"/>
  <c r="X27" i="5" s="1"/>
  <c r="Y27" i="5" s="1"/>
  <c r="BB28" i="5"/>
  <c r="AU26" i="5"/>
  <c r="AV26" i="5" s="1"/>
  <c r="AT28" i="5"/>
  <c r="BH28" i="5" s="1"/>
  <c r="AR28" i="5"/>
  <c r="M26" i="5"/>
  <c r="X26" i="5" s="1"/>
  <c r="Y26" i="5" s="1"/>
  <c r="M22" i="5"/>
  <c r="N22" i="5" s="1"/>
  <c r="M21" i="5"/>
  <c r="N21" i="5" s="1"/>
  <c r="M19" i="5"/>
  <c r="N19" i="5" s="1"/>
  <c r="AT23" i="5"/>
  <c r="AS23" i="5"/>
  <c r="S23" i="5"/>
  <c r="J23" i="5"/>
  <c r="I23" i="5"/>
  <c r="H23" i="5"/>
  <c r="S14" i="5"/>
  <c r="AZ13" i="5"/>
  <c r="BA13" i="5" s="1"/>
  <c r="X13" i="5"/>
  <c r="Y13" i="5" s="1"/>
  <c r="M13" i="5"/>
  <c r="N13" i="5" s="1"/>
  <c r="BH12" i="5"/>
  <c r="BI12" i="5" s="1"/>
  <c r="AN14" i="5"/>
  <c r="AT14" i="5"/>
  <c r="AP14" i="5"/>
  <c r="AG14" i="5"/>
  <c r="AB14" i="5"/>
  <c r="X11" i="5"/>
  <c r="Y11" i="5" s="1"/>
  <c r="L14" i="5"/>
  <c r="I14" i="5"/>
  <c r="H14" i="5"/>
  <c r="F14" i="5"/>
  <c r="AT30" i="5" l="1"/>
  <c r="O14" i="3"/>
  <c r="AG350" i="4"/>
  <c r="AV28" i="5"/>
  <c r="L61" i="5"/>
  <c r="AT61" i="5"/>
  <c r="AU18" i="5"/>
  <c r="AV18" i="5" s="1"/>
  <c r="W61" i="5"/>
  <c r="AZ18" i="5"/>
  <c r="BA18" i="5" s="1"/>
  <c r="AT66" i="5"/>
  <c r="AT69" i="5" s="1"/>
  <c r="AG14" i="3"/>
  <c r="X14" i="3"/>
  <c r="BG61" i="5"/>
  <c r="AZ19" i="5"/>
  <c r="BA19" i="5" s="1"/>
  <c r="BD14" i="5"/>
  <c r="BH21" i="5"/>
  <c r="BI21" i="5" s="1"/>
  <c r="X22" i="5"/>
  <c r="Y22" i="5" s="1"/>
  <c r="X18" i="5"/>
  <c r="Y18" i="5" s="1"/>
  <c r="AZ21" i="5"/>
  <c r="BA21" i="5" s="1"/>
  <c r="AI11" i="5"/>
  <c r="AJ11" i="5" s="1"/>
  <c r="AU12" i="5"/>
  <c r="AV12" i="5" s="1"/>
  <c r="BH13" i="5"/>
  <c r="BI13" i="5" s="1"/>
  <c r="AI17" i="5"/>
  <c r="AJ17" i="5" s="1"/>
  <c r="AZ17" i="5"/>
  <c r="BA17" i="5" s="1"/>
  <c r="BH19" i="5"/>
  <c r="BI19" i="5" s="1"/>
  <c r="BH26" i="5"/>
  <c r="BI26" i="5" s="1"/>
  <c r="AS28" i="5"/>
  <c r="AI12" i="5"/>
  <c r="AJ12" i="5" s="1"/>
  <c r="AU19" i="5"/>
  <c r="AV19" i="5" s="1"/>
  <c r="AZ26" i="5"/>
  <c r="BA26" i="5" s="1"/>
  <c r="BE28" i="5"/>
  <c r="BH22" i="5"/>
  <c r="BI22" i="5" s="1"/>
  <c r="AN28" i="5"/>
  <c r="BC28" i="5"/>
  <c r="N26" i="5"/>
  <c r="M28" i="5"/>
  <c r="N28" i="5" s="1"/>
  <c r="BC14" i="5"/>
  <c r="J14" i="5"/>
  <c r="BE14" i="5"/>
  <c r="AC23" i="5"/>
  <c r="BB23" i="5"/>
  <c r="AQ28" i="5"/>
  <c r="AF14" i="5"/>
  <c r="AS14" i="5"/>
  <c r="X12" i="5"/>
  <c r="Y12" i="5" s="1"/>
  <c r="R23" i="5"/>
  <c r="AD23" i="5"/>
  <c r="BC23" i="5"/>
  <c r="AI19" i="5"/>
  <c r="AJ19" i="5" s="1"/>
  <c r="AI22" i="5"/>
  <c r="AJ22" i="5" s="1"/>
  <c r="AU27" i="5"/>
  <c r="AV27" i="5" s="1"/>
  <c r="AE14" i="5"/>
  <c r="AZ12" i="5"/>
  <c r="BA12" i="5" s="1"/>
  <c r="X19" i="5"/>
  <c r="Y19" i="5" s="1"/>
  <c r="BD28" i="5"/>
  <c r="K14" i="5"/>
  <c r="V14" i="5"/>
  <c r="AY14" i="5"/>
  <c r="AQ14" i="5"/>
  <c r="G23" i="5"/>
  <c r="T23" i="5"/>
  <c r="AR23" i="5"/>
  <c r="BE23" i="5"/>
  <c r="AI18" i="5"/>
  <c r="AJ18" i="5" s="1"/>
  <c r="BH18" i="5"/>
  <c r="BI18" i="5" s="1"/>
  <c r="X21" i="5"/>
  <c r="Y21" i="5" s="1"/>
  <c r="BI28" i="5"/>
  <c r="W14" i="5"/>
  <c r="AC14" i="5"/>
  <c r="AZ22" i="5"/>
  <c r="BA22" i="5" s="1"/>
  <c r="G14" i="5"/>
  <c r="M14" i="5" s="1"/>
  <c r="N14" i="5" s="1"/>
  <c r="R14" i="5"/>
  <c r="AH14" i="5"/>
  <c r="AU13" i="5"/>
  <c r="AV13" i="5" s="1"/>
  <c r="AB23" i="5"/>
  <c r="AB44" i="5" s="1"/>
  <c r="AM23" i="5"/>
  <c r="AP28" i="5"/>
  <c r="BF28" i="5"/>
  <c r="AQ350" i="4"/>
  <c r="O350" i="4"/>
  <c r="X350" i="4"/>
  <c r="AM28" i="5"/>
  <c r="BG14" i="5"/>
  <c r="BH11" i="5"/>
  <c r="AP23" i="5"/>
  <c r="BG28" i="5"/>
  <c r="BH27" i="5"/>
  <c r="BI27" i="5" s="1"/>
  <c r="BB14" i="5"/>
  <c r="T14" i="5"/>
  <c r="AI13" i="5"/>
  <c r="AJ13" i="5" s="1"/>
  <c r="U23" i="5"/>
  <c r="AF23" i="5"/>
  <c r="AQ23" i="5"/>
  <c r="BD23" i="5"/>
  <c r="AU22" i="5"/>
  <c r="AV22" i="5" s="1"/>
  <c r="BG66" i="5"/>
  <c r="BG69" i="5" s="1"/>
  <c r="AD14" i="5"/>
  <c r="AE23" i="5"/>
  <c r="S30" i="5"/>
  <c r="S32" i="5" s="1"/>
  <c r="AM14" i="5"/>
  <c r="V23" i="5"/>
  <c r="AG23" i="5"/>
  <c r="AG30" i="5" s="1"/>
  <c r="AG32" i="5" s="1"/>
  <c r="AY28" i="5"/>
  <c r="AZ28" i="5" s="1"/>
  <c r="AZ27" i="5"/>
  <c r="BA27" i="5" s="1"/>
  <c r="Q14" i="5"/>
  <c r="AN23" i="5"/>
  <c r="Q23" i="5"/>
  <c r="Q44" i="5" s="1"/>
  <c r="AZ11" i="5"/>
  <c r="K23" i="5"/>
  <c r="U14" i="5"/>
  <c r="AR14" i="5"/>
  <c r="L23" i="5"/>
  <c r="L30" i="5" s="1"/>
  <c r="X17" i="5"/>
  <c r="W23" i="5"/>
  <c r="AH23" i="5"/>
  <c r="BF23" i="5"/>
  <c r="AU21" i="5"/>
  <c r="AV21" i="5" s="1"/>
  <c r="M17" i="5"/>
  <c r="N17" i="5" s="1"/>
  <c r="BG23" i="5"/>
  <c r="BG72" i="5" s="1"/>
  <c r="M18" i="5"/>
  <c r="N18" i="5" s="1"/>
  <c r="AI21" i="5"/>
  <c r="AJ21" i="5" s="1"/>
  <c r="AU11" i="5"/>
  <c r="BF14" i="5"/>
  <c r="M12" i="5"/>
  <c r="N12" i="5" s="1"/>
  <c r="F23" i="5"/>
  <c r="F30" i="5" s="1"/>
  <c r="F32" i="5" s="1"/>
  <c r="AY23" i="5"/>
  <c r="AY44" i="5" s="1"/>
  <c r="BH17" i="5"/>
  <c r="AU17" i="5"/>
  <c r="N27" i="5"/>
  <c r="W64" i="5"/>
  <c r="W66" i="5" s="1"/>
  <c r="L64" i="5"/>
  <c r="L66" i="5" s="1"/>
  <c r="L69" i="5" s="1"/>
  <c r="F52" i="1"/>
  <c r="F51" i="1"/>
  <c r="F50" i="1"/>
  <c r="F48" i="1"/>
  <c r="F47" i="1"/>
  <c r="F46" i="1"/>
  <c r="F44" i="1"/>
  <c r="F43" i="1"/>
  <c r="F41" i="1"/>
  <c r="F29" i="1"/>
  <c r="F27" i="1"/>
  <c r="F37" i="1"/>
  <c r="F36" i="1"/>
  <c r="F35" i="1"/>
  <c r="F34" i="1"/>
  <c r="F33" i="1"/>
  <c r="F32" i="1"/>
  <c r="F31" i="1"/>
  <c r="F30" i="1"/>
  <c r="F28" i="1"/>
  <c r="F26" i="1"/>
  <c r="F21" i="1"/>
  <c r="F19" i="1"/>
  <c r="F18" i="1"/>
  <c r="F16" i="1"/>
  <c r="F13" i="1"/>
  <c r="E48" i="1"/>
  <c r="E52" i="1"/>
  <c r="E51" i="1"/>
  <c r="E50" i="1"/>
  <c r="E47" i="1"/>
  <c r="E46" i="1"/>
  <c r="E44" i="1"/>
  <c r="E43" i="1"/>
  <c r="E41" i="1"/>
  <c r="AR30" i="5" l="1"/>
  <c r="AR32" i="5" s="1"/>
  <c r="V30" i="5"/>
  <c r="V32" i="5" s="1"/>
  <c r="AN30" i="5"/>
  <c r="AP30" i="5"/>
  <c r="AP32" i="5" s="1"/>
  <c r="W30" i="5"/>
  <c r="AE30" i="5"/>
  <c r="AE32" i="5" s="1"/>
  <c r="AF30" i="5"/>
  <c r="AF32" i="5" s="1"/>
  <c r="AD30" i="5"/>
  <c r="AD32" i="5" s="1"/>
  <c r="AC30" i="5"/>
  <c r="AH30" i="5"/>
  <c r="AB30" i="5"/>
  <c r="AQ30" i="5"/>
  <c r="AQ32" i="5" s="1"/>
  <c r="AM30" i="5"/>
  <c r="AS30" i="5"/>
  <c r="AS32" i="5" s="1"/>
  <c r="BD30" i="5"/>
  <c r="BD32" i="5" s="1"/>
  <c r="BC30" i="5"/>
  <c r="BC32" i="5" s="1"/>
  <c r="R30" i="5"/>
  <c r="X28" i="5"/>
  <c r="Y28" i="5" s="1"/>
  <c r="M23" i="5"/>
  <c r="N23" i="5" s="1"/>
  <c r="G30" i="5"/>
  <c r="G32" i="5" s="1"/>
  <c r="T30" i="5"/>
  <c r="T32" i="5" s="1"/>
  <c r="BE30" i="5"/>
  <c r="BE32" i="5" s="1"/>
  <c r="AZ23" i="5"/>
  <c r="BA23" i="5" s="1"/>
  <c r="BB30" i="5"/>
  <c r="BB32" i="5" s="1"/>
  <c r="BA28" i="5"/>
  <c r="X23" i="5"/>
  <c r="Y23" i="5" s="1"/>
  <c r="Y17" i="5"/>
  <c r="BA11" i="5"/>
  <c r="AZ14" i="5"/>
  <c r="BA14" i="5" s="1"/>
  <c r="AI14" i="5"/>
  <c r="AJ14" i="5" s="1"/>
  <c r="W69" i="5"/>
  <c r="AU14" i="5"/>
  <c r="AV14" i="5" s="1"/>
  <c r="AV11" i="5"/>
  <c r="AV17" i="5"/>
  <c r="AU23" i="5"/>
  <c r="AV23" i="5" s="1"/>
  <c r="AI23" i="5"/>
  <c r="AJ23" i="5" s="1"/>
  <c r="BI11" i="5"/>
  <c r="BH14" i="5"/>
  <c r="BI14" i="5" s="1"/>
  <c r="L32" i="5"/>
  <c r="AY30" i="5"/>
  <c r="BG30" i="5"/>
  <c r="BI17" i="5"/>
  <c r="BH23" i="5"/>
  <c r="BI23" i="5" s="1"/>
  <c r="U30" i="5"/>
  <c r="U32" i="5" s="1"/>
  <c r="X14" i="5"/>
  <c r="Y14" i="5" s="1"/>
  <c r="Q30" i="5"/>
  <c r="E35" i="1"/>
  <c r="E27" i="1"/>
  <c r="E26" i="1"/>
  <c r="E37" i="1"/>
  <c r="E36" i="1"/>
  <c r="E34" i="1"/>
  <c r="E33" i="1"/>
  <c r="E32" i="1"/>
  <c r="E31" i="1"/>
  <c r="E30" i="1"/>
  <c r="E29" i="1"/>
  <c r="E28" i="1"/>
  <c r="E23" i="1"/>
  <c r="E21" i="1"/>
  <c r="E19" i="1"/>
  <c r="E18" i="1"/>
  <c r="E22" i="1"/>
  <c r="E16" i="1"/>
  <c r="D70" i="1"/>
  <c r="E70" i="1"/>
  <c r="F70" i="1"/>
  <c r="G70" i="1"/>
  <c r="H70" i="1"/>
  <c r="I70" i="1"/>
  <c r="J70" i="1"/>
  <c r="K70" i="1"/>
  <c r="L70" i="1"/>
  <c r="C70" i="1"/>
  <c r="D46" i="1"/>
  <c r="D51" i="1"/>
  <c r="D48" i="1"/>
  <c r="D52" i="1"/>
  <c r="D47" i="1"/>
  <c r="D45" i="1"/>
  <c r="D44" i="1"/>
  <c r="D43" i="1"/>
  <c r="D41" i="1"/>
  <c r="M30" i="5" l="1"/>
  <c r="W8" i="5"/>
  <c r="W32" i="5" s="1"/>
  <c r="Q8" i="5"/>
  <c r="Q32" i="5" s="1"/>
  <c r="R8" i="5"/>
  <c r="R32" i="5" s="1"/>
  <c r="L71" i="5"/>
  <c r="E24" i="1"/>
  <c r="D35" i="1"/>
  <c r="D33" i="1"/>
  <c r="AB8" i="5" l="1"/>
  <c r="W71" i="5"/>
  <c r="D37" i="1"/>
  <c r="D36" i="1"/>
  <c r="D34" i="1"/>
  <c r="D32" i="1"/>
  <c r="D31" i="1"/>
  <c r="D30" i="1"/>
  <c r="D29" i="1"/>
  <c r="D28" i="1"/>
  <c r="D27" i="1"/>
  <c r="D26" i="1"/>
  <c r="D19" i="1"/>
  <c r="D16" i="1"/>
  <c r="AB32" i="5" l="1"/>
  <c r="AH8" i="5"/>
  <c r="AH32" i="5" s="1"/>
  <c r="AN8" i="5" s="1"/>
  <c r="AN32" i="5" s="1"/>
  <c r="AC8" i="5"/>
  <c r="AC32" i="5" s="1"/>
  <c r="D21" i="1"/>
  <c r="D18" i="1"/>
  <c r="D22" i="1"/>
  <c r="C48" i="1"/>
  <c r="C52" i="1"/>
  <c r="C51" i="1"/>
  <c r="AM8" i="5" l="1"/>
  <c r="AM32" i="5" s="1"/>
  <c r="AT8" i="5"/>
  <c r="AT32" i="5" s="1"/>
  <c r="D24" i="1"/>
  <c r="C46" i="1"/>
  <c r="C45" i="1"/>
  <c r="C44" i="1"/>
  <c r="C43" i="1"/>
  <c r="C41" i="1"/>
  <c r="AY8" i="5" l="1"/>
  <c r="AY32" i="5" s="1"/>
  <c r="BG8" i="5"/>
  <c r="BG32" i="5" s="1"/>
  <c r="BG71" i="5" s="1"/>
  <c r="AT71" i="5"/>
  <c r="C35" i="1"/>
  <c r="C36" i="1"/>
  <c r="C37" i="1"/>
  <c r="C34" i="1"/>
  <c r="C33" i="1"/>
  <c r="C32" i="1"/>
  <c r="C31" i="1"/>
  <c r="C30" i="1"/>
  <c r="C29" i="1"/>
  <c r="C28" i="1"/>
  <c r="C27" i="1"/>
  <c r="C26" i="1"/>
  <c r="C21" i="1"/>
  <c r="C16" i="1"/>
  <c r="C19" i="1"/>
  <c r="C18" i="1"/>
  <c r="C22" i="1"/>
  <c r="C13" i="1"/>
  <c r="D13" i="1"/>
  <c r="E13" i="1"/>
  <c r="G13" i="1"/>
  <c r="H13" i="1"/>
  <c r="I13" i="1"/>
  <c r="J13" i="1"/>
  <c r="K13" i="1"/>
  <c r="L13" i="1"/>
  <c r="G24" i="1"/>
  <c r="F24" i="1"/>
  <c r="H24" i="1"/>
  <c r="I24" i="1"/>
  <c r="J24" i="1"/>
  <c r="K24" i="1"/>
  <c r="L24" i="1"/>
  <c r="D39" i="1"/>
  <c r="E39" i="1"/>
  <c r="F39" i="1"/>
  <c r="G39" i="1"/>
  <c r="H39" i="1"/>
  <c r="I39" i="1"/>
  <c r="J39" i="1"/>
  <c r="K39" i="1"/>
  <c r="L39" i="1"/>
  <c r="C53" i="1"/>
  <c r="D53" i="1"/>
  <c r="E53" i="1"/>
  <c r="F53" i="1"/>
  <c r="G53" i="1"/>
  <c r="H53" i="1"/>
  <c r="I53" i="1"/>
  <c r="J53" i="1"/>
  <c r="K53" i="1"/>
  <c r="L53" i="1"/>
  <c r="C59" i="1"/>
  <c r="D59" i="1"/>
  <c r="E59" i="1"/>
  <c r="F59" i="1"/>
  <c r="G59" i="1"/>
  <c r="H59" i="1"/>
  <c r="I59" i="1"/>
  <c r="J59" i="1"/>
  <c r="K59" i="1"/>
  <c r="L59" i="1"/>
  <c r="P70" i="1"/>
  <c r="C24" i="1" l="1"/>
  <c r="E54" i="1"/>
  <c r="E72" i="1" s="1"/>
  <c r="D54" i="1"/>
  <c r="D72" i="1" s="1"/>
  <c r="L54" i="1"/>
  <c r="L72" i="1" s="1"/>
  <c r="L77" i="1" s="1"/>
  <c r="J54" i="1"/>
  <c r="J72" i="1" s="1"/>
  <c r="H54" i="1"/>
  <c r="H72" i="1" s="1"/>
  <c r="F54" i="1"/>
  <c r="F72" i="1" s="1"/>
  <c r="G54" i="1"/>
  <c r="G72" i="1" s="1"/>
  <c r="K54" i="1"/>
  <c r="K72" i="1" s="1"/>
  <c r="I54" i="1"/>
  <c r="I72" i="1" s="1"/>
  <c r="C39" i="1"/>
  <c r="C54" i="1" l="1"/>
  <c r="C72" i="1" s="1"/>
  <c r="C77" i="1" s="1"/>
  <c r="D74" i="1" s="1"/>
  <c r="D77" i="1" s="1"/>
  <c r="E74" i="1" l="1"/>
  <c r="E77" i="1" s="1"/>
  <c r="F74" i="1" l="1"/>
  <c r="F77" i="1" s="1"/>
  <c r="G74" i="1"/>
  <c r="G77" i="1" s="1"/>
  <c r="H74" i="1" l="1"/>
  <c r="H77" i="1" s="1"/>
  <c r="I74" i="1" s="1"/>
  <c r="I77" i="1" s="1"/>
  <c r="J74" i="1" s="1"/>
  <c r="J77" i="1" s="1"/>
  <c r="K74" i="1" s="1"/>
  <c r="K77" i="1" s="1"/>
</calcChain>
</file>

<file path=xl/comments1.xml><?xml version="1.0" encoding="utf-8"?>
<comments xmlns="http://schemas.openxmlformats.org/spreadsheetml/2006/main">
  <authors>
    <author>Leila Menor</author>
  </authors>
  <commentList>
    <comment ref="H49" authorId="0" shapeId="0">
      <text>
        <r>
          <rPr>
            <b/>
            <sz val="9"/>
            <color indexed="81"/>
            <rFont val="Tahoma"/>
            <family val="2"/>
          </rPr>
          <t>Leila Menor:</t>
        </r>
        <r>
          <rPr>
            <sz val="9"/>
            <color indexed="81"/>
            <rFont val="Tahoma"/>
            <family val="2"/>
          </rPr>
          <t xml:space="preserve">
17001</t>
        </r>
      </text>
    </comment>
  </commentList>
</comments>
</file>

<file path=xl/connections.xml><?xml version="1.0" encoding="utf-8"?>
<connections xmlns="http://schemas.openxmlformats.org/spreadsheetml/2006/main">
  <connection id="1" name="qsysprt" type="6" refreshedVersion="4" background="1" saveData="1">
    <textPr codePage="437" sourceFile="C:\Users\ktrammel\Desktop\qsysprt.txt" delimited="0">
      <textFields count="5">
        <textField type="text"/>
        <textField position="69"/>
        <textField position="85"/>
        <textField position="105"/>
        <textField position="124"/>
      </textFields>
    </textPr>
  </connection>
</connections>
</file>

<file path=xl/sharedStrings.xml><?xml version="1.0" encoding="utf-8"?>
<sst xmlns="http://schemas.openxmlformats.org/spreadsheetml/2006/main" count="1307" uniqueCount="682">
  <si>
    <t>Fund Balance</t>
  </si>
  <si>
    <t xml:space="preserve">   Adjustment</t>
  </si>
  <si>
    <t>Beginning Balance</t>
  </si>
  <si>
    <t>Total Fund Expenses</t>
  </si>
  <si>
    <t>Total Outlay</t>
  </si>
  <si>
    <t>Transportation Traffic Control Replacement-Imprv</t>
  </si>
  <si>
    <t>Traffic Signal Replcment</t>
  </si>
  <si>
    <t>Capital Improvements</t>
  </si>
  <si>
    <t>Interest</t>
  </si>
  <si>
    <t>Principal</t>
  </si>
  <si>
    <t>Debt</t>
  </si>
  <si>
    <t>Total Ops</t>
  </si>
  <si>
    <t>Ops Expense</t>
  </si>
  <si>
    <t>Admin Expenses</t>
  </si>
  <si>
    <t>Insurance</t>
  </si>
  <si>
    <t>Repairs &amp; Maint</t>
  </si>
  <si>
    <t>Maint Agreements</t>
  </si>
  <si>
    <t>Dues Subscript</t>
  </si>
  <si>
    <t>6200.01-09</t>
  </si>
  <si>
    <t>Supplies</t>
  </si>
  <si>
    <t>6100.01-03</t>
  </si>
  <si>
    <t>Utilities</t>
  </si>
  <si>
    <t>Professional Svc</t>
  </si>
  <si>
    <t>Benefits</t>
  </si>
  <si>
    <t>OPEB</t>
  </si>
  <si>
    <t>Cell</t>
  </si>
  <si>
    <t>Physical</t>
  </si>
  <si>
    <t>Medicare</t>
  </si>
  <si>
    <t>Deferred Comp</t>
  </si>
  <si>
    <t>LTD</t>
  </si>
  <si>
    <t>WC</t>
  </si>
  <si>
    <t>Life</t>
  </si>
  <si>
    <t>Vision</t>
  </si>
  <si>
    <t>Dental</t>
  </si>
  <si>
    <t>Health</t>
  </si>
  <si>
    <t>Retirement</t>
  </si>
  <si>
    <t>Salaries</t>
  </si>
  <si>
    <t>Furloughs</t>
  </si>
  <si>
    <t>Longevity</t>
  </si>
  <si>
    <t>AL</t>
  </si>
  <si>
    <t>OT</t>
  </si>
  <si>
    <t>PT</t>
  </si>
  <si>
    <t>EXPENSES</t>
  </si>
  <si>
    <t>Total Revenue</t>
  </si>
  <si>
    <t>Other Revenue - Misc Reimbursement</t>
  </si>
  <si>
    <t>Unallocated Investment Expense</t>
  </si>
  <si>
    <t>Interest on Investments</t>
  </si>
  <si>
    <t>Intergov. Revenues - 2103 Apportionment</t>
  </si>
  <si>
    <t>Intergov. Revenues - 2107.5 Apportionment</t>
  </si>
  <si>
    <t>Intergov. Revenues - 2107 Apportionment</t>
  </si>
  <si>
    <t>Intergov. Revenues - 2106 Apportionment</t>
  </si>
  <si>
    <t>Intergov. Revenues - 2105 Apportionment</t>
  </si>
  <si>
    <t>REVENUE</t>
  </si>
  <si>
    <t>FY21</t>
  </si>
  <si>
    <t>FY20</t>
  </si>
  <si>
    <t>FY19</t>
  </si>
  <si>
    <t>FY18</t>
  </si>
  <si>
    <t>FY17</t>
  </si>
  <si>
    <t>FY16</t>
  </si>
  <si>
    <t>FY15</t>
  </si>
  <si>
    <t>FY14</t>
  </si>
  <si>
    <t>FY13</t>
  </si>
  <si>
    <t>Projected</t>
  </si>
  <si>
    <t>AmendBudget</t>
  </si>
  <si>
    <t>OOC</t>
  </si>
  <si>
    <t>Uniform</t>
  </si>
  <si>
    <t>6000.01-09</t>
  </si>
  <si>
    <t>Supplies - PW</t>
  </si>
  <si>
    <t>6280.01-09</t>
  </si>
  <si>
    <t>Operating Fees</t>
  </si>
  <si>
    <t>6350.01-05</t>
  </si>
  <si>
    <t>Repairs &amp; Maint - Transportation</t>
  </si>
  <si>
    <t>3 Speed Walk Behind Saw</t>
  </si>
  <si>
    <t>Tack Distributor</t>
  </si>
  <si>
    <t>6400.02-22</t>
  </si>
  <si>
    <t>6600.01-36</t>
  </si>
  <si>
    <t>Salaries WC</t>
  </si>
  <si>
    <t>Pavement Maintenance</t>
  </si>
  <si>
    <r>
      <t xml:space="preserve">SPE/Bartell Scarifier - </t>
    </r>
    <r>
      <rPr>
        <sz val="11"/>
        <color rgb="FFFF0000"/>
        <rFont val="Calibri"/>
        <family val="2"/>
        <scheme val="minor"/>
      </rPr>
      <t>Complete</t>
    </r>
  </si>
  <si>
    <r>
      <t xml:space="preserve">WANCO Message Boards - </t>
    </r>
    <r>
      <rPr>
        <sz val="11"/>
        <color rgb="FFFF0000"/>
        <rFont val="Calibri"/>
        <family val="2"/>
        <scheme val="minor"/>
      </rPr>
      <t>complete</t>
    </r>
  </si>
  <si>
    <t>FY 2017-18</t>
  </si>
  <si>
    <t>FY 2018-19</t>
  </si>
  <si>
    <t>FY 2019-20</t>
  </si>
  <si>
    <t>FY 2020-21</t>
  </si>
  <si>
    <t>FY 2021-22</t>
  </si>
  <si>
    <t>Adopted Budget</t>
  </si>
  <si>
    <t>Current Budget</t>
  </si>
  <si>
    <t>Year to Date 
Period 3</t>
  </si>
  <si>
    <t>Year to Date 
Period 6</t>
  </si>
  <si>
    <t>Year to Date 
Period 9</t>
  </si>
  <si>
    <t>Year to Date 
Period 12</t>
  </si>
  <si>
    <t>Actual</t>
  </si>
  <si>
    <t>Adopted Budget Vs. Year End Projection</t>
  </si>
  <si>
    <t>Comments</t>
  </si>
  <si>
    <t>Adopted  Budget</t>
  </si>
  <si>
    <t>Year End Projection</t>
  </si>
  <si>
    <t>Current Budget Vs. Year End Projection</t>
  </si>
  <si>
    <t>Proposed  Budget</t>
  </si>
  <si>
    <t>Proposed Budget Vs. Year End Projection</t>
  </si>
  <si>
    <t>Beginning  Balance</t>
  </si>
  <si>
    <t>Revenue</t>
  </si>
  <si>
    <t>Investment Earnings</t>
  </si>
  <si>
    <t>Other Revenues</t>
  </si>
  <si>
    <t>Expenditures</t>
  </si>
  <si>
    <t>Employee Services</t>
  </si>
  <si>
    <t>Professional Services</t>
  </si>
  <si>
    <t>Capital Outlay</t>
  </si>
  <si>
    <t xml:space="preserve">Capital Projects </t>
  </si>
  <si>
    <t>Total Expenditures</t>
  </si>
  <si>
    <t>Transfers</t>
  </si>
  <si>
    <t>Transfer In</t>
  </si>
  <si>
    <t>Transfer Out</t>
  </si>
  <si>
    <t>Total Transfers</t>
  </si>
  <si>
    <t>Net Annual Activity</t>
  </si>
  <si>
    <t>Ending Balance</t>
  </si>
  <si>
    <t>Outstanding Budget Items:</t>
  </si>
  <si>
    <t xml:space="preserve">New Positions Requests </t>
  </si>
  <si>
    <t>New Revenue</t>
  </si>
  <si>
    <t>Subtotal Positions</t>
  </si>
  <si>
    <t>New Funding Requests</t>
  </si>
  <si>
    <t xml:space="preserve">Supported </t>
  </si>
  <si>
    <t>Other</t>
  </si>
  <si>
    <t>Subtotal New Funding Requests</t>
  </si>
  <si>
    <t>Department Total Request</t>
  </si>
  <si>
    <t>Balance Sheet at June 30</t>
  </si>
  <si>
    <t>2018</t>
  </si>
  <si>
    <t>2019</t>
  </si>
  <si>
    <t>2020</t>
  </si>
  <si>
    <t>2021</t>
  </si>
  <si>
    <t>Assets</t>
  </si>
  <si>
    <t>Cash</t>
  </si>
  <si>
    <t>Fair Market Value</t>
  </si>
  <si>
    <t>Accounts receivable</t>
  </si>
  <si>
    <t>Due from other Govt</t>
  </si>
  <si>
    <t>Other Current Assets</t>
  </si>
  <si>
    <t>Total assets</t>
  </si>
  <si>
    <t>Liabilities</t>
  </si>
  <si>
    <t>Accounts payable</t>
  </si>
  <si>
    <t>Accrued benefits-(long term)</t>
  </si>
  <si>
    <t>Due to other funds</t>
  </si>
  <si>
    <t>Total Liabilities</t>
  </si>
  <si>
    <t>Fund balance</t>
  </si>
  <si>
    <t xml:space="preserve">Available balance </t>
  </si>
  <si>
    <t>Current assets</t>
  </si>
  <si>
    <t xml:space="preserve">Working capital </t>
  </si>
  <si>
    <t>Less: program commitments</t>
  </si>
  <si>
    <t>Encumbrances</t>
  </si>
  <si>
    <t>Ending Available Balance</t>
  </si>
  <si>
    <t>Gas Tax</t>
  </si>
  <si>
    <t>Mapping</t>
  </si>
  <si>
    <t>Account</t>
  </si>
  <si>
    <t>Dept</t>
  </si>
  <si>
    <t>Div</t>
  </si>
  <si>
    <t>Program</t>
  </si>
  <si>
    <t>Element/Object</t>
  </si>
  <si>
    <t>Description</t>
  </si>
  <si>
    <t>Year to Date Period 3</t>
  </si>
  <si>
    <t>Year to Date Period 6</t>
  </si>
  <si>
    <t>Year to Date Period 9</t>
  </si>
  <si>
    <t>Year to Date Period 12</t>
  </si>
  <si>
    <t>Actual Vs Budget</t>
  </si>
  <si>
    <t>Current Budget Vs Projection</t>
  </si>
  <si>
    <t>00</t>
  </si>
  <si>
    <t>Capital Outlay Operations Equip-Minor</t>
  </si>
  <si>
    <t>Capital Outlay General</t>
  </si>
  <si>
    <t>Salaries Regular</t>
  </si>
  <si>
    <t>Salaries Part Time</t>
  </si>
  <si>
    <t>Salaries Overtime</t>
  </si>
  <si>
    <t>Salaries Holiday Pay</t>
  </si>
  <si>
    <t>Salaries Duty Pay</t>
  </si>
  <si>
    <t>Salaries Out of Class</t>
  </si>
  <si>
    <t>Salaries Admin Leave Pay</t>
  </si>
  <si>
    <t>Salaries Longevity Pay</t>
  </si>
  <si>
    <t>Salaries Mutual Aid Overtime</t>
  </si>
  <si>
    <t>Salaries Furloughs</t>
  </si>
  <si>
    <t>Salaries Worker's Comp</t>
  </si>
  <si>
    <t>Salaries Compensated Absences</t>
  </si>
  <si>
    <t>Salaries New Personnel Requests</t>
  </si>
  <si>
    <t>Benefits PERS Pool Liability</t>
  </si>
  <si>
    <t>Benefits Retirement</t>
  </si>
  <si>
    <t>Benefits Health Insurance</t>
  </si>
  <si>
    <t>Benefits Dental Insurance</t>
  </si>
  <si>
    <t>Benefits Vision Insurance</t>
  </si>
  <si>
    <t>Benefits Life Insurance</t>
  </si>
  <si>
    <t>Benefits Worker's Comp</t>
  </si>
  <si>
    <t>Benefits Long Term Disability</t>
  </si>
  <si>
    <t>Benefits Deferred Compensation</t>
  </si>
  <si>
    <t>Benefits Unemployment Insurance</t>
  </si>
  <si>
    <t>Benefits Uniform Allowance</t>
  </si>
  <si>
    <t>Benefits Medicare</t>
  </si>
  <si>
    <t>Benefits Annual Physical Exam</t>
  </si>
  <si>
    <t>Benefits Employee Assistance Program</t>
  </si>
  <si>
    <t>Benefits PPE</t>
  </si>
  <si>
    <t>Benefits Cell Phone Allowance</t>
  </si>
  <si>
    <t>Benefits 1959 Survivor Retirement</t>
  </si>
  <si>
    <t>Professional Services General</t>
  </si>
  <si>
    <t>Professional Services Uniform</t>
  </si>
  <si>
    <t>Professional Services Contract Services</t>
  </si>
  <si>
    <t>Utilities Electric</t>
  </si>
  <si>
    <t>Supplies Special Department</t>
  </si>
  <si>
    <t>Supplies Copier Maintenance &amp; Supplies</t>
  </si>
  <si>
    <t>Supplies Gasoline</t>
  </si>
  <si>
    <t>Supplies Uniforms</t>
  </si>
  <si>
    <t>Repairs &amp; Maintenance Minor Equipment/Other</t>
  </si>
  <si>
    <t>Repairs &amp; Maintenance Equipment Rental</t>
  </si>
  <si>
    <t>Repairs &amp; Maintenance Vehicle</t>
  </si>
  <si>
    <t>Claims &amp; Insurance Insurance Premiums</t>
  </si>
  <si>
    <t>Administrative Expenses Training/Conferences</t>
  </si>
  <si>
    <t>Administrative Expenses Employee Recruitment</t>
  </si>
  <si>
    <t>Administrative Expenses Support Services-IT</t>
  </si>
  <si>
    <t>Administrative Expenses Equipment Fund Contribution</t>
  </si>
  <si>
    <t>Administrative Expenses IT Fund Contribution</t>
  </si>
  <si>
    <t>Dues &amp; Subscriptions Certifications</t>
  </si>
  <si>
    <t>Administrative Expenses Vehicle Fund Contribution</t>
  </si>
  <si>
    <t>Investment Earnings Interest on Investments</t>
  </si>
  <si>
    <t>Investment Earnings Unallocated Investment Expense</t>
  </si>
  <si>
    <t>BALANCE SHEET</t>
  </si>
  <si>
    <t>FUND 620</t>
  </si>
  <si>
    <t>FY 2016-17</t>
  </si>
  <si>
    <t>ASSETS</t>
  </si>
  <si>
    <t xml:space="preserve">CASH &amp; CASH EQUIVALENTS </t>
  </si>
  <si>
    <t>TEMPORARY INVESTMENTS</t>
  </si>
  <si>
    <t>RECEIVABLES / INTEREST RECEIVABLE</t>
  </si>
  <si>
    <t>DUE FR OTHER GOVT UNITS / STATE</t>
  </si>
  <si>
    <t>OTHER CURRENT ASSETS</t>
  </si>
  <si>
    <t>TOTAL ASSETS</t>
  </si>
  <si>
    <t>LIABILITIES</t>
  </si>
  <si>
    <t>CURRENT PAYABLES / VOUCHERS PAYABLE</t>
  </si>
  <si>
    <t>VOUCHERS PAYABLE / SPECIAL</t>
  </si>
  <si>
    <t xml:space="preserve">SPECIAL / ACCT-YE MANUAL ACCRUALS </t>
  </si>
  <si>
    <t>CONSTRUCTION / RETAINAGE</t>
  </si>
  <si>
    <t xml:space="preserve"> ACCRUED PAYROLL/BENEFITS  </t>
  </si>
  <si>
    <t>CURRENT PAYABLES /  DUE TO OTHER FUNDS</t>
  </si>
  <si>
    <t>STATE / TAXES</t>
  </si>
  <si>
    <t>TOTAL LIABILITIES</t>
  </si>
  <si>
    <t>TOTAL FUND EQUITY</t>
  </si>
  <si>
    <t>proof</t>
  </si>
  <si>
    <t>FUND EQUITY</t>
  </si>
  <si>
    <t>FUND BALANCE-RESTRICTED / RESTRICTED</t>
  </si>
  <si>
    <t>420.00.00.900-4400.10</t>
  </si>
  <si>
    <t>420.00.00.900-4400.11</t>
  </si>
  <si>
    <t>420.00.00.900-4400.12</t>
  </si>
  <si>
    <t>420.00.00.900-4400.13</t>
  </si>
  <si>
    <t>420.00.00.900-4400.14</t>
  </si>
  <si>
    <t>420.00.00.900-4400.29</t>
  </si>
  <si>
    <t>420.00.00.900-4400.30</t>
  </si>
  <si>
    <t>Intergovernmental Revenues Gas Tax-2105 Apportionment</t>
  </si>
  <si>
    <t>Intergovernmental Revenues Gas Tax-2106 Apportionment</t>
  </si>
  <si>
    <t>Intergovernmental Revenues Gas Tax-2107 Apportionment</t>
  </si>
  <si>
    <t>Intergovernmental Revenues Gas Tax 2107.5 Apportionment</t>
  </si>
  <si>
    <t>Intergovernmental Revenues Gas Tax-2103 Apportionment</t>
  </si>
  <si>
    <t>Intergovernmental Revenues Gas Tax 2031 Apportionment</t>
  </si>
  <si>
    <t>Intergovernmental Revenues Gas Tax Repayment</t>
  </si>
  <si>
    <t>420.00.00.900-4700.01</t>
  </si>
  <si>
    <t>420.00.00.900-4700.21</t>
  </si>
  <si>
    <t>420.00.00.900-6410.01</t>
  </si>
  <si>
    <t>420.00.00.900-6410.05</t>
  </si>
  <si>
    <t>420.00.00.900-6410.07</t>
  </si>
  <si>
    <t>Repairs &amp; Maintenance-Transportation Pavement</t>
  </si>
  <si>
    <t>Repairs &amp; Maintenance-Transportation Curb,Gutter, Sidewalk</t>
  </si>
  <si>
    <t>Repairs &amp; Maintenance-Transportation Soundwall</t>
  </si>
  <si>
    <t>420.00.00.900-7000.03</t>
  </si>
  <si>
    <t>420.00.00.900-7000.99</t>
  </si>
  <si>
    <t>420.00.00.900-8150.08</t>
  </si>
  <si>
    <t>420.00.00.900-8150.46</t>
  </si>
  <si>
    <t>420.00.00.900-8150.99</t>
  </si>
  <si>
    <t>Capital Improvements-Transportation AB 2928 Projects</t>
  </si>
  <si>
    <t>Capital Improvements-Transportation SB1 Projects</t>
  </si>
  <si>
    <t>Capital Improvements-Transportation General</t>
  </si>
  <si>
    <t>420.20.25.330-5000.01</t>
  </si>
  <si>
    <t>420.20.25.330-5000.02</t>
  </si>
  <si>
    <t>420.20.25.330-5000.03</t>
  </si>
  <si>
    <t>420.20.25.330-5000.04</t>
  </si>
  <si>
    <t>420.20.25.330-5000.05</t>
  </si>
  <si>
    <t>420.20.25.330-5000.06</t>
  </si>
  <si>
    <t>420.20.25.330-5000.07</t>
  </si>
  <si>
    <t>420.20.25.330-5000.08</t>
  </si>
  <si>
    <t>420.20.25.330-5000.09</t>
  </si>
  <si>
    <t>420.20.25.330-5000.10</t>
  </si>
  <si>
    <t>420.20.25.330-5000.11</t>
  </si>
  <si>
    <t>420.20.25.330-5000.12</t>
  </si>
  <si>
    <t>420.20.25.330-5000.99</t>
  </si>
  <si>
    <t>420.20.25.330-5100.00</t>
  </si>
  <si>
    <t>420.20.25.330-5100.01</t>
  </si>
  <si>
    <t>420.20.25.330-5100.02</t>
  </si>
  <si>
    <t>420.20.25.330-5100.03</t>
  </si>
  <si>
    <t>420.20.25.330-5100.04</t>
  </si>
  <si>
    <t>420.20.25.330-5100.05</t>
  </si>
  <si>
    <t>420.20.25.330-5100.06</t>
  </si>
  <si>
    <t>420.20.25.330-5100.07</t>
  </si>
  <si>
    <t>420.20.25.330-5100.08</t>
  </si>
  <si>
    <t>420.20.25.330-5100.09</t>
  </si>
  <si>
    <t>420.20.25.330-5100.10</t>
  </si>
  <si>
    <t>420.20.25.330-5100.11</t>
  </si>
  <si>
    <t>420.20.25.330-5100.12</t>
  </si>
  <si>
    <t>420.20.25.330-5100.13</t>
  </si>
  <si>
    <t>420.20.25.330-5100.14</t>
  </si>
  <si>
    <t>420.20.25.330-5100.15</t>
  </si>
  <si>
    <t>420.20.25.330-5100.16</t>
  </si>
  <si>
    <t>420.20.25.330-5100.17</t>
  </si>
  <si>
    <t xml:space="preserve">Benefits Other Post Employment Benefits </t>
  </si>
  <si>
    <t>420.20.25.330-6000.09</t>
  </si>
  <si>
    <t>420.20.25.330-6200.10</t>
  </si>
  <si>
    <t>420.20.25.330-6600.07</t>
  </si>
  <si>
    <t>Supplies Protective Clothing</t>
  </si>
  <si>
    <t>420.40.60.520-5100.00</t>
  </si>
  <si>
    <t>420.40.60.520-6400.05</t>
  </si>
  <si>
    <t>420.40.60.520-7000.03</t>
  </si>
  <si>
    <t>420.40.60.530-5100.00</t>
  </si>
  <si>
    <t>420.40.60.530-6400.05</t>
  </si>
  <si>
    <t>420.40.70.015-5000.99</t>
  </si>
  <si>
    <t>420.40.70.015-5100.00</t>
  </si>
  <si>
    <t>420.40.70.015-6500.04</t>
  </si>
  <si>
    <t>420.40.70.570-5000.01</t>
  </si>
  <si>
    <t>420.40.70.570-5000.02</t>
  </si>
  <si>
    <t>420.40.70.570-5000.03</t>
  </si>
  <si>
    <t>420.40.70.570-5000.04</t>
  </si>
  <si>
    <t>420.40.70.570-5000.06</t>
  </si>
  <si>
    <t>420.40.70.570-5000.07</t>
  </si>
  <si>
    <t>420.40.70.570-5000.08</t>
  </si>
  <si>
    <t>420.40.70.570-5000.10</t>
  </si>
  <si>
    <t>420.40.70.570-5000.11</t>
  </si>
  <si>
    <t>420.40.70.570-5000.12</t>
  </si>
  <si>
    <t>420.40.70.570-5000.99</t>
  </si>
  <si>
    <t>420.40.70.570-5100.00</t>
  </si>
  <si>
    <t>420.40.70.570-5100.01</t>
  </si>
  <si>
    <t>420.40.70.570-5100.02</t>
  </si>
  <si>
    <t>420.40.70.570-5100.03</t>
  </si>
  <si>
    <t>420.40.70.570-5100.04</t>
  </si>
  <si>
    <t>420.40.70.570-5100.05</t>
  </si>
  <si>
    <t>420.40.70.570-5100.06</t>
  </si>
  <si>
    <t>420.40.70.570-5100.07</t>
  </si>
  <si>
    <t>420.40.70.570-5100.08</t>
  </si>
  <si>
    <t>420.40.70.570-5100.09</t>
  </si>
  <si>
    <t>420.40.70.570-5100.10</t>
  </si>
  <si>
    <t>420.40.70.570-5100.11</t>
  </si>
  <si>
    <t>420.40.70.570-5100.12</t>
  </si>
  <si>
    <t>420.40.70.570-5100.15</t>
  </si>
  <si>
    <t>420.40.70.570-5100.17</t>
  </si>
  <si>
    <t>420.40.70.570-6000.01</t>
  </si>
  <si>
    <t>420.40.70.570-6000.09</t>
  </si>
  <si>
    <t>420.40.70.570-6000.12</t>
  </si>
  <si>
    <t>420.40.70.570-6100.01</t>
  </si>
  <si>
    <t>420.40.70.570-6200.02</t>
  </si>
  <si>
    <t>420.40.70.570-6200.03</t>
  </si>
  <si>
    <t>420.40.70.570-6200.05</t>
  </si>
  <si>
    <t>420.40.70.570-6200.06</t>
  </si>
  <si>
    <t>420.40.70.570-6200.07</t>
  </si>
  <si>
    <t>420.40.70.570-6200.08</t>
  </si>
  <si>
    <t>420.40.70.570-6280.01</t>
  </si>
  <si>
    <t>420.40.70.570-6280.02</t>
  </si>
  <si>
    <t>420.40.70.570-6280.05</t>
  </si>
  <si>
    <t>420.40.70.570-6280.06</t>
  </si>
  <si>
    <t>420.40.70.570-6300.03</t>
  </si>
  <si>
    <t>420.40.70.570-6350.05</t>
  </si>
  <si>
    <t>420.40.70.570-6375.19</t>
  </si>
  <si>
    <t>420.40.70.570-6400.02</t>
  </si>
  <si>
    <t>420.40.70.570-6400.04</t>
  </si>
  <si>
    <t>420.40.70.570-6400.05</t>
  </si>
  <si>
    <t>420.40.70.570-6400.06</t>
  </si>
  <si>
    <t>420.40.70.570-6400.07</t>
  </si>
  <si>
    <t>420.40.70.570-6400.10</t>
  </si>
  <si>
    <t>420.40.70.570-6400.18</t>
  </si>
  <si>
    <t>420.40.70.570-6400.21</t>
  </si>
  <si>
    <t>420.40.70.570-6410.02</t>
  </si>
  <si>
    <t>420.40.70.570-6410.07</t>
  </si>
  <si>
    <t>420.40.70.570-6410.08</t>
  </si>
  <si>
    <t>420.40.70.570-6500.04</t>
  </si>
  <si>
    <t>420.40.70.570-6600.04</t>
  </si>
  <si>
    <t>420.40.70.570-6600.07</t>
  </si>
  <si>
    <t>420.40.70.570-6600.26</t>
  </si>
  <si>
    <t>420.40.70.570-6600.28</t>
  </si>
  <si>
    <t>420.40.70.570-6600.32</t>
  </si>
  <si>
    <t>420.40.70.570-6600.36</t>
  </si>
  <si>
    <t>Supplies Propane</t>
  </si>
  <si>
    <t>Supplies Radio Communication &amp; Maint.</t>
  </si>
  <si>
    <t>Supplies-Public Works Street Maintenance</t>
  </si>
  <si>
    <t>Supplies-Public Works Pavement Repair</t>
  </si>
  <si>
    <t>Supplies-Public Works Traffic Signs</t>
  </si>
  <si>
    <t>Supplies-Public Works ROW Maintenance</t>
  </si>
  <si>
    <t>Maintenance Agreements &amp; Licenses Traffic Control</t>
  </si>
  <si>
    <t>Operating Fees Highway Signal</t>
  </si>
  <si>
    <t>Repairs &amp; Maintenance Smog Retrofit</t>
  </si>
  <si>
    <t>Repairs &amp; Maintenance Radio Communication</t>
  </si>
  <si>
    <t>Repairs &amp; Maintenance Pavement</t>
  </si>
  <si>
    <t>Repairs &amp; Maintenance Streetlight</t>
  </si>
  <si>
    <t>Repairs &amp; Maintenance Soundwall/Barriers</t>
  </si>
  <si>
    <t>Repairs &amp; Maintenance-Transportation Slurry/Overlay</t>
  </si>
  <si>
    <t>Repairs &amp; Maintenance-Transportation Streetlights</t>
  </si>
  <si>
    <t>420.40.70.570-7000.03</t>
  </si>
  <si>
    <t>420.40.70.580-5000.01</t>
  </si>
  <si>
    <t>420.40.70.580-5000.02</t>
  </si>
  <si>
    <t>420.40.70.580-5000.03</t>
  </si>
  <si>
    <t>420.40.70.580-5000.04</t>
  </si>
  <si>
    <t>420.40.70.580-5000.06</t>
  </si>
  <si>
    <t>420.40.70.580-5000.07</t>
  </si>
  <si>
    <t>420.40.70.580-5000.08</t>
  </si>
  <si>
    <t>420.40.70.580-5000.10</t>
  </si>
  <si>
    <t>420.40.70.580-5000.11</t>
  </si>
  <si>
    <t>420.40.70.580-5000.12</t>
  </si>
  <si>
    <t>420.40.70.580-5100.00</t>
  </si>
  <si>
    <t>420.40.70.580-5100.01</t>
  </si>
  <si>
    <t>420.40.70.580-5100.02</t>
  </si>
  <si>
    <t>420.40.70.580-5100.03</t>
  </si>
  <si>
    <t>420.40.70.580-5100.04</t>
  </si>
  <si>
    <t>420.40.70.580-5100.05</t>
  </si>
  <si>
    <t>420.40.70.580-5100.06</t>
  </si>
  <si>
    <t>420.40.70.580-5100.07</t>
  </si>
  <si>
    <t>420.40.70.580-5100.08</t>
  </si>
  <si>
    <t>420.40.70.580-5100.09</t>
  </si>
  <si>
    <t>420.40.70.580-5100.10</t>
  </si>
  <si>
    <t>420.40.70.580-5100.11</t>
  </si>
  <si>
    <t>420.40.70.580-5100.12</t>
  </si>
  <si>
    <t>420.40.70.580-5100.15</t>
  </si>
  <si>
    <t>420.40.70.580-5100.17</t>
  </si>
  <si>
    <t>420.40.70.580-6000.09</t>
  </si>
  <si>
    <t>420.40.70.580-6200.03</t>
  </si>
  <si>
    <t>420.40.70.580-6280.03</t>
  </si>
  <si>
    <t>420.40.70.580-6280.04</t>
  </si>
  <si>
    <t>420.40.70.580-6400.22</t>
  </si>
  <si>
    <t>420.40.70.580-6410.05</t>
  </si>
  <si>
    <t>420.40.70.580-7000.03</t>
  </si>
  <si>
    <t>420.40.70.580-7000.99</t>
  </si>
  <si>
    <t>420.40.70.590-5000</t>
  </si>
  <si>
    <t>420.40.70.590-5000.01</t>
  </si>
  <si>
    <t>420.40.70.590-5000.02</t>
  </si>
  <si>
    <t>420.40.70.590-5000.03</t>
  </si>
  <si>
    <t>420.40.70.590-5000.04</t>
  </si>
  <si>
    <t>420.40.70.590-5000.06</t>
  </si>
  <si>
    <t>420.40.70.590-5000.07</t>
  </si>
  <si>
    <t>420.40.70.590-5000.08</t>
  </si>
  <si>
    <t>420.40.70.590-5000.10</t>
  </si>
  <si>
    <t>420.40.70.590-5000.11</t>
  </si>
  <si>
    <t>420.40.70.590-5000.12</t>
  </si>
  <si>
    <t>420.40.70.590-5100.00</t>
  </si>
  <si>
    <t>420.40.70.590-5100.01</t>
  </si>
  <si>
    <t>420.40.70.590-5100.02</t>
  </si>
  <si>
    <t>420.40.70.590-5100.03</t>
  </si>
  <si>
    <t>420.40.70.590-5100.04</t>
  </si>
  <si>
    <t>420.40.70.590-5100.05</t>
  </si>
  <si>
    <t>420.40.70.590-5100.06</t>
  </si>
  <si>
    <t>420.40.70.590-5100.07</t>
  </si>
  <si>
    <t>420.40.70.590-5100.08</t>
  </si>
  <si>
    <t>420.40.70.590-5100.09</t>
  </si>
  <si>
    <t>420.40.70.590-5100.10</t>
  </si>
  <si>
    <t>420.40.70.590-5100.11</t>
  </si>
  <si>
    <t>420.40.70.590-5100.12</t>
  </si>
  <si>
    <t>420.40.70.590-5100.13</t>
  </si>
  <si>
    <t>420.40.70.590-5100.15</t>
  </si>
  <si>
    <t>420.40.70.590-5100.16</t>
  </si>
  <si>
    <t>420.40.70.590-5100.17</t>
  </si>
  <si>
    <t>420.40.70.590-6280.07</t>
  </si>
  <si>
    <t>420.40.70.590-6350.06</t>
  </si>
  <si>
    <t>420.40.70.590-6410.08</t>
  </si>
  <si>
    <t>420.40.70.600-5000.01</t>
  </si>
  <si>
    <t>420.40.70.600-5000.02</t>
  </si>
  <si>
    <t>420.40.70.600-5000.03</t>
  </si>
  <si>
    <t>420.40.70.600-5000.04</t>
  </si>
  <si>
    <t>420.40.70.600-5000.06</t>
  </si>
  <si>
    <t>420.40.70.600-5000.07</t>
  </si>
  <si>
    <t>420.40.70.600-5000.08</t>
  </si>
  <si>
    <t>420.40.70.600-5000.10</t>
  </si>
  <si>
    <t>420.40.70.600-5000.11</t>
  </si>
  <si>
    <t>420.40.70.600-5000.12</t>
  </si>
  <si>
    <t>420.40.70.600-5100.00</t>
  </si>
  <si>
    <t>420.40.70.600-5100.01</t>
  </si>
  <si>
    <t>420.40.70.600-5100.02</t>
  </si>
  <si>
    <t>420.40.70.600-5100.03</t>
  </si>
  <si>
    <t>420.40.70.600-5100.04</t>
  </si>
  <si>
    <t>420.40.70.600-5100.05</t>
  </si>
  <si>
    <t>420.40.70.600-5100.06</t>
  </si>
  <si>
    <t>420.40.70.600-5100.07</t>
  </si>
  <si>
    <t>420.40.70.600-5100.08</t>
  </si>
  <si>
    <t>420.40.70.600-5100.09</t>
  </si>
  <si>
    <t>420.40.70.600-5100.10</t>
  </si>
  <si>
    <t>420.40.70.600-5100.11</t>
  </si>
  <si>
    <t>420.40.70.600-5100.12</t>
  </si>
  <si>
    <t>420.40.70.600-5100.13</t>
  </si>
  <si>
    <t>420.40.70.600-5100.15</t>
  </si>
  <si>
    <t>420.40.70.600-5100.16</t>
  </si>
  <si>
    <t>420.40.70.600-5100.17</t>
  </si>
  <si>
    <t>420.40.70.600-6350.05</t>
  </si>
  <si>
    <t>420.40.70.600-6375.19</t>
  </si>
  <si>
    <t>Supplies-Public Works Soundwall Repair</t>
  </si>
  <si>
    <t>Supplies-Public Works Sidewalk Repair</t>
  </si>
  <si>
    <t>Repairs &amp; Maintenance Curb, Gutter  Sidewalk</t>
  </si>
  <si>
    <t>Supplies-Public Works Street Lights</t>
  </si>
  <si>
    <t>Maintenance Agreements &amp; Licenses Streetlights</t>
  </si>
  <si>
    <t>015</t>
  </si>
  <si>
    <t>Fund 420</t>
  </si>
  <si>
    <t>Other Revenue Misc Reimbursement</t>
  </si>
  <si>
    <t>420.00.00.900-4850.07</t>
  </si>
  <si>
    <t>Repairs and Maintenance</t>
  </si>
  <si>
    <t>420.00.00.900-4900.01</t>
  </si>
  <si>
    <t>Other Financing Sources Op Transfer In-General Fund</t>
  </si>
  <si>
    <t>Supplies and Utilities</t>
  </si>
  <si>
    <t>420.00.00.900-6600.30</t>
  </si>
  <si>
    <t>Administrative Expenses - Other Expenses</t>
  </si>
  <si>
    <t>0</t>
  </si>
  <si>
    <t>Total Budget Request</t>
  </si>
  <si>
    <t>Provisional  Budget</t>
  </si>
  <si>
    <t>*request Account 420.00.00.900-7000.04 Capital Outlay Operations - Equip Major be created
450K purchase 2 repl dump trucks. Due to state mandated emissions requirements, these 1990 vehicles  #80-8022 &amp; #80-8023 will need to be replaced by 2023.
350K purchase Asphalt Patch - This vehicle will be used to transport hot asphalt and keep it hot throughout the day for road and trail repairs. It is imperative to keep asphalt hot at all times. Our current vehicles do not allow us to keep the asphalt hot. If the asphalt goes below a certain temperture then it cannot be used. This type is vehicle is used by citys and counties to repair asphalt roads and trails. 
330K - Vehicle #80-8020 is a 1989 dump truck. Due to state mandated emissions requirements, these vehicles will need to be replaced by 2023.</t>
  </si>
  <si>
    <t>Out of class will continue until lead position is filled</t>
  </si>
  <si>
    <t>Cell phone allowance for maa - AJeffery</t>
  </si>
  <si>
    <t>Increase due to upgrade/repair of deco pole lights downtown &amp; increased general maintenance costs</t>
  </si>
  <si>
    <t>Increase due to overall increased general maintenance costs and accidents</t>
  </si>
  <si>
    <t>48 inch Combi Roller w/independent pneumatic axles with trailer
Pneumatic/drum roller to compact asphalt for Street Repairs 
Trailer to carry equipment</t>
  </si>
  <si>
    <t>420.45.40.000-5000.01</t>
  </si>
  <si>
    <t>420.45.40.000-5000.02</t>
  </si>
  <si>
    <t>420.45.40.000-5000.03</t>
  </si>
  <si>
    <t>420.45.40.000-5000.04</t>
  </si>
  <si>
    <t>420.45.40.000-5000.06</t>
  </si>
  <si>
    <t>420.45.40.000-5000.07</t>
  </si>
  <si>
    <t>420.45.40.000-5000.08</t>
  </si>
  <si>
    <t>420.45.40.000-5000.11</t>
  </si>
  <si>
    <t>420.45.40.000-5000.99</t>
  </si>
  <si>
    <t>420.45.40.000-5100.00</t>
  </si>
  <si>
    <t>420.45.40.000-5100.01</t>
  </si>
  <si>
    <t>420.45.40.000-5100.02</t>
  </si>
  <si>
    <t>420.45.40.000-5100.03</t>
  </si>
  <si>
    <t>420.45.40.000-5100.04</t>
  </si>
  <si>
    <t>420.45.40.000-5100.05</t>
  </si>
  <si>
    <t>420.45.40.000-5100.06</t>
  </si>
  <si>
    <t>420.45.40.000-5100.07</t>
  </si>
  <si>
    <t>420.45.40.000-5100.08</t>
  </si>
  <si>
    <t>420.45.40.000-5100.09</t>
  </si>
  <si>
    <t>420.45.40.000-5100.11</t>
  </si>
  <si>
    <t>420.45.40.000-5100.15</t>
  </si>
  <si>
    <t>420.45.40.000-5100.17</t>
  </si>
  <si>
    <t>420.45.40.000-6000.01</t>
  </si>
  <si>
    <t>420.45.40.000-6000.10</t>
  </si>
  <si>
    <t>420.45.40.000-6000.12</t>
  </si>
  <si>
    <t>420.45.40.000-6000.13</t>
  </si>
  <si>
    <t>420.45.40.000-6000.14</t>
  </si>
  <si>
    <t>420.45.40.000-6000.18</t>
  </si>
  <si>
    <t>420.45.40.000-6100.01</t>
  </si>
  <si>
    <t>420.45.40.000-6100.02</t>
  </si>
  <si>
    <t>420.45.40.000-6100.03</t>
  </si>
  <si>
    <t>420.45.40.000-6200.01</t>
  </si>
  <si>
    <t>420.45.40.000-6200.02</t>
  </si>
  <si>
    <t>420.45.40.000-6200.03</t>
  </si>
  <si>
    <t>420.45.40.000-6200.04</t>
  </si>
  <si>
    <t>420.45.40.000-6200.05</t>
  </si>
  <si>
    <t>420.45.40.000-6200.09</t>
  </si>
  <si>
    <t>420.45.40.000-6300.01</t>
  </si>
  <si>
    <t>420.45.40.000-6300.02</t>
  </si>
  <si>
    <t>420.45.40.000-6300.03</t>
  </si>
  <si>
    <t>420.45.40.000-6350.01</t>
  </si>
  <si>
    <t>420.45.40.000-6350.02</t>
  </si>
  <si>
    <t>420.45.40.000-6350.03</t>
  </si>
  <si>
    <t>420.45.40.000-6350.04</t>
  </si>
  <si>
    <t>420.45.40.000-6350.05</t>
  </si>
  <si>
    <t>420.45.40.000-6350.06</t>
  </si>
  <si>
    <t>420.45.40.000-6400.01</t>
  </si>
  <si>
    <t>420.45.40.000-6400.02</t>
  </si>
  <si>
    <t>420.45.40.000-6400.03</t>
  </si>
  <si>
    <t>420.45.40.000-6400.04</t>
  </si>
  <si>
    <t>420.45.40.000-6400.05</t>
  </si>
  <si>
    <t>420.45.40.000-6600.01</t>
  </si>
  <si>
    <t>420.45.40.000-6600.03</t>
  </si>
  <si>
    <t>420.45.40.000-6600.04</t>
  </si>
  <si>
    <t>420.45.40.000-6600.05</t>
  </si>
  <si>
    <t>420.45.40.000-6600.06</t>
  </si>
  <si>
    <t>420.45.40.000-6600.07</t>
  </si>
  <si>
    <t>420.45.40.000-6600.08</t>
  </si>
  <si>
    <t>420.45.40.000-6600.14</t>
  </si>
  <si>
    <t>420.45.40.000-6600.24</t>
  </si>
  <si>
    <t>420.45.40.000-6600.25</t>
  </si>
  <si>
    <t>420.45.40.000-6600.26</t>
  </si>
  <si>
    <t>420.45.40.000-6600.27</t>
  </si>
  <si>
    <t>420.45.40.000-6600.29</t>
  </si>
  <si>
    <t>420.45.40.000-6600.30</t>
  </si>
  <si>
    <t>420.45.40.000-7000.03</t>
  </si>
  <si>
    <t>420.45.40.000-7000.04</t>
  </si>
  <si>
    <t>420.45.40.000-7000.07</t>
  </si>
  <si>
    <t>420.45.40.000-7000.08</t>
  </si>
  <si>
    <t>420.45.40.000-7000.12</t>
  </si>
  <si>
    <t>420.45.40.000-7000.99</t>
  </si>
  <si>
    <t>420.45.41.000-5000.01</t>
  </si>
  <si>
    <t>420.45.41.000-5000.02</t>
  </si>
  <si>
    <t>420.45.41.000-5000.03</t>
  </si>
  <si>
    <t>420.45.41.000-5000.04</t>
  </si>
  <si>
    <t>420.45.41.000-5000.06</t>
  </si>
  <si>
    <t>420.45.41.000-5000.07</t>
  </si>
  <si>
    <t>420.45.41.000-5000.08</t>
  </si>
  <si>
    <t>420.45.41.000-5000.11</t>
  </si>
  <si>
    <t>420.45.41.000-5000.99</t>
  </si>
  <si>
    <t>420.45.41.000-5100.00</t>
  </si>
  <si>
    <t>420.45.41.000-5100.01</t>
  </si>
  <si>
    <t>420.45.41.000-5100.02</t>
  </si>
  <si>
    <t>420.45.41.000-5100.03</t>
  </si>
  <si>
    <t>420.45.41.000-5100.04</t>
  </si>
  <si>
    <t>420.45.41.000-5100.05</t>
  </si>
  <si>
    <t>420.45.41.000-5100.06</t>
  </si>
  <si>
    <t>420.45.41.000-5100.07</t>
  </si>
  <si>
    <t>420.45.41.000-5100.08</t>
  </si>
  <si>
    <t>420.45.41.000-5100.09</t>
  </si>
  <si>
    <t>420.45.41.000-5100.11</t>
  </si>
  <si>
    <t>420.45.41.000-5100.15</t>
  </si>
  <si>
    <t>420.45.41.000-5100.17</t>
  </si>
  <si>
    <t>420.45.41.000-6000.01</t>
  </si>
  <si>
    <t>420.45.41.000-6000.10</t>
  </si>
  <si>
    <t>420.45.41.000-6000.12</t>
  </si>
  <si>
    <t>420.45.41.000-6000.13</t>
  </si>
  <si>
    <t>420.45.41.000-6000.14</t>
  </si>
  <si>
    <t>420.45.41.000-6000.18</t>
  </si>
  <si>
    <t>420.45.41.000-6100.01</t>
  </si>
  <si>
    <t>420.45.41.000-6100.02</t>
  </si>
  <si>
    <t>420.45.41.000-6100.03</t>
  </si>
  <si>
    <t>420.45.41.000-6200.01</t>
  </si>
  <si>
    <t>420.45.41.000-6200.02</t>
  </si>
  <si>
    <t>420.45.41.000-6200.03</t>
  </si>
  <si>
    <t>420.45.41.000-6200.04</t>
  </si>
  <si>
    <t>420.45.41.000-6200.05</t>
  </si>
  <si>
    <t>420.45.41.000-6200.09</t>
  </si>
  <si>
    <t>420.45.41.000-6300.01</t>
  </si>
  <si>
    <t>420.45.41.000-6300.02</t>
  </si>
  <si>
    <t>420.45.41.000-6300.03</t>
  </si>
  <si>
    <t>420.45.41.000-6350.01</t>
  </si>
  <si>
    <t>420.45.41.000-6350.02</t>
  </si>
  <si>
    <t>420.45.41.000-6350.03</t>
  </si>
  <si>
    <t>420.45.41.000-6350.04</t>
  </si>
  <si>
    <t>420.45.41.000-6350.05</t>
  </si>
  <si>
    <t>420.45.41.000-6350.06</t>
  </si>
  <si>
    <t>420.45.41.000-6400.01</t>
  </si>
  <si>
    <t>420.45.41.000-6400.02</t>
  </si>
  <si>
    <t>420.45.41.000-6400.03</t>
  </si>
  <si>
    <t>420.45.41.000-6400.04</t>
  </si>
  <si>
    <t>420.45.41.000-6400.05</t>
  </si>
  <si>
    <t>420.45.41.000-6600.01</t>
  </si>
  <si>
    <t>420.45.41.000-6600.03</t>
  </si>
  <si>
    <t>420.45.41.000-6600.04</t>
  </si>
  <si>
    <t>420.45.41.000-6600.05</t>
  </si>
  <si>
    <t>420.45.41.000-6600.06</t>
  </si>
  <si>
    <t>420.45.41.000-6600.07</t>
  </si>
  <si>
    <t>420.45.41.000-6600.08</t>
  </si>
  <si>
    <t>420.45.41.000-6600.14</t>
  </si>
  <si>
    <t>420.45.41.000-6600.24</t>
  </si>
  <si>
    <t>420.45.41.000-6600.25</t>
  </si>
  <si>
    <t>420.45.41.000-6600.26</t>
  </si>
  <si>
    <t>420.45.41.000-6600.27</t>
  </si>
  <si>
    <t>420.45.41.000-6600.29</t>
  </si>
  <si>
    <t>420.45.41.000-6600.30</t>
  </si>
  <si>
    <t>420.45.41.000-7000.03</t>
  </si>
  <si>
    <t>420.45.41.000-7000.04</t>
  </si>
  <si>
    <t>420.45.41.000-7000.07</t>
  </si>
  <si>
    <t>420.45.41.000-7000.08</t>
  </si>
  <si>
    <t>420.45.41.000-7000.12</t>
  </si>
  <si>
    <t>420.45.41.000-7000.99</t>
  </si>
  <si>
    <t>Professional Services Consultant</t>
  </si>
  <si>
    <t>Professional Services Compliance Monitoring</t>
  </si>
  <si>
    <t>Professional Services IW Pre Analysis</t>
  </si>
  <si>
    <t>Professional Services Legal</t>
  </si>
  <si>
    <t>Utilities Telephone</t>
  </si>
  <si>
    <t>Utilities Data Transmission / ISP</t>
  </si>
  <si>
    <t>Supplies Office</t>
  </si>
  <si>
    <t>Supplies Postage</t>
  </si>
  <si>
    <t>Supplies Data Processing</t>
  </si>
  <si>
    <t>Dues &amp; Subscriptions Memberships</t>
  </si>
  <si>
    <t>Dues &amp; Subscriptions Publications</t>
  </si>
  <si>
    <t>Maintenance Agreements &amp; Licenses License/Software Maintenance</t>
  </si>
  <si>
    <t>Maintenance Agreements &amp; Licenses Hardware Maintenance</t>
  </si>
  <si>
    <t>Maintenance Agreements &amp; Licenses Maintenance Agreements</t>
  </si>
  <si>
    <t>Maintenance Agreements &amp; Licenses SCADA</t>
  </si>
  <si>
    <t>Repairs &amp; Maintenance Building</t>
  </si>
  <si>
    <t>Repairs &amp; Maintenance Major Repair &amp; Contingency</t>
  </si>
  <si>
    <t>Administrative Expenses Meetings</t>
  </si>
  <si>
    <t>Administrative Expenses Mileage Reimbursement</t>
  </si>
  <si>
    <t>Administrative Expenses Public/Legal Advertisement</t>
  </si>
  <si>
    <t>Administrative Expenses Property/Building Rental</t>
  </si>
  <si>
    <t>Administrative Expenses Employee Recognition</t>
  </si>
  <si>
    <t>Administrative Expenses Filing/Recording Fee</t>
  </si>
  <si>
    <t>Administrative Expenses Marketing</t>
  </si>
  <si>
    <t>Administrative Expenses Support Services-Indirect Labor</t>
  </si>
  <si>
    <t>Administrative Expenses Support Services-Direct Labor</t>
  </si>
  <si>
    <t>Administrative Expenses Administration &amp; Planning</t>
  </si>
  <si>
    <t>Administrative Expenses Other Expenses</t>
  </si>
  <si>
    <t>Capital Outlay Operations Equipment-Major</t>
  </si>
  <si>
    <t>Capital Outlay Computer Hardware</t>
  </si>
  <si>
    <t>Capital Outlay Computer Software</t>
  </si>
  <si>
    <t>Capital Outlay Furniture</t>
  </si>
  <si>
    <t>Gas Tax Apportionment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</si>
</sst>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quot;$&quot;#,##0"/>
  </numFmts>
  <fonts count="1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1"/>
      <name val="Calibri"/>
      <family val="2"/>
      <scheme val="minor"/>
    </font>
    <font>
      <sz val="11"/>
      <name val="Calibri"/>
      <family val="2"/>
      <scheme val="minor"/>
    </font>
    <font>
      <sz val="12"/>
      <name val="Arial"/>
      <family val="2"/>
    </font>
    <font>
      <b/>
      <sz val="11"/>
      <name val="Calibri"/>
      <family val="2"/>
      <scheme val="minor"/>
    </font>
    <font>
      <i/>
      <sz val="11"/>
      <name val="Calibri"/>
      <family val="2"/>
      <scheme val="minor"/>
    </font>
    <font>
      <sz val="10"/>
      <name val="Arial"/>
      <family val="2"/>
    </font>
    <font>
      <sz val="12"/>
      <color theme="1"/>
      <name val="Calibri"/>
      <family val="2"/>
    </font>
    <font>
      <sz val="10"/>
      <name val="Calibri"/>
      <family val="2"/>
      <scheme val="minor"/>
    </font>
    <font>
      <sz val="10"/>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0" fontId="11" fillId="0" borderId="0"/>
  </cellStyleXfs>
  <cellXfs count="241">
    <xf numFmtId="0" fontId="0" fillId="0" borderId="0" xfId="0"/>
    <xf numFmtId="4" fontId="0" fillId="0" borderId="0" xfId="0" applyNumberFormat="1"/>
    <xf numFmtId="40" fontId="0" fillId="0" borderId="0" xfId="0" applyNumberFormat="1"/>
    <xf numFmtId="40" fontId="0" fillId="0" borderId="1" xfId="0" applyNumberFormat="1" applyBorder="1"/>
    <xf numFmtId="0" fontId="0" fillId="0" borderId="1" xfId="0" applyBorder="1"/>
    <xf numFmtId="4" fontId="0" fillId="0" borderId="1" xfId="0" applyNumberFormat="1" applyBorder="1"/>
    <xf numFmtId="0" fontId="0" fillId="0" borderId="0" xfId="0" applyFont="1"/>
    <xf numFmtId="0" fontId="1" fillId="0" borderId="0" xfId="0" applyFont="1"/>
    <xf numFmtId="0" fontId="1" fillId="0" borderId="1" xfId="0" applyFont="1" applyBorder="1"/>
    <xf numFmtId="0" fontId="1" fillId="0" borderId="1" xfId="0" applyFont="1" applyFill="1" applyBorder="1"/>
    <xf numFmtId="4" fontId="0" fillId="0" borderId="0" xfId="0" applyNumberFormat="1" applyBorder="1"/>
    <xf numFmtId="0" fontId="0" fillId="0" borderId="0" xfId="0" applyFill="1" applyBorder="1"/>
    <xf numFmtId="0" fontId="0" fillId="0" borderId="0" xfId="0" applyFill="1"/>
    <xf numFmtId="4" fontId="0" fillId="0" borderId="0" xfId="0" applyNumberFormat="1" applyFill="1"/>
    <xf numFmtId="4" fontId="0" fillId="0" borderId="0" xfId="0" applyNumberFormat="1" applyFill="1" applyBorder="1"/>
    <xf numFmtId="0" fontId="0" fillId="0" borderId="0" xfId="0" applyBorder="1"/>
    <xf numFmtId="40" fontId="0" fillId="0" borderId="0" xfId="0" applyNumberFormat="1" applyBorder="1"/>
    <xf numFmtId="0" fontId="0" fillId="0" borderId="2" xfId="0" applyBorder="1"/>
    <xf numFmtId="40" fontId="0" fillId="0" borderId="2" xfId="0" applyNumberFormat="1" applyBorder="1"/>
    <xf numFmtId="4" fontId="0" fillId="0" borderId="2" xfId="0" applyNumberFormat="1" applyBorder="1"/>
    <xf numFmtId="2" fontId="0" fillId="0" borderId="0" xfId="0" applyNumberFormat="1"/>
    <xf numFmtId="4" fontId="1" fillId="0" borderId="0" xfId="0" applyNumberFormat="1" applyFont="1"/>
    <xf numFmtId="38" fontId="0" fillId="0" borderId="1" xfId="0" applyNumberFormat="1" applyBorder="1"/>
    <xf numFmtId="38" fontId="0" fillId="0" borderId="2" xfId="0" applyNumberFormat="1" applyBorder="1"/>
    <xf numFmtId="38" fontId="0" fillId="0" borderId="0" xfId="0" applyNumberFormat="1" applyBorder="1"/>
    <xf numFmtId="0" fontId="0" fillId="2" borderId="0" xfId="0" applyFill="1" applyBorder="1"/>
    <xf numFmtId="0" fontId="0" fillId="2" borderId="0" xfId="0" applyFill="1"/>
    <xf numFmtId="4" fontId="0" fillId="2" borderId="0" xfId="0" applyNumberFormat="1" applyFill="1" applyBorder="1"/>
    <xf numFmtId="4" fontId="0" fillId="2" borderId="0" xfId="0" applyNumberFormat="1" applyFill="1"/>
    <xf numFmtId="40" fontId="0" fillId="2" borderId="0" xfId="0" applyNumberFormat="1" applyFill="1" applyBorder="1"/>
    <xf numFmtId="0" fontId="6" fillId="0" borderId="0" xfId="0" applyFont="1" applyAlignment="1">
      <alignment horizontal="center"/>
    </xf>
    <xf numFmtId="0" fontId="8" fillId="0" borderId="0" xfId="4" applyFont="1" applyAlignment="1">
      <alignment horizontal="centerContinuous"/>
    </xf>
    <xf numFmtId="0" fontId="8" fillId="0" borderId="0" xfId="4" applyFont="1" applyFill="1" applyAlignment="1">
      <alignment horizontal="centerContinuous"/>
    </xf>
    <xf numFmtId="0" fontId="6" fillId="0" borderId="0" xfId="0" applyFont="1" applyAlignment="1">
      <alignment horizontal="centerContinuous"/>
    </xf>
    <xf numFmtId="0" fontId="6" fillId="0" borderId="0" xfId="0" applyFont="1" applyFill="1" applyAlignment="1">
      <alignment horizontal="centerContinuous"/>
    </xf>
    <xf numFmtId="0" fontId="6" fillId="0" borderId="0" xfId="0" applyFont="1"/>
    <xf numFmtId="0" fontId="6" fillId="0" borderId="0" xfId="4" applyFont="1" applyAlignment="1">
      <alignment horizontal="centerContinuous"/>
    </xf>
    <xf numFmtId="0" fontId="6" fillId="0" borderId="0" xfId="0" applyFont="1" applyBorder="1" applyAlignment="1">
      <alignment horizontal="centerContinuous"/>
    </xf>
    <xf numFmtId="0" fontId="8" fillId="0" borderId="0" xfId="4" applyFont="1" applyAlignment="1">
      <alignment horizontal="center"/>
    </xf>
    <xf numFmtId="0" fontId="6" fillId="0" borderId="0" xfId="4" applyFont="1" applyAlignment="1">
      <alignment horizontal="center"/>
    </xf>
    <xf numFmtId="0" fontId="6" fillId="0" borderId="0" xfId="0" applyFont="1" applyFill="1"/>
    <xf numFmtId="0" fontId="6" fillId="0" borderId="0" xfId="0" applyFont="1" applyBorder="1"/>
    <xf numFmtId="0" fontId="1" fillId="0" borderId="0" xfId="0" applyFont="1" applyAlignment="1">
      <alignment horizontal="center"/>
    </xf>
    <xf numFmtId="0" fontId="1" fillId="0" borderId="0" xfId="0" applyFont="1" applyAlignment="1">
      <alignment horizontal="centerContinuous"/>
    </xf>
    <xf numFmtId="0" fontId="1" fillId="0" borderId="0" xfId="0" applyFont="1" applyBorder="1" applyAlignment="1">
      <alignment horizontal="center"/>
    </xf>
    <xf numFmtId="0" fontId="1" fillId="0" borderId="0" xfId="0" applyFont="1" applyBorder="1" applyAlignment="1"/>
    <xf numFmtId="0" fontId="1" fillId="0" borderId="3" xfId="0" applyFont="1" applyFill="1" applyBorder="1" applyAlignment="1">
      <alignment horizontal="centerContinuous"/>
    </xf>
    <xf numFmtId="0" fontId="1" fillId="0" borderId="3" xfId="0" applyFont="1" applyBorder="1" applyAlignment="1">
      <alignment horizontal="centerContinuous"/>
    </xf>
    <xf numFmtId="0" fontId="8" fillId="0" borderId="0" xfId="4" applyFont="1" applyAlignment="1">
      <alignment horizontal="center" vertical="top" wrapText="1"/>
    </xf>
    <xf numFmtId="0" fontId="1" fillId="0" borderId="0" xfId="0" applyFont="1" applyAlignment="1">
      <alignment horizontal="center" vertical="top" wrapText="1"/>
    </xf>
    <xf numFmtId="0" fontId="1" fillId="0"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Border="1" applyAlignment="1">
      <alignment horizontal="center" vertical="top" wrapText="1"/>
    </xf>
    <xf numFmtId="0" fontId="8" fillId="0" borderId="0" xfId="4" applyFont="1"/>
    <xf numFmtId="0" fontId="9" fillId="0" borderId="0" xfId="4" applyFont="1" applyAlignment="1">
      <alignment horizontal="center"/>
    </xf>
    <xf numFmtId="0" fontId="5" fillId="0" borderId="0" xfId="0" applyFont="1"/>
    <xf numFmtId="0" fontId="5" fillId="0" borderId="0" xfId="0" applyFont="1" applyFill="1"/>
    <xf numFmtId="0" fontId="5" fillId="0" borderId="0" xfId="0" applyFont="1" applyBorder="1"/>
    <xf numFmtId="164" fontId="8" fillId="0" borderId="0" xfId="2" applyNumberFormat="1" applyFont="1"/>
    <xf numFmtId="164" fontId="5" fillId="0" borderId="0" xfId="2" applyNumberFormat="1" applyFont="1"/>
    <xf numFmtId="164" fontId="5" fillId="0" borderId="0" xfId="2" applyNumberFormat="1" applyFont="1" applyFill="1"/>
    <xf numFmtId="164" fontId="5" fillId="0" borderId="0" xfId="2" applyNumberFormat="1" applyFont="1" applyBorder="1"/>
    <xf numFmtId="164" fontId="6" fillId="0" borderId="0" xfId="0" applyNumberFormat="1" applyFont="1" applyFill="1"/>
    <xf numFmtId="0" fontId="6" fillId="0" borderId="0" xfId="4" applyFont="1"/>
    <xf numFmtId="0" fontId="1" fillId="0" borderId="0" xfId="0" applyFont="1" applyFill="1"/>
    <xf numFmtId="0" fontId="5" fillId="0" borderId="0" xfId="0" applyFont="1" applyAlignment="1">
      <alignment horizontal="right"/>
    </xf>
    <xf numFmtId="0" fontId="8" fillId="0" borderId="0" xfId="4" applyFont="1" applyAlignment="1">
      <alignment vertical="top"/>
    </xf>
    <xf numFmtId="0" fontId="6" fillId="0" borderId="0" xfId="4" applyFont="1" applyAlignment="1">
      <alignment horizontal="left" vertical="top"/>
    </xf>
    <xf numFmtId="0" fontId="5" fillId="0" borderId="0" xfId="0" applyFont="1" applyAlignment="1">
      <alignment vertical="top" wrapText="1"/>
    </xf>
    <xf numFmtId="165" fontId="5" fillId="0" borderId="0" xfId="1" applyNumberFormat="1" applyFont="1" applyFill="1" applyAlignment="1">
      <alignment vertical="top"/>
    </xf>
    <xf numFmtId="165" fontId="5" fillId="0" borderId="0" xfId="0" applyNumberFormat="1" applyFont="1"/>
    <xf numFmtId="9" fontId="5" fillId="0" borderId="0" xfId="3" applyFont="1" applyAlignment="1">
      <alignment horizontal="right"/>
    </xf>
    <xf numFmtId="0" fontId="5" fillId="0" borderId="0" xfId="0" applyFont="1" applyAlignment="1">
      <alignment wrapText="1"/>
    </xf>
    <xf numFmtId="165" fontId="5" fillId="0" borderId="0" xfId="0" applyNumberFormat="1" applyFont="1" applyAlignment="1">
      <alignment vertical="top"/>
    </xf>
    <xf numFmtId="9" fontId="5" fillId="0" borderId="0" xfId="3" applyFont="1" applyAlignment="1">
      <alignment horizontal="right" vertical="top"/>
    </xf>
    <xf numFmtId="0" fontId="6" fillId="0" borderId="0" xfId="0" applyFont="1" applyAlignment="1">
      <alignment vertical="top" wrapText="1"/>
    </xf>
    <xf numFmtId="0" fontId="6" fillId="0" borderId="0" xfId="0" applyFont="1" applyBorder="1" applyAlignment="1">
      <alignment vertical="top" wrapText="1"/>
    </xf>
    <xf numFmtId="165" fontId="5" fillId="0" borderId="3" xfId="0" applyNumberFormat="1" applyFont="1" applyBorder="1"/>
    <xf numFmtId="9" fontId="5" fillId="0" borderId="3" xfId="3" applyFont="1" applyBorder="1" applyAlignment="1">
      <alignment horizontal="right"/>
    </xf>
    <xf numFmtId="0" fontId="5" fillId="0" borderId="0" xfId="0" applyFont="1" applyAlignment="1">
      <alignment horizontal="left"/>
    </xf>
    <xf numFmtId="165" fontId="6" fillId="0" borderId="2" xfId="0" applyNumberFormat="1" applyFont="1" applyFill="1" applyBorder="1" applyAlignment="1">
      <alignment vertical="top" wrapText="1"/>
    </xf>
    <xf numFmtId="165" fontId="6" fillId="0" borderId="2" xfId="0" applyNumberFormat="1" applyFont="1" applyBorder="1" applyAlignment="1">
      <alignment vertical="top" wrapText="1"/>
    </xf>
    <xf numFmtId="165" fontId="5" fillId="0" borderId="2" xfId="0" applyNumberFormat="1" applyFont="1" applyBorder="1"/>
    <xf numFmtId="41" fontId="6" fillId="0" borderId="2" xfId="0" applyNumberFormat="1" applyFont="1" applyBorder="1" applyAlignment="1">
      <alignment vertical="top" wrapText="1"/>
    </xf>
    <xf numFmtId="0" fontId="6" fillId="0" borderId="0" xfId="4" applyFont="1" applyAlignment="1">
      <alignment horizontal="left"/>
    </xf>
    <xf numFmtId="0" fontId="6" fillId="0" borderId="0" xfId="0" applyFont="1" applyFill="1" applyAlignment="1">
      <alignment vertical="top" wrapText="1"/>
    </xf>
    <xf numFmtId="0" fontId="8" fillId="0" borderId="0" xfId="0" applyFont="1" applyAlignment="1">
      <alignment vertical="top" wrapText="1"/>
    </xf>
    <xf numFmtId="0" fontId="8" fillId="0" borderId="0" xfId="0" applyFont="1" applyFill="1" applyAlignment="1">
      <alignment vertical="top" wrapText="1"/>
    </xf>
    <xf numFmtId="0" fontId="8" fillId="0" borderId="0" xfId="0" applyFont="1" applyAlignment="1">
      <alignment vertical="top"/>
    </xf>
    <xf numFmtId="0" fontId="5" fillId="0" borderId="0" xfId="0" applyFont="1" applyAlignment="1">
      <alignment vertical="top"/>
    </xf>
    <xf numFmtId="0" fontId="5" fillId="0" borderId="0" xfId="0" applyFont="1" applyAlignment="1">
      <alignment horizontal="right" vertical="top"/>
    </xf>
    <xf numFmtId="0" fontId="5" fillId="0" borderId="0" xfId="0" applyFont="1" applyFill="1" applyAlignment="1">
      <alignment vertical="top"/>
    </xf>
    <xf numFmtId="0" fontId="6" fillId="0" borderId="0" xfId="0" applyFont="1" applyAlignment="1">
      <alignment horizontal="center" vertical="top"/>
    </xf>
    <xf numFmtId="49" fontId="8" fillId="0" borderId="0" xfId="4" applyNumberFormat="1" applyFont="1" applyAlignment="1">
      <alignment vertical="top"/>
    </xf>
    <xf numFmtId="0" fontId="6" fillId="0" borderId="0" xfId="0" applyFont="1" applyAlignment="1">
      <alignment vertical="top"/>
    </xf>
    <xf numFmtId="165" fontId="6" fillId="0" borderId="0" xfId="0" applyNumberFormat="1" applyFont="1" applyAlignment="1">
      <alignment vertical="top"/>
    </xf>
    <xf numFmtId="0" fontId="6" fillId="0" borderId="0" xfId="0" applyFont="1" applyAlignment="1">
      <alignment wrapText="1"/>
    </xf>
    <xf numFmtId="165" fontId="6" fillId="0" borderId="0" xfId="0" applyNumberFormat="1" applyFont="1" applyAlignment="1">
      <alignment vertical="top" wrapText="1"/>
    </xf>
    <xf numFmtId="0" fontId="6" fillId="0" borderId="0" xfId="0" applyFont="1" applyFill="1" applyAlignment="1">
      <alignment horizontal="center" vertical="top"/>
    </xf>
    <xf numFmtId="9" fontId="5" fillId="0" borderId="3" xfId="3" applyFont="1" applyBorder="1" applyAlignment="1">
      <alignment horizontal="right" vertical="top"/>
    </xf>
    <xf numFmtId="0" fontId="1" fillId="0" borderId="0" xfId="0" applyFont="1" applyAlignment="1">
      <alignment vertical="top"/>
    </xf>
    <xf numFmtId="0" fontId="8" fillId="0" borderId="0" xfId="4" applyFont="1" applyAlignment="1">
      <alignment horizontal="left" vertical="top"/>
    </xf>
    <xf numFmtId="0" fontId="5" fillId="0" borderId="0" xfId="0" applyFont="1" applyAlignment="1">
      <alignment horizontal="left" vertical="top"/>
    </xf>
    <xf numFmtId="165" fontId="6" fillId="0" borderId="2" xfId="1" applyNumberFormat="1" applyFont="1" applyFill="1" applyBorder="1" applyAlignment="1">
      <alignment vertical="top"/>
    </xf>
    <xf numFmtId="165" fontId="6" fillId="0" borderId="2" xfId="1" applyNumberFormat="1" applyFont="1" applyBorder="1" applyAlignment="1">
      <alignment vertical="top"/>
    </xf>
    <xf numFmtId="165" fontId="5" fillId="0" borderId="2" xfId="0" applyNumberFormat="1" applyFont="1" applyBorder="1" applyAlignment="1">
      <alignment vertical="top"/>
    </xf>
    <xf numFmtId="165" fontId="6" fillId="0" borderId="0" xfId="0" applyNumberFormat="1" applyFont="1" applyBorder="1" applyAlignment="1">
      <alignment vertical="top"/>
    </xf>
    <xf numFmtId="165" fontId="5" fillId="0" borderId="0" xfId="1" applyNumberFormat="1" applyFont="1" applyAlignment="1">
      <alignment vertical="top"/>
    </xf>
    <xf numFmtId="165" fontId="5" fillId="0" borderId="3" xfId="1" applyNumberFormat="1" applyFont="1" applyFill="1" applyBorder="1" applyAlignment="1">
      <alignment vertical="top"/>
    </xf>
    <xf numFmtId="165" fontId="5" fillId="0" borderId="3" xfId="0" applyNumberFormat="1" applyFont="1" applyBorder="1" applyAlignment="1">
      <alignment vertical="top"/>
    </xf>
    <xf numFmtId="165" fontId="6" fillId="0" borderId="0" xfId="1" applyNumberFormat="1" applyFont="1" applyAlignment="1">
      <alignment vertical="top"/>
    </xf>
    <xf numFmtId="165" fontId="6" fillId="0" borderId="0" xfId="1" applyNumberFormat="1" applyFont="1" applyFill="1" applyAlignment="1">
      <alignment vertical="top"/>
    </xf>
    <xf numFmtId="165" fontId="5" fillId="0" borderId="0" xfId="1" applyNumberFormat="1" applyFont="1"/>
    <xf numFmtId="164" fontId="5" fillId="0" borderId="0" xfId="2" applyNumberFormat="1" applyFont="1" applyAlignment="1">
      <alignment horizontal="left"/>
    </xf>
    <xf numFmtId="164" fontId="6" fillId="0" borderId="4" xfId="2" applyNumberFormat="1" applyFont="1" applyFill="1" applyBorder="1"/>
    <xf numFmtId="164" fontId="6" fillId="0" borderId="4" xfId="2" applyNumberFormat="1" applyFont="1" applyBorder="1"/>
    <xf numFmtId="166" fontId="5" fillId="0" borderId="0" xfId="3" applyNumberFormat="1" applyFont="1"/>
    <xf numFmtId="166" fontId="5" fillId="0" borderId="0" xfId="3" applyNumberFormat="1" applyFont="1" applyAlignment="1">
      <alignment vertical="top"/>
    </xf>
    <xf numFmtId="164" fontId="5" fillId="0" borderId="0" xfId="2" applyNumberFormat="1" applyFont="1" applyAlignment="1">
      <alignment vertical="top"/>
    </xf>
    <xf numFmtId="164" fontId="6" fillId="0" borderId="4" xfId="2" applyNumberFormat="1" applyFont="1" applyFill="1" applyBorder="1" applyAlignment="1">
      <alignment vertical="top"/>
    </xf>
    <xf numFmtId="0" fontId="5" fillId="0" borderId="0" xfId="5" applyFont="1" applyAlignment="1">
      <alignment horizontal="left"/>
    </xf>
    <xf numFmtId="164" fontId="5" fillId="0" borderId="0" xfId="2" applyNumberFormat="1" applyFont="1" applyFill="1" applyAlignment="1">
      <alignment vertical="top"/>
    </xf>
    <xf numFmtId="164" fontId="6" fillId="0" borderId="0" xfId="2" applyNumberFormat="1" applyFont="1" applyBorder="1"/>
    <xf numFmtId="165" fontId="1" fillId="0" borderId="0" xfId="1" applyNumberFormat="1" applyFont="1" applyAlignment="1">
      <alignment horizontal="right" vertical="top"/>
    </xf>
    <xf numFmtId="164" fontId="5" fillId="0" borderId="0" xfId="2" applyNumberFormat="1" applyFont="1" applyBorder="1" applyAlignment="1">
      <alignment vertical="top"/>
    </xf>
    <xf numFmtId="165" fontId="1" fillId="0" borderId="0" xfId="1" applyNumberFormat="1" applyFont="1" applyBorder="1" applyAlignment="1">
      <alignment horizontal="right" vertical="top"/>
    </xf>
    <xf numFmtId="0" fontId="6" fillId="0" borderId="0" xfId="0" applyFont="1" applyFill="1" applyBorder="1"/>
    <xf numFmtId="165" fontId="6" fillId="0" borderId="0" xfId="1" applyNumberFormat="1" applyFont="1" applyAlignment="1">
      <alignment horizontal="right" vertical="top" indent="1"/>
    </xf>
    <xf numFmtId="42" fontId="6" fillId="0" borderId="0" xfId="0" applyNumberFormat="1" applyFont="1" applyFill="1"/>
    <xf numFmtId="165" fontId="6" fillId="0" borderId="0" xfId="1" applyNumberFormat="1" applyFont="1" applyBorder="1" applyAlignment="1">
      <alignment horizontal="right" vertical="top" indent="1"/>
    </xf>
    <xf numFmtId="42" fontId="6" fillId="0" borderId="0" xfId="0" applyNumberFormat="1" applyFont="1" applyFill="1" applyBorder="1"/>
    <xf numFmtId="43" fontId="5" fillId="0" borderId="0" xfId="1" applyFont="1" applyFill="1" applyAlignment="1">
      <alignment vertical="top"/>
    </xf>
    <xf numFmtId="43" fontId="5" fillId="0" borderId="0" xfId="1" applyFont="1" applyAlignment="1">
      <alignment vertical="top"/>
    </xf>
    <xf numFmtId="43" fontId="5" fillId="0" borderId="3" xfId="1" applyFont="1" applyBorder="1" applyAlignment="1">
      <alignment vertical="top"/>
    </xf>
    <xf numFmtId="42" fontId="6" fillId="0" borderId="3" xfId="0" applyNumberFormat="1" applyFont="1" applyFill="1" applyBorder="1"/>
    <xf numFmtId="43" fontId="5" fillId="0" borderId="0" xfId="1" applyFont="1" applyBorder="1" applyAlignment="1">
      <alignment vertical="top"/>
    </xf>
    <xf numFmtId="165" fontId="6" fillId="0" borderId="0" xfId="1" applyNumberFormat="1" applyFont="1" applyAlignment="1">
      <alignment horizontal="right" vertical="top"/>
    </xf>
    <xf numFmtId="165" fontId="6" fillId="0" borderId="0" xfId="1" applyNumberFormat="1" applyFont="1" applyBorder="1" applyAlignment="1">
      <alignment horizontal="right" vertical="top"/>
    </xf>
    <xf numFmtId="165" fontId="6" fillId="0" borderId="0" xfId="1" applyNumberFormat="1" applyFont="1" applyAlignment="1">
      <alignment horizontal="right" vertical="top" indent="2"/>
    </xf>
    <xf numFmtId="165" fontId="6" fillId="0" borderId="0" xfId="1" applyNumberFormat="1" applyFont="1" applyBorder="1" applyAlignment="1">
      <alignment horizontal="right" vertical="top" indent="2"/>
    </xf>
    <xf numFmtId="164" fontId="6" fillId="0" borderId="0" xfId="2" applyNumberFormat="1" applyFont="1" applyAlignment="1">
      <alignment horizontal="right" vertical="top"/>
    </xf>
    <xf numFmtId="164" fontId="6" fillId="0" borderId="0" xfId="2" applyNumberFormat="1" applyFont="1" applyBorder="1" applyAlignment="1">
      <alignment horizontal="right" vertical="top"/>
    </xf>
    <xf numFmtId="164" fontId="5" fillId="0" borderId="4" xfId="2" applyNumberFormat="1" applyFont="1" applyBorder="1" applyAlignment="1">
      <alignment vertical="top"/>
    </xf>
    <xf numFmtId="0" fontId="8" fillId="0" borderId="3" xfId="4" applyFont="1" applyBorder="1" applyAlignment="1">
      <alignment horizontal="left" vertical="top"/>
    </xf>
    <xf numFmtId="0" fontId="1" fillId="0" borderId="3" xfId="0" applyFont="1" applyBorder="1" applyAlignment="1">
      <alignment vertical="top"/>
    </xf>
    <xf numFmtId="49" fontId="1" fillId="0" borderId="3" xfId="1" applyNumberFormat="1" applyFont="1" applyBorder="1" applyAlignment="1">
      <alignment horizontal="center" vertical="top"/>
    </xf>
    <xf numFmtId="165" fontId="6" fillId="0" borderId="4" xfId="1" applyNumberFormat="1" applyFont="1" applyBorder="1" applyAlignment="1">
      <alignment vertical="top"/>
    </xf>
    <xf numFmtId="165" fontId="6" fillId="0" borderId="3" xfId="1" applyNumberFormat="1" applyFont="1" applyBorder="1" applyAlignment="1">
      <alignment vertical="top"/>
    </xf>
    <xf numFmtId="165" fontId="6" fillId="0" borderId="0" xfId="1" applyNumberFormat="1" applyFont="1"/>
    <xf numFmtId="165" fontId="6" fillId="0" borderId="0" xfId="0" applyNumberFormat="1" applyFont="1"/>
    <xf numFmtId="43" fontId="6" fillId="0" borderId="0" xfId="1" applyFont="1"/>
    <xf numFmtId="165" fontId="6" fillId="0" borderId="0" xfId="1" applyNumberFormat="1" applyFont="1" applyBorder="1" applyAlignment="1">
      <alignment vertical="top"/>
    </xf>
    <xf numFmtId="43" fontId="6" fillId="0" borderId="0" xfId="1" applyFont="1" applyBorder="1"/>
    <xf numFmtId="165" fontId="6" fillId="0" borderId="0" xfId="0" applyNumberFormat="1" applyFont="1" applyBorder="1"/>
    <xf numFmtId="1" fontId="12" fillId="0" borderId="0" xfId="0" applyNumberFormat="1" applyFont="1"/>
    <xf numFmtId="2" fontId="12" fillId="0" borderId="0" xfId="0" applyNumberFormat="1" applyFont="1"/>
    <xf numFmtId="0" fontId="12" fillId="0" borderId="0" xfId="0" applyFont="1" applyAlignment="1">
      <alignment horizontal="right"/>
    </xf>
    <xf numFmtId="0" fontId="12" fillId="0" borderId="0" xfId="0" applyFont="1"/>
    <xf numFmtId="3" fontId="12" fillId="0" borderId="0" xfId="0" applyNumberFormat="1" applyFont="1"/>
    <xf numFmtId="1" fontId="12" fillId="0" borderId="5" xfId="0" applyNumberFormat="1" applyFont="1" applyFill="1" applyBorder="1" applyAlignment="1">
      <alignment horizontal="center" vertical="top"/>
    </xf>
    <xf numFmtId="2" fontId="12" fillId="0" borderId="5" xfId="0" applyNumberFormat="1" applyFont="1" applyFill="1" applyBorder="1" applyAlignment="1">
      <alignment horizontal="center" vertical="top"/>
    </xf>
    <xf numFmtId="0" fontId="12" fillId="0" borderId="5" xfId="0" applyFont="1" applyFill="1" applyBorder="1" applyAlignment="1">
      <alignment horizontal="center" vertical="top" wrapText="1"/>
    </xf>
    <xf numFmtId="3" fontId="12" fillId="3" borderId="5" xfId="0" applyNumberFormat="1" applyFont="1" applyFill="1" applyBorder="1" applyAlignment="1">
      <alignment horizontal="center" vertical="top" wrapText="1"/>
    </xf>
    <xf numFmtId="3" fontId="12" fillId="4" borderId="5" xfId="0" applyNumberFormat="1" applyFont="1" applyFill="1" applyBorder="1" applyAlignment="1">
      <alignment horizontal="center" vertical="top" wrapText="1"/>
    </xf>
    <xf numFmtId="3" fontId="12" fillId="5" borderId="5" xfId="0" applyNumberFormat="1" applyFont="1" applyFill="1" applyBorder="1" applyAlignment="1">
      <alignment horizontal="center" vertical="top" wrapText="1"/>
    </xf>
    <xf numFmtId="3" fontId="12" fillId="6" borderId="5" xfId="0" applyNumberFormat="1" applyFont="1" applyFill="1" applyBorder="1" applyAlignment="1">
      <alignment horizontal="center" vertical="top" wrapText="1"/>
    </xf>
    <xf numFmtId="3" fontId="12" fillId="6" borderId="6" xfId="0" applyNumberFormat="1" applyFont="1" applyFill="1" applyBorder="1" applyAlignment="1">
      <alignment horizontal="center" vertical="top" wrapText="1"/>
    </xf>
    <xf numFmtId="3" fontId="12" fillId="0" borderId="0" xfId="0" applyNumberFormat="1" applyFont="1" applyFill="1" applyBorder="1" applyAlignment="1">
      <alignment horizontal="center" wrapText="1"/>
    </xf>
    <xf numFmtId="37" fontId="12" fillId="3" borderId="5" xfId="0" applyNumberFormat="1" applyFont="1" applyFill="1" applyBorder="1"/>
    <xf numFmtId="37" fontId="12" fillId="4" borderId="5" xfId="0" applyNumberFormat="1" applyFont="1" applyFill="1" applyBorder="1"/>
    <xf numFmtId="37" fontId="12" fillId="0" borderId="0" xfId="0" applyNumberFormat="1" applyFont="1"/>
    <xf numFmtId="1" fontId="12" fillId="0" borderId="0" xfId="0" applyNumberFormat="1" applyFont="1" applyAlignment="1">
      <alignment horizontal="right"/>
    </xf>
    <xf numFmtId="3" fontId="12" fillId="3" borderId="0" xfId="0" applyNumberFormat="1" applyFont="1" applyFill="1" applyBorder="1" applyAlignment="1">
      <alignment horizontal="center"/>
    </xf>
    <xf numFmtId="0" fontId="12" fillId="0" borderId="5" xfId="0" applyFont="1" applyFill="1" applyBorder="1" applyAlignment="1">
      <alignment horizontal="center" vertical="top"/>
    </xf>
    <xf numFmtId="3" fontId="12" fillId="0" borderId="0" xfId="0" applyNumberFormat="1" applyFont="1" applyFill="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right" vertical="top"/>
    </xf>
    <xf numFmtId="2" fontId="12" fillId="0" borderId="0" xfId="0" applyNumberFormat="1" applyFont="1" applyFill="1" applyBorder="1" applyAlignment="1">
      <alignment horizontal="left" vertical="top"/>
    </xf>
    <xf numFmtId="0" fontId="12" fillId="0" borderId="0" xfId="0" quotePrefix="1" applyFont="1" applyFill="1" applyBorder="1" applyAlignment="1">
      <alignment horizontal="right" vertical="top"/>
    </xf>
    <xf numFmtId="0" fontId="12" fillId="0" borderId="0" xfId="0" applyFont="1" applyFill="1" applyBorder="1" applyAlignment="1">
      <alignment horizontal="left" vertical="top" wrapText="1"/>
    </xf>
    <xf numFmtId="49" fontId="0" fillId="0" borderId="0" xfId="0" applyNumberFormat="1"/>
    <xf numFmtId="43" fontId="0" fillId="0" borderId="0" xfId="1" applyFont="1"/>
    <xf numFmtId="0" fontId="1" fillId="0" borderId="3" xfId="0" applyFont="1" applyBorder="1" applyAlignment="1">
      <alignment horizontal="center"/>
    </xf>
    <xf numFmtId="0" fontId="0" fillId="0" borderId="0" xfId="0" applyAlignment="1">
      <alignment horizontal="center"/>
    </xf>
    <xf numFmtId="43" fontId="1" fillId="0" borderId="3" xfId="1" applyFont="1" applyBorder="1" applyAlignment="1">
      <alignment horizontal="center"/>
    </xf>
    <xf numFmtId="165" fontId="0" fillId="0" borderId="0" xfId="1" applyNumberFormat="1" applyFont="1"/>
    <xf numFmtId="43" fontId="0" fillId="0" borderId="0" xfId="0" applyNumberFormat="1"/>
    <xf numFmtId="165" fontId="0" fillId="0" borderId="2" xfId="1" applyNumberFormat="1" applyFont="1" applyBorder="1"/>
    <xf numFmtId="43" fontId="0" fillId="0" borderId="2" xfId="1" applyFont="1" applyBorder="1"/>
    <xf numFmtId="165" fontId="0" fillId="0" borderId="4" xfId="1" applyNumberFormat="1" applyFont="1" applyBorder="1"/>
    <xf numFmtId="43" fontId="0" fillId="0" borderId="4" xfId="1" applyFont="1" applyBorder="1"/>
    <xf numFmtId="0" fontId="14" fillId="0" borderId="0" xfId="0" applyFont="1" applyAlignment="1">
      <alignment horizontal="right"/>
    </xf>
    <xf numFmtId="43" fontId="10" fillId="0" borderId="0" xfId="1" applyFont="1" applyFill="1"/>
    <xf numFmtId="37" fontId="12" fillId="3" borderId="5" xfId="0" applyNumberFormat="1" applyFont="1" applyFill="1" applyBorder="1" applyAlignment="1">
      <alignment horizontal="right" vertical="top" wrapText="1"/>
    </xf>
    <xf numFmtId="37" fontId="12" fillId="3" borderId="5" xfId="0" applyNumberFormat="1" applyFont="1" applyFill="1" applyBorder="1" applyAlignment="1">
      <alignment horizontal="right"/>
    </xf>
    <xf numFmtId="37" fontId="12" fillId="4" borderId="5" xfId="0" applyNumberFormat="1" applyFont="1" applyFill="1" applyBorder="1" applyAlignment="1">
      <alignment horizontal="center" vertical="top" wrapText="1"/>
    </xf>
    <xf numFmtId="37" fontId="12" fillId="0" borderId="0" xfId="0" applyNumberFormat="1" applyFont="1" applyFill="1" applyAlignment="1">
      <alignment horizontal="center"/>
    </xf>
    <xf numFmtId="37" fontId="12" fillId="5" borderId="5" xfId="0" applyNumberFormat="1" applyFont="1" applyFill="1" applyBorder="1" applyAlignment="1">
      <alignment horizontal="center" vertical="top" wrapText="1"/>
    </xf>
    <xf numFmtId="37" fontId="12" fillId="6" borderId="5" xfId="0" applyNumberFormat="1" applyFont="1" applyFill="1" applyBorder="1" applyAlignment="1">
      <alignment horizontal="right" vertical="top" wrapText="1"/>
    </xf>
    <xf numFmtId="37" fontId="12" fillId="6" borderId="5" xfId="0" applyNumberFormat="1" applyFont="1" applyFill="1" applyBorder="1" applyAlignment="1">
      <alignment horizontal="center" vertical="top" wrapText="1"/>
    </xf>
    <xf numFmtId="37" fontId="12" fillId="6" borderId="5" xfId="0" applyNumberFormat="1" applyFont="1" applyFill="1" applyBorder="1"/>
    <xf numFmtId="37" fontId="12" fillId="0" borderId="0" xfId="0" applyNumberFormat="1" applyFont="1" applyFill="1" applyBorder="1" applyAlignment="1">
      <alignment horizontal="center" wrapText="1"/>
    </xf>
    <xf numFmtId="37" fontId="12" fillId="5" borderId="5" xfId="0" applyNumberFormat="1" applyFont="1" applyFill="1" applyBorder="1"/>
    <xf numFmtId="37" fontId="12" fillId="6" borderId="6" xfId="0" applyNumberFormat="1" applyFont="1" applyFill="1" applyBorder="1" applyAlignment="1">
      <alignment horizontal="center" vertical="top" wrapText="1"/>
    </xf>
    <xf numFmtId="37" fontId="12" fillId="4" borderId="5" xfId="0" applyNumberFormat="1" applyFont="1" applyFill="1" applyBorder="1" applyAlignment="1">
      <alignment horizontal="right" vertical="top" wrapText="1"/>
    </xf>
    <xf numFmtId="37" fontId="12" fillId="4" borderId="5" xfId="0" applyNumberFormat="1" applyFont="1" applyFill="1" applyBorder="1" applyAlignment="1">
      <alignment horizontal="right"/>
    </xf>
    <xf numFmtId="37" fontId="12" fillId="5" borderId="5" xfId="0" applyNumberFormat="1" applyFont="1" applyFill="1" applyBorder="1" applyAlignment="1">
      <alignment horizontal="right" vertical="top" wrapText="1"/>
    </xf>
    <xf numFmtId="37" fontId="12" fillId="5" borderId="5" xfId="0" applyNumberFormat="1" applyFont="1" applyFill="1" applyBorder="1" applyAlignment="1">
      <alignment horizontal="right"/>
    </xf>
    <xf numFmtId="37" fontId="12" fillId="6" borderId="5" xfId="0" applyNumberFormat="1" applyFont="1" applyFill="1" applyBorder="1" applyAlignment="1">
      <alignment horizontal="right"/>
    </xf>
    <xf numFmtId="3" fontId="12" fillId="4" borderId="6" xfId="0" applyNumberFormat="1" applyFont="1" applyFill="1" applyBorder="1" applyAlignment="1">
      <alignment horizontal="center" vertical="top" wrapText="1"/>
    </xf>
    <xf numFmtId="2" fontId="6" fillId="0" borderId="0" xfId="0" applyNumberFormat="1" applyFont="1" applyFill="1" applyBorder="1" applyAlignment="1">
      <alignment horizontal="left" vertical="top"/>
    </xf>
    <xf numFmtId="2" fontId="6" fillId="0" borderId="0" xfId="0" applyNumberFormat="1" applyFont="1"/>
    <xf numFmtId="37" fontId="12" fillId="4" borderId="6" xfId="0" applyNumberFormat="1" applyFont="1" applyFill="1" applyBorder="1" applyAlignment="1">
      <alignment horizontal="center" vertical="top" wrapText="1"/>
    </xf>
    <xf numFmtId="165" fontId="6" fillId="0" borderId="0" xfId="1" applyNumberFormat="1" applyFont="1" applyFill="1" applyBorder="1" applyAlignment="1">
      <alignment vertical="top"/>
    </xf>
    <xf numFmtId="37" fontId="12" fillId="0" borderId="0" xfId="0" applyNumberFormat="1" applyFont="1" applyAlignment="1">
      <alignment horizontal="right"/>
    </xf>
    <xf numFmtId="37" fontId="12" fillId="0" borderId="5" xfId="0" applyNumberFormat="1" applyFont="1" applyFill="1" applyBorder="1" applyAlignment="1">
      <alignment horizontal="center" vertical="top"/>
    </xf>
    <xf numFmtId="37" fontId="12" fillId="0" borderId="5" xfId="0" applyNumberFormat="1" applyFont="1" applyFill="1" applyBorder="1" applyAlignment="1">
      <alignment horizontal="right" vertical="top"/>
    </xf>
    <xf numFmtId="37" fontId="12" fillId="0" borderId="5" xfId="0" applyNumberFormat="1" applyFont="1" applyFill="1" applyBorder="1" applyAlignment="1">
      <alignment horizontal="center" vertical="top" wrapText="1"/>
    </xf>
    <xf numFmtId="37" fontId="12" fillId="3" borderId="5" xfId="0" applyNumberFormat="1" applyFont="1" applyFill="1" applyBorder="1" applyAlignment="1">
      <alignment horizontal="center" vertical="top" wrapText="1"/>
    </xf>
    <xf numFmtId="37" fontId="12" fillId="0" borderId="0" xfId="0" applyNumberFormat="1" applyFont="1" applyFill="1"/>
    <xf numFmtId="37" fontId="12" fillId="0" borderId="0" xfId="0" applyNumberFormat="1" applyFont="1" applyFill="1" applyBorder="1" applyAlignment="1">
      <alignment vertical="top" readingOrder="1"/>
    </xf>
    <xf numFmtId="37" fontId="12" fillId="0" borderId="0" xfId="0" quotePrefix="1" applyNumberFormat="1" applyFont="1" applyAlignment="1">
      <alignment horizontal="right"/>
    </xf>
    <xf numFmtId="37" fontId="12" fillId="0" borderId="0" xfId="0" quotePrefix="1" applyNumberFormat="1" applyFont="1"/>
    <xf numFmtId="37" fontId="13" fillId="0" borderId="0" xfId="0" applyNumberFormat="1" applyFont="1" applyFill="1" applyBorder="1" applyAlignment="1" applyProtection="1">
      <alignment vertical="center" wrapText="1"/>
    </xf>
    <xf numFmtId="42" fontId="6" fillId="0" borderId="4" xfId="0" applyNumberFormat="1" applyFont="1" applyFill="1" applyBorder="1"/>
    <xf numFmtId="0" fontId="1" fillId="0" borderId="1" xfId="0" applyFont="1" applyBorder="1" applyAlignment="1">
      <alignment horizontal="center" vertical="top" wrapText="1"/>
    </xf>
    <xf numFmtId="167" fontId="5" fillId="0" borderId="0" xfId="0" applyNumberFormat="1" applyFont="1"/>
    <xf numFmtId="37" fontId="12" fillId="6" borderId="5" xfId="0" applyNumberFormat="1" applyFont="1" applyFill="1" applyBorder="1" applyAlignment="1">
      <alignment wrapText="1"/>
    </xf>
    <xf numFmtId="37" fontId="12" fillId="6" borderId="5" xfId="0" applyNumberFormat="1" applyFont="1" applyFill="1" applyBorder="1" applyAlignment="1">
      <alignment vertical="center" wrapText="1"/>
    </xf>
    <xf numFmtId="37" fontId="12" fillId="7" borderId="5" xfId="0" applyNumberFormat="1" applyFont="1" applyFill="1" applyBorder="1"/>
    <xf numFmtId="0" fontId="1" fillId="0" borderId="1" xfId="0" applyFont="1" applyBorder="1" applyAlignment="1">
      <alignment horizontal="center" vertical="top" wrapText="1"/>
    </xf>
    <xf numFmtId="0" fontId="1" fillId="0" borderId="3" xfId="0" applyFont="1" applyBorder="1" applyAlignment="1">
      <alignment horizontal="center"/>
    </xf>
    <xf numFmtId="0" fontId="1" fillId="0" borderId="3" xfId="0" applyFont="1" applyFill="1" applyBorder="1" applyAlignment="1">
      <alignment horizontal="center"/>
    </xf>
    <xf numFmtId="37" fontId="12" fillId="3" borderId="3" xfId="0" applyNumberFormat="1" applyFont="1" applyFill="1" applyBorder="1" applyAlignment="1">
      <alignment horizontal="center"/>
    </xf>
    <xf numFmtId="37" fontId="12" fillId="4" borderId="3" xfId="0" applyNumberFormat="1" applyFont="1" applyFill="1" applyBorder="1" applyAlignment="1">
      <alignment horizontal="center"/>
    </xf>
    <xf numFmtId="37" fontId="12" fillId="5" borderId="3" xfId="0" applyNumberFormat="1" applyFont="1" applyFill="1" applyBorder="1" applyAlignment="1">
      <alignment horizontal="center"/>
    </xf>
    <xf numFmtId="37" fontId="12" fillId="6" borderId="3" xfId="0" applyNumberFormat="1" applyFont="1" applyFill="1" applyBorder="1" applyAlignment="1">
      <alignment horizontal="center"/>
    </xf>
    <xf numFmtId="3" fontId="12" fillId="3" borderId="3" xfId="0" applyNumberFormat="1" applyFont="1" applyFill="1" applyBorder="1" applyAlignment="1">
      <alignment horizontal="center"/>
    </xf>
    <xf numFmtId="3" fontId="12" fillId="4" borderId="3" xfId="0" applyNumberFormat="1" applyFont="1" applyFill="1" applyBorder="1" applyAlignment="1">
      <alignment horizontal="center"/>
    </xf>
    <xf numFmtId="3" fontId="12" fillId="5" borderId="3" xfId="0" applyNumberFormat="1" applyFont="1" applyFill="1" applyBorder="1" applyAlignment="1">
      <alignment horizontal="center"/>
    </xf>
    <xf numFmtId="3" fontId="12" fillId="6" borderId="3" xfId="0" applyNumberFormat="1" applyFont="1" applyFill="1" applyBorder="1" applyAlignment="1">
      <alignment horizontal="center"/>
    </xf>
  </cellXfs>
  <cellStyles count="6">
    <cellStyle name="Comma" xfId="1" builtinId="3"/>
    <cellStyle name="Currency" xfId="2" builtinId="4"/>
    <cellStyle name="Normal" xfId="0" builtinId="0"/>
    <cellStyle name="Normal 13" xfId="5"/>
    <cellStyle name="Normal 7" xfId="4"/>
    <cellStyle name="Percent" xfId="3" builtinId="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udget\Budget%20Dev\Copy%20of%20CS%20083%20Strong%20Communities%20-%20Measure%20M%20Profor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topia\Finance\BUDGET\Budget\FY%202020-21\Budget%20Review\Q1\Q1%20Expense%20Report%2010.07.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topia\Finance\BUDGET\Budget\FY%202020-21\Budget%20Review\Q1\Q1%20Revenue%20Report%2010.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ing"/>
      <sheetName val="Auditor Report 16-17 &amp; 17-18"/>
      <sheetName val="083-Quarterly"/>
      <sheetName val="Current Working"/>
      <sheetName val="exp"/>
      <sheetName val="rev"/>
      <sheetName val="Balance Sheet"/>
      <sheetName val="Chart1"/>
      <sheetName val="FY 18-19 Proposed Budget"/>
      <sheetName val="FY 17-18 Adopted Budget"/>
      <sheetName val="FY17-18 Exp Entry Report 62717"/>
      <sheetName val="Measure M Staff Requests 17-18"/>
      <sheetName val="Measure M Rec Ops Requests"/>
      <sheetName val="Sheet1"/>
      <sheetName val="Measure M Lib Ops Requests"/>
    </sheetNames>
    <sheetDataSet>
      <sheetData sheetId="0"/>
      <sheetData sheetId="1"/>
      <sheetData sheetId="2"/>
      <sheetData sheetId="3">
        <row r="61">
          <cell r="H61">
            <v>2391589.8199999998</v>
          </cell>
        </row>
      </sheetData>
      <sheetData sheetId="4"/>
      <sheetData sheetId="5"/>
      <sheetData sheetId="6">
        <row r="11">
          <cell r="F11"/>
        </row>
        <row r="20">
          <cell r="F20"/>
        </row>
        <row r="21">
          <cell r="F21"/>
        </row>
      </sheetData>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tBudgetaryBudgetCrossOrganiza"/>
    </sheetNames>
    <sheetDataSet>
      <sheetData sheetId="0">
        <row r="5236">
          <cell r="A5236" t="str">
            <v>420.00.00.900-6410.01</v>
          </cell>
          <cell r="B5236" t="str">
            <v>420</v>
          </cell>
          <cell r="C5236" t="str">
            <v>00</v>
          </cell>
          <cell r="D5236" t="str">
            <v>00</v>
          </cell>
          <cell r="E5236" t="str">
            <v>900</v>
          </cell>
          <cell r="F5236" t="str">
            <v>6410.01</v>
          </cell>
          <cell r="G5236" t="str">
            <v>Repairs &amp; Maintenance-Transportation Pavement</v>
          </cell>
          <cell r="H5236">
            <v>559000</v>
          </cell>
          <cell r="I5236">
            <v>0</v>
          </cell>
          <cell r="J5236">
            <v>559000</v>
          </cell>
          <cell r="K5236">
            <v>0</v>
          </cell>
          <cell r="L5236">
            <v>0</v>
          </cell>
          <cell r="M5236">
            <v>0</v>
          </cell>
          <cell r="N5236">
            <v>559000</v>
          </cell>
          <cell r="O5236">
            <v>0</v>
          </cell>
        </row>
        <row r="5237">
          <cell r="A5237" t="str">
            <v>420.00.00.900-6410.05</v>
          </cell>
          <cell r="B5237" t="str">
            <v>420</v>
          </cell>
          <cell r="C5237" t="str">
            <v>00</v>
          </cell>
          <cell r="D5237" t="str">
            <v>00</v>
          </cell>
          <cell r="E5237" t="str">
            <v>900</v>
          </cell>
          <cell r="F5237" t="str">
            <v>6410.05</v>
          </cell>
          <cell r="G5237" t="str">
            <v>Repairs &amp; Maintenance-Transportation Curb Gutter Sidewalk</v>
          </cell>
          <cell r="H5237">
            <v>0</v>
          </cell>
          <cell r="I5237">
            <v>0</v>
          </cell>
          <cell r="J5237">
            <v>0</v>
          </cell>
          <cell r="K5237">
            <v>0</v>
          </cell>
          <cell r="L5237">
            <v>0</v>
          </cell>
          <cell r="M5237">
            <v>0</v>
          </cell>
          <cell r="N5237">
            <v>0</v>
          </cell>
          <cell r="O5237" t="str">
            <v>+++</v>
          </cell>
        </row>
        <row r="5238">
          <cell r="A5238" t="str">
            <v>420.00.00.900-6410.07</v>
          </cell>
          <cell r="B5238" t="str">
            <v>420</v>
          </cell>
          <cell r="C5238" t="str">
            <v>00</v>
          </cell>
          <cell r="D5238" t="str">
            <v>00</v>
          </cell>
          <cell r="E5238" t="str">
            <v>900</v>
          </cell>
          <cell r="F5238" t="str">
            <v>6410.07</v>
          </cell>
          <cell r="G5238" t="str">
            <v>Repairs &amp; Maintenance-Transportation Soundwall</v>
          </cell>
          <cell r="H5238">
            <v>0</v>
          </cell>
          <cell r="I5238">
            <v>0</v>
          </cell>
          <cell r="J5238">
            <v>0</v>
          </cell>
          <cell r="K5238">
            <v>0</v>
          </cell>
          <cell r="L5238">
            <v>0</v>
          </cell>
          <cell r="M5238">
            <v>0</v>
          </cell>
          <cell r="N5238">
            <v>0</v>
          </cell>
          <cell r="O5238" t="str">
            <v>+++</v>
          </cell>
        </row>
        <row r="5239">
          <cell r="A5239" t="str">
            <v>420.00.00.900-6600.30</v>
          </cell>
          <cell r="B5239" t="str">
            <v>420</v>
          </cell>
          <cell r="C5239" t="str">
            <v>00</v>
          </cell>
          <cell r="D5239" t="str">
            <v>00</v>
          </cell>
          <cell r="E5239" t="str">
            <v>900</v>
          </cell>
          <cell r="F5239" t="str">
            <v>6600.30</v>
          </cell>
          <cell r="G5239" t="str">
            <v>Administrative Expenses Other Expenses</v>
          </cell>
          <cell r="H5239">
            <v>0</v>
          </cell>
          <cell r="I5239">
            <v>0</v>
          </cell>
          <cell r="J5239">
            <v>0</v>
          </cell>
          <cell r="K5239">
            <v>0</v>
          </cell>
          <cell r="L5239">
            <v>0</v>
          </cell>
          <cell r="M5239">
            <v>0</v>
          </cell>
          <cell r="N5239">
            <v>0</v>
          </cell>
          <cell r="O5239" t="str">
            <v>+++</v>
          </cell>
        </row>
        <row r="5240">
          <cell r="A5240" t="str">
            <v>420.00.00.900-7000.03</v>
          </cell>
          <cell r="B5240" t="str">
            <v>420</v>
          </cell>
          <cell r="C5240" t="str">
            <v>00</v>
          </cell>
          <cell r="D5240" t="str">
            <v>00</v>
          </cell>
          <cell r="E5240" t="str">
            <v>900</v>
          </cell>
          <cell r="F5240" t="str">
            <v>7000.03</v>
          </cell>
          <cell r="G5240" t="str">
            <v>Capital Outlay Operations Equip-Minor</v>
          </cell>
          <cell r="H5240">
            <v>0</v>
          </cell>
          <cell r="I5240">
            <v>0</v>
          </cell>
          <cell r="J5240">
            <v>0</v>
          </cell>
          <cell r="K5240">
            <v>0</v>
          </cell>
          <cell r="L5240">
            <v>0</v>
          </cell>
          <cell r="M5240">
            <v>0</v>
          </cell>
          <cell r="N5240">
            <v>0</v>
          </cell>
          <cell r="O5240" t="str">
            <v>+++</v>
          </cell>
        </row>
        <row r="5241">
          <cell r="A5241" t="str">
            <v>420.00.00.900-7000.99</v>
          </cell>
          <cell r="B5241" t="str">
            <v>420</v>
          </cell>
          <cell r="C5241" t="str">
            <v>00</v>
          </cell>
          <cell r="D5241" t="str">
            <v>00</v>
          </cell>
          <cell r="E5241" t="str">
            <v>900</v>
          </cell>
          <cell r="F5241" t="str">
            <v>7000.99</v>
          </cell>
          <cell r="G5241" t="str">
            <v>Capital Outlay General</v>
          </cell>
          <cell r="H5241">
            <v>57500</v>
          </cell>
          <cell r="I5241">
            <v>0</v>
          </cell>
          <cell r="J5241">
            <v>57500</v>
          </cell>
          <cell r="K5241">
            <v>0</v>
          </cell>
          <cell r="L5241">
            <v>0</v>
          </cell>
          <cell r="M5241">
            <v>0</v>
          </cell>
          <cell r="N5241">
            <v>57500</v>
          </cell>
          <cell r="O5241">
            <v>0</v>
          </cell>
        </row>
        <row r="5242">
          <cell r="A5242" t="str">
            <v>420.00.00.900-8150.08</v>
          </cell>
          <cell r="B5242" t="str">
            <v>420</v>
          </cell>
          <cell r="C5242" t="str">
            <v>00</v>
          </cell>
          <cell r="D5242" t="str">
            <v>00</v>
          </cell>
          <cell r="E5242" t="str">
            <v>900</v>
          </cell>
          <cell r="F5242" t="str">
            <v>8150.08</v>
          </cell>
          <cell r="G5242" t="str">
            <v>Capital Improvements-Transportation AB 2928 Projects</v>
          </cell>
          <cell r="H5242">
            <v>0</v>
          </cell>
          <cell r="I5242">
            <v>0</v>
          </cell>
          <cell r="J5242">
            <v>0</v>
          </cell>
          <cell r="K5242">
            <v>0</v>
          </cell>
          <cell r="L5242">
            <v>0</v>
          </cell>
          <cell r="M5242">
            <v>0</v>
          </cell>
          <cell r="N5242">
            <v>0</v>
          </cell>
          <cell r="O5242" t="str">
            <v>+++</v>
          </cell>
        </row>
        <row r="5243">
          <cell r="A5243" t="str">
            <v>420.00.00.900-8150.46</v>
          </cell>
          <cell r="B5243" t="str">
            <v>420</v>
          </cell>
          <cell r="C5243" t="str">
            <v>00</v>
          </cell>
          <cell r="D5243" t="str">
            <v>00</v>
          </cell>
          <cell r="E5243" t="str">
            <v>900</v>
          </cell>
          <cell r="F5243" t="str">
            <v>8150.46</v>
          </cell>
          <cell r="G5243" t="str">
            <v>Capital Improvements-Transportation SB1 Projects</v>
          </cell>
          <cell r="H5243">
            <v>1500000</v>
          </cell>
          <cell r="I5243">
            <v>0</v>
          </cell>
          <cell r="J5243">
            <v>1500000</v>
          </cell>
          <cell r="K5243">
            <v>0</v>
          </cell>
          <cell r="L5243">
            <v>0</v>
          </cell>
          <cell r="M5243">
            <v>138562.34</v>
          </cell>
          <cell r="N5243">
            <v>1361437.66</v>
          </cell>
          <cell r="O5243">
            <v>0.09</v>
          </cell>
        </row>
        <row r="5244">
          <cell r="A5244" t="str">
            <v>420.00.00.900-8150.99</v>
          </cell>
          <cell r="B5244" t="str">
            <v>420</v>
          </cell>
          <cell r="C5244" t="str">
            <v>00</v>
          </cell>
          <cell r="D5244" t="str">
            <v>00</v>
          </cell>
          <cell r="E5244" t="str">
            <v>900</v>
          </cell>
          <cell r="F5244" t="str">
            <v>8150.99</v>
          </cell>
          <cell r="G5244" t="str">
            <v>Capital Improvements-Transportation General</v>
          </cell>
          <cell r="H5244">
            <v>0</v>
          </cell>
          <cell r="I5244">
            <v>0</v>
          </cell>
          <cell r="J5244">
            <v>0</v>
          </cell>
          <cell r="K5244">
            <v>0</v>
          </cell>
          <cell r="L5244">
            <v>0</v>
          </cell>
          <cell r="M5244">
            <v>0</v>
          </cell>
          <cell r="N5244">
            <v>0</v>
          </cell>
          <cell r="O5244" t="str">
            <v>+++</v>
          </cell>
        </row>
        <row r="5245">
          <cell r="A5245" t="str">
            <v>420.20.25.330-5000.01</v>
          </cell>
          <cell r="B5245" t="str">
            <v>420</v>
          </cell>
          <cell r="C5245" t="str">
            <v>20</v>
          </cell>
          <cell r="D5245" t="str">
            <v>25</v>
          </cell>
          <cell r="E5245" t="str">
            <v>330</v>
          </cell>
          <cell r="F5245" t="str">
            <v>5000.01</v>
          </cell>
          <cell r="G5245" t="str">
            <v>Salaries Regular</v>
          </cell>
          <cell r="H5245">
            <v>122998</v>
          </cell>
          <cell r="I5245">
            <v>0</v>
          </cell>
          <cell r="J5245">
            <v>122998</v>
          </cell>
          <cell r="K5245">
            <v>0</v>
          </cell>
          <cell r="L5245">
            <v>0</v>
          </cell>
          <cell r="M5245">
            <v>30563.52</v>
          </cell>
          <cell r="N5245">
            <v>92434.48</v>
          </cell>
          <cell r="O5245">
            <v>0.25</v>
          </cell>
        </row>
        <row r="5246">
          <cell r="A5246" t="str">
            <v>420.20.25.330-5000.02</v>
          </cell>
          <cell r="B5246" t="str">
            <v>420</v>
          </cell>
          <cell r="C5246" t="str">
            <v>20</v>
          </cell>
          <cell r="D5246" t="str">
            <v>25</v>
          </cell>
          <cell r="E5246" t="str">
            <v>330</v>
          </cell>
          <cell r="F5246" t="str">
            <v>5000.02</v>
          </cell>
          <cell r="G5246" t="str">
            <v>Salaries Part Time</v>
          </cell>
          <cell r="H5246">
            <v>0</v>
          </cell>
          <cell r="I5246">
            <v>0</v>
          </cell>
          <cell r="J5246">
            <v>0</v>
          </cell>
          <cell r="K5246">
            <v>0</v>
          </cell>
          <cell r="L5246">
            <v>0</v>
          </cell>
          <cell r="M5246">
            <v>0</v>
          </cell>
          <cell r="N5246">
            <v>0</v>
          </cell>
          <cell r="O5246" t="str">
            <v>+++</v>
          </cell>
        </row>
        <row r="5247">
          <cell r="A5247" t="str">
            <v>420.20.25.330-5000.03</v>
          </cell>
          <cell r="B5247" t="str">
            <v>420</v>
          </cell>
          <cell r="C5247" t="str">
            <v>20</v>
          </cell>
          <cell r="D5247" t="str">
            <v>25</v>
          </cell>
          <cell r="E5247" t="str">
            <v>330</v>
          </cell>
          <cell r="F5247" t="str">
            <v>5000.03</v>
          </cell>
          <cell r="G5247" t="str">
            <v>Salaries Overtime</v>
          </cell>
          <cell r="H5247">
            <v>0</v>
          </cell>
          <cell r="I5247">
            <v>0</v>
          </cell>
          <cell r="J5247">
            <v>0</v>
          </cell>
          <cell r="K5247">
            <v>0</v>
          </cell>
          <cell r="L5247">
            <v>0</v>
          </cell>
          <cell r="M5247">
            <v>368.11</v>
          </cell>
          <cell r="N5247">
            <v>-368.11</v>
          </cell>
          <cell r="O5247" t="str">
            <v>+++</v>
          </cell>
        </row>
        <row r="5248">
          <cell r="A5248" t="str">
            <v>420.20.25.330-5000.04</v>
          </cell>
          <cell r="B5248" t="str">
            <v>420</v>
          </cell>
          <cell r="C5248" t="str">
            <v>20</v>
          </cell>
          <cell r="D5248" t="str">
            <v>25</v>
          </cell>
          <cell r="E5248" t="str">
            <v>330</v>
          </cell>
          <cell r="F5248" t="str">
            <v>5000.04</v>
          </cell>
          <cell r="G5248" t="str">
            <v>Salaries Holiday Pay</v>
          </cell>
          <cell r="H5248">
            <v>0</v>
          </cell>
          <cell r="I5248">
            <v>0</v>
          </cell>
          <cell r="J5248">
            <v>0</v>
          </cell>
          <cell r="K5248">
            <v>0</v>
          </cell>
          <cell r="L5248">
            <v>0</v>
          </cell>
          <cell r="M5248">
            <v>0</v>
          </cell>
          <cell r="N5248">
            <v>0</v>
          </cell>
          <cell r="O5248" t="str">
            <v>+++</v>
          </cell>
        </row>
        <row r="5249">
          <cell r="A5249" t="str">
            <v>420.20.25.330-5000.05</v>
          </cell>
          <cell r="B5249" t="str">
            <v>420</v>
          </cell>
          <cell r="C5249" t="str">
            <v>20</v>
          </cell>
          <cell r="D5249" t="str">
            <v>25</v>
          </cell>
          <cell r="E5249" t="str">
            <v>330</v>
          </cell>
          <cell r="F5249" t="str">
            <v>5000.05</v>
          </cell>
          <cell r="G5249" t="str">
            <v>Salaries Duty Pay</v>
          </cell>
          <cell r="H5249">
            <v>0</v>
          </cell>
          <cell r="I5249">
            <v>0</v>
          </cell>
          <cell r="J5249">
            <v>0</v>
          </cell>
          <cell r="K5249">
            <v>0</v>
          </cell>
          <cell r="L5249">
            <v>0</v>
          </cell>
          <cell r="M5249">
            <v>0</v>
          </cell>
          <cell r="N5249">
            <v>0</v>
          </cell>
          <cell r="O5249" t="str">
            <v>+++</v>
          </cell>
        </row>
        <row r="5250">
          <cell r="A5250" t="str">
            <v>420.20.25.330-5000.06</v>
          </cell>
          <cell r="B5250" t="str">
            <v>420</v>
          </cell>
          <cell r="C5250" t="str">
            <v>20</v>
          </cell>
          <cell r="D5250" t="str">
            <v>25</v>
          </cell>
          <cell r="E5250" t="str">
            <v>330</v>
          </cell>
          <cell r="F5250" t="str">
            <v>5000.06</v>
          </cell>
          <cell r="G5250" t="str">
            <v>Salaries Out of Class</v>
          </cell>
          <cell r="H5250">
            <v>0</v>
          </cell>
          <cell r="I5250">
            <v>0</v>
          </cell>
          <cell r="J5250">
            <v>0</v>
          </cell>
          <cell r="K5250">
            <v>0</v>
          </cell>
          <cell r="L5250">
            <v>0</v>
          </cell>
          <cell r="M5250">
            <v>0</v>
          </cell>
          <cell r="N5250">
            <v>0</v>
          </cell>
          <cell r="O5250" t="str">
            <v>+++</v>
          </cell>
        </row>
        <row r="5251">
          <cell r="A5251" t="str">
            <v>420.20.25.330-5000.07</v>
          </cell>
          <cell r="B5251" t="str">
            <v>420</v>
          </cell>
          <cell r="C5251" t="str">
            <v>20</v>
          </cell>
          <cell r="D5251" t="str">
            <v>25</v>
          </cell>
          <cell r="E5251" t="str">
            <v>330</v>
          </cell>
          <cell r="F5251" t="str">
            <v>5000.07</v>
          </cell>
          <cell r="G5251" t="str">
            <v>Salaries Admin Leave Pay</v>
          </cell>
          <cell r="H5251">
            <v>0</v>
          </cell>
          <cell r="I5251">
            <v>0</v>
          </cell>
          <cell r="J5251">
            <v>0</v>
          </cell>
          <cell r="K5251">
            <v>0</v>
          </cell>
          <cell r="L5251">
            <v>0</v>
          </cell>
          <cell r="M5251">
            <v>0</v>
          </cell>
          <cell r="N5251">
            <v>0</v>
          </cell>
          <cell r="O5251" t="str">
            <v>+++</v>
          </cell>
        </row>
        <row r="5252">
          <cell r="A5252" t="str">
            <v>420.20.25.330-5000.08</v>
          </cell>
          <cell r="B5252" t="str">
            <v>420</v>
          </cell>
          <cell r="C5252" t="str">
            <v>20</v>
          </cell>
          <cell r="D5252" t="str">
            <v>25</v>
          </cell>
          <cell r="E5252" t="str">
            <v>330</v>
          </cell>
          <cell r="F5252" t="str">
            <v>5000.08</v>
          </cell>
          <cell r="G5252" t="str">
            <v>Salaries Longevity Pay</v>
          </cell>
          <cell r="H5252">
            <v>1118</v>
          </cell>
          <cell r="I5252">
            <v>0</v>
          </cell>
          <cell r="J5252">
            <v>1118</v>
          </cell>
          <cell r="K5252">
            <v>0</v>
          </cell>
          <cell r="L5252">
            <v>0</v>
          </cell>
          <cell r="M5252">
            <v>0</v>
          </cell>
          <cell r="N5252">
            <v>1118</v>
          </cell>
          <cell r="O5252">
            <v>0</v>
          </cell>
        </row>
        <row r="5253">
          <cell r="A5253" t="str">
            <v>420.20.25.330-5000.09</v>
          </cell>
          <cell r="B5253" t="str">
            <v>420</v>
          </cell>
          <cell r="C5253" t="str">
            <v>20</v>
          </cell>
          <cell r="D5253" t="str">
            <v>25</v>
          </cell>
          <cell r="E5253" t="str">
            <v>330</v>
          </cell>
          <cell r="F5253" t="str">
            <v>5000.09</v>
          </cell>
          <cell r="G5253" t="str">
            <v>Salaries Mutual Aid Overtime</v>
          </cell>
          <cell r="H5253">
            <v>0</v>
          </cell>
          <cell r="I5253">
            <v>0</v>
          </cell>
          <cell r="J5253">
            <v>0</v>
          </cell>
          <cell r="K5253">
            <v>0</v>
          </cell>
          <cell r="L5253">
            <v>0</v>
          </cell>
          <cell r="M5253">
            <v>0</v>
          </cell>
          <cell r="N5253">
            <v>0</v>
          </cell>
          <cell r="O5253" t="str">
            <v>+++</v>
          </cell>
        </row>
        <row r="5254">
          <cell r="A5254" t="str">
            <v>420.20.25.330-5000.10</v>
          </cell>
          <cell r="B5254" t="str">
            <v>420</v>
          </cell>
          <cell r="C5254" t="str">
            <v>20</v>
          </cell>
          <cell r="D5254" t="str">
            <v>25</v>
          </cell>
          <cell r="E5254" t="str">
            <v>330</v>
          </cell>
          <cell r="F5254" t="str">
            <v>5000.10</v>
          </cell>
          <cell r="G5254" t="str">
            <v>Salaries Furloughs</v>
          </cell>
          <cell r="H5254">
            <v>0</v>
          </cell>
          <cell r="I5254">
            <v>0</v>
          </cell>
          <cell r="J5254">
            <v>0</v>
          </cell>
          <cell r="K5254">
            <v>0</v>
          </cell>
          <cell r="L5254">
            <v>0</v>
          </cell>
          <cell r="M5254">
            <v>0</v>
          </cell>
          <cell r="N5254">
            <v>0</v>
          </cell>
          <cell r="O5254" t="str">
            <v>+++</v>
          </cell>
        </row>
        <row r="5255">
          <cell r="A5255" t="str">
            <v>420.20.25.330-5000.11</v>
          </cell>
          <cell r="B5255" t="str">
            <v>420</v>
          </cell>
          <cell r="C5255" t="str">
            <v>20</v>
          </cell>
          <cell r="D5255" t="str">
            <v>25</v>
          </cell>
          <cell r="E5255" t="str">
            <v>330</v>
          </cell>
          <cell r="F5255" t="str">
            <v>5000.11</v>
          </cell>
          <cell r="G5255" t="str">
            <v>Salaries Worker's Comp</v>
          </cell>
          <cell r="H5255">
            <v>0</v>
          </cell>
          <cell r="I5255">
            <v>0</v>
          </cell>
          <cell r="J5255">
            <v>0</v>
          </cell>
          <cell r="K5255">
            <v>0</v>
          </cell>
          <cell r="L5255">
            <v>0</v>
          </cell>
          <cell r="M5255">
            <v>0</v>
          </cell>
          <cell r="N5255">
            <v>0</v>
          </cell>
          <cell r="O5255" t="str">
            <v>+++</v>
          </cell>
        </row>
        <row r="5256">
          <cell r="A5256" t="str">
            <v>420.20.25.330-5000.12</v>
          </cell>
          <cell r="B5256" t="str">
            <v>420</v>
          </cell>
          <cell r="C5256" t="str">
            <v>20</v>
          </cell>
          <cell r="D5256" t="str">
            <v>25</v>
          </cell>
          <cell r="E5256" t="str">
            <v>330</v>
          </cell>
          <cell r="F5256" t="str">
            <v>5000.12</v>
          </cell>
          <cell r="G5256" t="str">
            <v>Salaries Compensated Absences</v>
          </cell>
          <cell r="H5256">
            <v>0</v>
          </cell>
          <cell r="I5256">
            <v>0</v>
          </cell>
          <cell r="J5256">
            <v>0</v>
          </cell>
          <cell r="K5256">
            <v>0</v>
          </cell>
          <cell r="L5256">
            <v>0</v>
          </cell>
          <cell r="M5256">
            <v>0</v>
          </cell>
          <cell r="N5256">
            <v>0</v>
          </cell>
          <cell r="O5256" t="str">
            <v>+++</v>
          </cell>
        </row>
        <row r="5257">
          <cell r="A5257" t="str">
            <v>420.20.25.330-5000.99</v>
          </cell>
          <cell r="B5257" t="str">
            <v>420</v>
          </cell>
          <cell r="C5257" t="str">
            <v>20</v>
          </cell>
          <cell r="D5257" t="str">
            <v>25</v>
          </cell>
          <cell r="E5257" t="str">
            <v>330</v>
          </cell>
          <cell r="F5257" t="str">
            <v>5000.99</v>
          </cell>
          <cell r="G5257" t="str">
            <v>Salaries New Personnel Requests</v>
          </cell>
          <cell r="H5257">
            <v>0</v>
          </cell>
          <cell r="I5257">
            <v>0</v>
          </cell>
          <cell r="J5257">
            <v>0</v>
          </cell>
          <cell r="K5257">
            <v>0</v>
          </cell>
          <cell r="L5257">
            <v>0</v>
          </cell>
          <cell r="M5257">
            <v>0</v>
          </cell>
          <cell r="N5257">
            <v>0</v>
          </cell>
          <cell r="O5257" t="str">
            <v>+++</v>
          </cell>
        </row>
        <row r="5258">
          <cell r="A5258" t="str">
            <v>420.20.25.330-5100.00</v>
          </cell>
          <cell r="B5258" t="str">
            <v>420</v>
          </cell>
          <cell r="C5258" t="str">
            <v>20</v>
          </cell>
          <cell r="D5258" t="str">
            <v>25</v>
          </cell>
          <cell r="E5258" t="str">
            <v>330</v>
          </cell>
          <cell r="F5258" t="str">
            <v>5100.00</v>
          </cell>
          <cell r="G5258" t="str">
            <v>Benefits PERS Pool Liability</v>
          </cell>
          <cell r="H5258">
            <v>23315</v>
          </cell>
          <cell r="I5258">
            <v>0</v>
          </cell>
          <cell r="J5258">
            <v>23315</v>
          </cell>
          <cell r="K5258">
            <v>0</v>
          </cell>
          <cell r="L5258">
            <v>0</v>
          </cell>
          <cell r="M5258">
            <v>5512.44</v>
          </cell>
          <cell r="N5258">
            <v>17802.560000000001</v>
          </cell>
          <cell r="O5258">
            <v>0.24</v>
          </cell>
        </row>
        <row r="5259">
          <cell r="A5259" t="str">
            <v>420.20.25.330-5100.01</v>
          </cell>
          <cell r="B5259" t="str">
            <v>420</v>
          </cell>
          <cell r="C5259" t="str">
            <v>20</v>
          </cell>
          <cell r="D5259" t="str">
            <v>25</v>
          </cell>
          <cell r="E5259" t="str">
            <v>330</v>
          </cell>
          <cell r="F5259" t="str">
            <v>5100.01</v>
          </cell>
          <cell r="G5259" t="str">
            <v>Benefits Retirement</v>
          </cell>
          <cell r="H5259">
            <v>14120</v>
          </cell>
          <cell r="I5259">
            <v>0</v>
          </cell>
          <cell r="J5259">
            <v>14120</v>
          </cell>
          <cell r="K5259">
            <v>0</v>
          </cell>
          <cell r="L5259">
            <v>0</v>
          </cell>
          <cell r="M5259">
            <v>3097.89</v>
          </cell>
          <cell r="N5259">
            <v>11022.11</v>
          </cell>
          <cell r="O5259">
            <v>0.22</v>
          </cell>
        </row>
        <row r="5260">
          <cell r="A5260" t="str">
            <v>420.20.25.330-5100.02</v>
          </cell>
          <cell r="B5260" t="str">
            <v>420</v>
          </cell>
          <cell r="C5260" t="str">
            <v>20</v>
          </cell>
          <cell r="D5260" t="str">
            <v>25</v>
          </cell>
          <cell r="E5260" t="str">
            <v>330</v>
          </cell>
          <cell r="F5260" t="str">
            <v>5100.02</v>
          </cell>
          <cell r="G5260" t="str">
            <v>Benefits Health Insurance</v>
          </cell>
          <cell r="H5260">
            <v>25980</v>
          </cell>
          <cell r="I5260">
            <v>0</v>
          </cell>
          <cell r="J5260">
            <v>25980</v>
          </cell>
          <cell r="K5260">
            <v>0</v>
          </cell>
          <cell r="L5260">
            <v>0</v>
          </cell>
          <cell r="M5260">
            <v>2250</v>
          </cell>
          <cell r="N5260">
            <v>23730</v>
          </cell>
          <cell r="O5260">
            <v>0.09</v>
          </cell>
        </row>
        <row r="5261">
          <cell r="A5261" t="str">
            <v>420.20.25.330-5100.03</v>
          </cell>
          <cell r="B5261" t="str">
            <v>420</v>
          </cell>
          <cell r="C5261" t="str">
            <v>20</v>
          </cell>
          <cell r="D5261" t="str">
            <v>25</v>
          </cell>
          <cell r="E5261" t="str">
            <v>330</v>
          </cell>
          <cell r="F5261" t="str">
            <v>5100.03</v>
          </cell>
          <cell r="G5261" t="str">
            <v>Benefits Dental Insurance</v>
          </cell>
          <cell r="H5261">
            <v>2080</v>
          </cell>
          <cell r="I5261">
            <v>0</v>
          </cell>
          <cell r="J5261">
            <v>2080</v>
          </cell>
          <cell r="K5261">
            <v>0</v>
          </cell>
          <cell r="L5261">
            <v>0</v>
          </cell>
          <cell r="M5261">
            <v>132.84</v>
          </cell>
          <cell r="N5261">
            <v>1947.16</v>
          </cell>
          <cell r="O5261">
            <v>0.06</v>
          </cell>
        </row>
        <row r="5262">
          <cell r="A5262" t="str">
            <v>420.20.25.330-5100.04</v>
          </cell>
          <cell r="B5262" t="str">
            <v>420</v>
          </cell>
          <cell r="C5262" t="str">
            <v>20</v>
          </cell>
          <cell r="D5262" t="str">
            <v>25</v>
          </cell>
          <cell r="E5262" t="str">
            <v>330</v>
          </cell>
          <cell r="F5262" t="str">
            <v>5100.04</v>
          </cell>
          <cell r="G5262" t="str">
            <v>Benefits Vision Insurance</v>
          </cell>
          <cell r="H5262">
            <v>355</v>
          </cell>
          <cell r="I5262">
            <v>0</v>
          </cell>
          <cell r="J5262">
            <v>355</v>
          </cell>
          <cell r="K5262">
            <v>0</v>
          </cell>
          <cell r="L5262">
            <v>0</v>
          </cell>
          <cell r="M5262">
            <v>28.2</v>
          </cell>
          <cell r="N5262">
            <v>326.8</v>
          </cell>
          <cell r="O5262">
            <v>0.08</v>
          </cell>
        </row>
        <row r="5263">
          <cell r="A5263" t="str">
            <v>420.20.25.330-5100.05</v>
          </cell>
          <cell r="B5263" t="str">
            <v>420</v>
          </cell>
          <cell r="C5263" t="str">
            <v>20</v>
          </cell>
          <cell r="D5263" t="str">
            <v>25</v>
          </cell>
          <cell r="E5263" t="str">
            <v>330</v>
          </cell>
          <cell r="F5263" t="str">
            <v>5100.05</v>
          </cell>
          <cell r="G5263" t="str">
            <v>Benefits Life Insurance</v>
          </cell>
          <cell r="H5263">
            <v>160</v>
          </cell>
          <cell r="I5263">
            <v>0</v>
          </cell>
          <cell r="J5263">
            <v>160</v>
          </cell>
          <cell r="K5263">
            <v>0</v>
          </cell>
          <cell r="L5263">
            <v>0</v>
          </cell>
          <cell r="M5263">
            <v>8.41</v>
          </cell>
          <cell r="N5263">
            <v>151.59</v>
          </cell>
          <cell r="O5263">
            <v>0.05</v>
          </cell>
        </row>
        <row r="5264">
          <cell r="A5264" t="str">
            <v>420.20.25.330-5100.06</v>
          </cell>
          <cell r="B5264" t="str">
            <v>420</v>
          </cell>
          <cell r="C5264" t="str">
            <v>20</v>
          </cell>
          <cell r="D5264" t="str">
            <v>25</v>
          </cell>
          <cell r="E5264" t="str">
            <v>330</v>
          </cell>
          <cell r="F5264" t="str">
            <v>5100.06</v>
          </cell>
          <cell r="G5264" t="str">
            <v>Benefits Worker's Comp</v>
          </cell>
          <cell r="H5264">
            <v>3870</v>
          </cell>
          <cell r="I5264">
            <v>0</v>
          </cell>
          <cell r="J5264">
            <v>3870</v>
          </cell>
          <cell r="K5264">
            <v>0</v>
          </cell>
          <cell r="L5264">
            <v>0</v>
          </cell>
          <cell r="M5264">
            <v>0</v>
          </cell>
          <cell r="N5264">
            <v>3870</v>
          </cell>
          <cell r="O5264">
            <v>0</v>
          </cell>
        </row>
        <row r="5265">
          <cell r="A5265" t="str">
            <v>420.20.25.330-5100.07</v>
          </cell>
          <cell r="B5265" t="str">
            <v>420</v>
          </cell>
          <cell r="C5265" t="str">
            <v>20</v>
          </cell>
          <cell r="D5265" t="str">
            <v>25</v>
          </cell>
          <cell r="E5265" t="str">
            <v>330</v>
          </cell>
          <cell r="F5265" t="str">
            <v>5100.07</v>
          </cell>
          <cell r="G5265" t="str">
            <v>Benefits Long Term Disability</v>
          </cell>
          <cell r="H5265">
            <v>430</v>
          </cell>
          <cell r="I5265">
            <v>0</v>
          </cell>
          <cell r="J5265">
            <v>430</v>
          </cell>
          <cell r="K5265">
            <v>0</v>
          </cell>
          <cell r="L5265">
            <v>0</v>
          </cell>
          <cell r="M5265">
            <v>99.87</v>
          </cell>
          <cell r="N5265">
            <v>330.13</v>
          </cell>
          <cell r="O5265">
            <v>0.23</v>
          </cell>
        </row>
        <row r="5266">
          <cell r="A5266" t="str">
            <v>420.20.25.330-5100.08</v>
          </cell>
          <cell r="B5266" t="str">
            <v>420</v>
          </cell>
          <cell r="C5266" t="str">
            <v>20</v>
          </cell>
          <cell r="D5266" t="str">
            <v>25</v>
          </cell>
          <cell r="E5266" t="str">
            <v>330</v>
          </cell>
          <cell r="F5266" t="str">
            <v>5100.08</v>
          </cell>
          <cell r="G5266" t="str">
            <v>Benefits Deferred Compensation</v>
          </cell>
          <cell r="H5266">
            <v>5595</v>
          </cell>
          <cell r="I5266">
            <v>0</v>
          </cell>
          <cell r="J5266">
            <v>5595</v>
          </cell>
          <cell r="K5266">
            <v>0</v>
          </cell>
          <cell r="L5266">
            <v>0</v>
          </cell>
          <cell r="M5266">
            <v>1318.52</v>
          </cell>
          <cell r="N5266">
            <v>4276.4799999999996</v>
          </cell>
          <cell r="O5266">
            <v>0.24</v>
          </cell>
        </row>
        <row r="5267">
          <cell r="A5267" t="str">
            <v>420.20.25.330-5100.09</v>
          </cell>
          <cell r="B5267" t="str">
            <v>420</v>
          </cell>
          <cell r="C5267" t="str">
            <v>20</v>
          </cell>
          <cell r="D5267" t="str">
            <v>25</v>
          </cell>
          <cell r="E5267" t="str">
            <v>330</v>
          </cell>
          <cell r="F5267" t="str">
            <v>5100.09</v>
          </cell>
          <cell r="G5267" t="str">
            <v>Benefits Unemployment Insurance</v>
          </cell>
          <cell r="H5267">
            <v>0</v>
          </cell>
          <cell r="I5267">
            <v>0</v>
          </cell>
          <cell r="J5267">
            <v>0</v>
          </cell>
          <cell r="K5267">
            <v>0</v>
          </cell>
          <cell r="L5267">
            <v>0</v>
          </cell>
          <cell r="M5267">
            <v>0</v>
          </cell>
          <cell r="N5267">
            <v>0</v>
          </cell>
          <cell r="O5267" t="str">
            <v>+++</v>
          </cell>
        </row>
        <row r="5268">
          <cell r="A5268" t="str">
            <v>420.20.25.330-5100.10</v>
          </cell>
          <cell r="B5268" t="str">
            <v>420</v>
          </cell>
          <cell r="C5268" t="str">
            <v>20</v>
          </cell>
          <cell r="D5268" t="str">
            <v>25</v>
          </cell>
          <cell r="E5268" t="str">
            <v>330</v>
          </cell>
          <cell r="F5268" t="str">
            <v>5100.10</v>
          </cell>
          <cell r="G5268" t="str">
            <v>Benefits Uniform Allowance</v>
          </cell>
          <cell r="H5268">
            <v>0</v>
          </cell>
          <cell r="I5268">
            <v>0</v>
          </cell>
          <cell r="J5268">
            <v>0</v>
          </cell>
          <cell r="K5268">
            <v>0</v>
          </cell>
          <cell r="L5268">
            <v>0</v>
          </cell>
          <cell r="M5268">
            <v>0</v>
          </cell>
          <cell r="N5268">
            <v>0</v>
          </cell>
          <cell r="O5268" t="str">
            <v>+++</v>
          </cell>
        </row>
        <row r="5269">
          <cell r="A5269" t="str">
            <v>420.20.25.330-5100.11</v>
          </cell>
          <cell r="B5269" t="str">
            <v>420</v>
          </cell>
          <cell r="C5269" t="str">
            <v>20</v>
          </cell>
          <cell r="D5269" t="str">
            <v>25</v>
          </cell>
          <cell r="E5269" t="str">
            <v>330</v>
          </cell>
          <cell r="F5269" t="str">
            <v>5100.11</v>
          </cell>
          <cell r="G5269" t="str">
            <v>Benefits Medicare</v>
          </cell>
          <cell r="H5269">
            <v>1840</v>
          </cell>
          <cell r="I5269">
            <v>0</v>
          </cell>
          <cell r="J5269">
            <v>1840</v>
          </cell>
          <cell r="K5269">
            <v>0</v>
          </cell>
          <cell r="L5269">
            <v>0</v>
          </cell>
          <cell r="M5269">
            <v>461.38</v>
          </cell>
          <cell r="N5269">
            <v>1378.62</v>
          </cell>
          <cell r="O5269">
            <v>0.25</v>
          </cell>
        </row>
        <row r="5270">
          <cell r="A5270" t="str">
            <v>420.20.25.330-5100.12</v>
          </cell>
          <cell r="B5270" t="str">
            <v>420</v>
          </cell>
          <cell r="C5270" t="str">
            <v>20</v>
          </cell>
          <cell r="D5270" t="str">
            <v>25</v>
          </cell>
          <cell r="E5270" t="str">
            <v>330</v>
          </cell>
          <cell r="F5270" t="str">
            <v>5100.12</v>
          </cell>
          <cell r="G5270" t="str">
            <v>Benefits Annual Physical Exam</v>
          </cell>
          <cell r="H5270">
            <v>0</v>
          </cell>
          <cell r="I5270">
            <v>0</v>
          </cell>
          <cell r="J5270">
            <v>0</v>
          </cell>
          <cell r="K5270">
            <v>0</v>
          </cell>
          <cell r="L5270">
            <v>0</v>
          </cell>
          <cell r="M5270">
            <v>0</v>
          </cell>
          <cell r="N5270">
            <v>0</v>
          </cell>
          <cell r="O5270" t="str">
            <v>+++</v>
          </cell>
        </row>
        <row r="5271">
          <cell r="A5271" t="str">
            <v>420.20.25.330-5100.13</v>
          </cell>
          <cell r="B5271" t="str">
            <v>420</v>
          </cell>
          <cell r="C5271" t="str">
            <v>20</v>
          </cell>
          <cell r="D5271" t="str">
            <v>25</v>
          </cell>
          <cell r="E5271" t="str">
            <v>330</v>
          </cell>
          <cell r="F5271" t="str">
            <v>5100.13</v>
          </cell>
          <cell r="G5271" t="str">
            <v>Benefits Employee Assistance Program</v>
          </cell>
          <cell r="H5271">
            <v>0</v>
          </cell>
          <cell r="I5271">
            <v>0</v>
          </cell>
          <cell r="J5271">
            <v>0</v>
          </cell>
          <cell r="K5271">
            <v>0</v>
          </cell>
          <cell r="L5271">
            <v>0</v>
          </cell>
          <cell r="M5271">
            <v>0</v>
          </cell>
          <cell r="N5271">
            <v>0</v>
          </cell>
          <cell r="O5271" t="str">
            <v>+++</v>
          </cell>
        </row>
        <row r="5272">
          <cell r="A5272" t="str">
            <v>420.20.25.330-5100.14</v>
          </cell>
          <cell r="B5272" t="str">
            <v>420</v>
          </cell>
          <cell r="C5272" t="str">
            <v>20</v>
          </cell>
          <cell r="D5272" t="str">
            <v>25</v>
          </cell>
          <cell r="E5272" t="str">
            <v>330</v>
          </cell>
          <cell r="F5272" t="str">
            <v>5100.14</v>
          </cell>
          <cell r="G5272" t="str">
            <v>Benefits PPE</v>
          </cell>
          <cell r="H5272">
            <v>0</v>
          </cell>
          <cell r="I5272">
            <v>0</v>
          </cell>
          <cell r="J5272">
            <v>0</v>
          </cell>
          <cell r="K5272">
            <v>0</v>
          </cell>
          <cell r="L5272">
            <v>0</v>
          </cell>
          <cell r="M5272">
            <v>0</v>
          </cell>
          <cell r="N5272">
            <v>0</v>
          </cell>
          <cell r="O5272" t="str">
            <v>+++</v>
          </cell>
        </row>
        <row r="5273">
          <cell r="A5273" t="str">
            <v>420.20.25.330-5100.15</v>
          </cell>
          <cell r="B5273" t="str">
            <v>420</v>
          </cell>
          <cell r="C5273" t="str">
            <v>20</v>
          </cell>
          <cell r="D5273" t="str">
            <v>25</v>
          </cell>
          <cell r="E5273" t="str">
            <v>330</v>
          </cell>
          <cell r="F5273" t="str">
            <v>5100.15</v>
          </cell>
          <cell r="G5273" t="str">
            <v>Benefits Cell Phone Allowance</v>
          </cell>
          <cell r="H5273">
            <v>0</v>
          </cell>
          <cell r="I5273">
            <v>0</v>
          </cell>
          <cell r="J5273">
            <v>0</v>
          </cell>
          <cell r="K5273">
            <v>0</v>
          </cell>
          <cell r="L5273">
            <v>0</v>
          </cell>
          <cell r="M5273">
            <v>0</v>
          </cell>
          <cell r="N5273">
            <v>0</v>
          </cell>
          <cell r="O5273" t="str">
            <v>+++</v>
          </cell>
        </row>
        <row r="5274">
          <cell r="A5274" t="str">
            <v>420.20.25.330-5100.16</v>
          </cell>
          <cell r="B5274" t="str">
            <v>420</v>
          </cell>
          <cell r="C5274" t="str">
            <v>20</v>
          </cell>
          <cell r="D5274" t="str">
            <v>25</v>
          </cell>
          <cell r="E5274" t="str">
            <v>330</v>
          </cell>
          <cell r="F5274" t="str">
            <v>5100.16</v>
          </cell>
          <cell r="G5274" t="str">
            <v>Benefits 1959 Survivor Retirement</v>
          </cell>
          <cell r="H5274">
            <v>0</v>
          </cell>
          <cell r="I5274">
            <v>0</v>
          </cell>
          <cell r="J5274">
            <v>0</v>
          </cell>
          <cell r="K5274">
            <v>0</v>
          </cell>
          <cell r="L5274">
            <v>0</v>
          </cell>
          <cell r="M5274">
            <v>0</v>
          </cell>
          <cell r="N5274">
            <v>0</v>
          </cell>
          <cell r="O5274" t="str">
            <v>+++</v>
          </cell>
        </row>
        <row r="5275">
          <cell r="A5275" t="str">
            <v>420.20.25.330-5100.17</v>
          </cell>
          <cell r="B5275" t="str">
            <v>420</v>
          </cell>
          <cell r="C5275" t="str">
            <v>20</v>
          </cell>
          <cell r="D5275" t="str">
            <v>25</v>
          </cell>
          <cell r="E5275" t="str">
            <v>330</v>
          </cell>
          <cell r="F5275" t="str">
            <v>5100.17</v>
          </cell>
          <cell r="G5275" t="str">
            <v>Benefits Other Post Employment Benefits</v>
          </cell>
          <cell r="H5275">
            <v>3885</v>
          </cell>
          <cell r="I5275">
            <v>0</v>
          </cell>
          <cell r="J5275">
            <v>3885</v>
          </cell>
          <cell r="K5275">
            <v>0</v>
          </cell>
          <cell r="L5275">
            <v>0</v>
          </cell>
          <cell r="M5275">
            <v>3043.29</v>
          </cell>
          <cell r="N5275">
            <v>841.71</v>
          </cell>
          <cell r="O5275">
            <v>0.78</v>
          </cell>
        </row>
        <row r="5276">
          <cell r="A5276" t="str">
            <v>420.20.25.330-6000.09</v>
          </cell>
          <cell r="B5276" t="str">
            <v>420</v>
          </cell>
          <cell r="C5276" t="str">
            <v>20</v>
          </cell>
          <cell r="D5276" t="str">
            <v>25</v>
          </cell>
          <cell r="E5276" t="str">
            <v>330</v>
          </cell>
          <cell r="F5276" t="str">
            <v>6000.09</v>
          </cell>
          <cell r="G5276" t="str">
            <v>Professional Services Uniform</v>
          </cell>
          <cell r="H5276">
            <v>0</v>
          </cell>
          <cell r="I5276">
            <v>0</v>
          </cell>
          <cell r="J5276">
            <v>0</v>
          </cell>
          <cell r="K5276">
            <v>0</v>
          </cell>
          <cell r="L5276">
            <v>0</v>
          </cell>
          <cell r="M5276">
            <v>0</v>
          </cell>
          <cell r="N5276">
            <v>0</v>
          </cell>
          <cell r="O5276" t="str">
            <v>+++</v>
          </cell>
        </row>
        <row r="5277">
          <cell r="A5277" t="str">
            <v>420.20.25.330-6200.10</v>
          </cell>
          <cell r="B5277" t="str">
            <v>420</v>
          </cell>
          <cell r="C5277" t="str">
            <v>20</v>
          </cell>
          <cell r="D5277" t="str">
            <v>25</v>
          </cell>
          <cell r="E5277" t="str">
            <v>330</v>
          </cell>
          <cell r="F5277" t="str">
            <v>6200.10</v>
          </cell>
          <cell r="G5277" t="str">
            <v>Supplies Protective Clothing</v>
          </cell>
          <cell r="H5277">
            <v>0</v>
          </cell>
          <cell r="I5277">
            <v>0</v>
          </cell>
          <cell r="J5277">
            <v>0</v>
          </cell>
          <cell r="K5277">
            <v>0</v>
          </cell>
          <cell r="L5277">
            <v>0</v>
          </cell>
          <cell r="M5277">
            <v>0</v>
          </cell>
          <cell r="N5277">
            <v>0</v>
          </cell>
          <cell r="O5277" t="str">
            <v>+++</v>
          </cell>
        </row>
        <row r="5278">
          <cell r="A5278" t="str">
            <v>420.20.25.330-6600.07</v>
          </cell>
          <cell r="B5278" t="str">
            <v>420</v>
          </cell>
          <cell r="C5278" t="str">
            <v>20</v>
          </cell>
          <cell r="D5278" t="str">
            <v>25</v>
          </cell>
          <cell r="E5278" t="str">
            <v>330</v>
          </cell>
          <cell r="F5278" t="str">
            <v>6600.07</v>
          </cell>
          <cell r="G5278" t="str">
            <v>Administrative Expenses Employee Recruitment</v>
          </cell>
          <cell r="H5278">
            <v>0</v>
          </cell>
          <cell r="I5278">
            <v>0</v>
          </cell>
          <cell r="J5278">
            <v>0</v>
          </cell>
          <cell r="K5278">
            <v>0</v>
          </cell>
          <cell r="L5278">
            <v>0</v>
          </cell>
          <cell r="M5278">
            <v>0</v>
          </cell>
          <cell r="N5278">
            <v>0</v>
          </cell>
          <cell r="O5278" t="str">
            <v>+++</v>
          </cell>
        </row>
        <row r="5279">
          <cell r="A5279" t="str">
            <v>420.40.55.060-5000.01</v>
          </cell>
          <cell r="B5279" t="str">
            <v>420</v>
          </cell>
          <cell r="C5279" t="str">
            <v>40</v>
          </cell>
          <cell r="D5279" t="str">
            <v>55</v>
          </cell>
          <cell r="E5279" t="str">
            <v>060</v>
          </cell>
          <cell r="F5279" t="str">
            <v>5000.01</v>
          </cell>
          <cell r="G5279" t="str">
            <v>Salaries Regular</v>
          </cell>
          <cell r="H5279">
            <v>0</v>
          </cell>
          <cell r="I5279">
            <v>0</v>
          </cell>
          <cell r="J5279">
            <v>0</v>
          </cell>
          <cell r="K5279">
            <v>0</v>
          </cell>
          <cell r="L5279">
            <v>0</v>
          </cell>
          <cell r="M5279">
            <v>0</v>
          </cell>
          <cell r="N5279">
            <v>0</v>
          </cell>
          <cell r="O5279" t="str">
            <v>+++</v>
          </cell>
        </row>
        <row r="5280">
          <cell r="A5280" t="str">
            <v>420.40.55.060-5000.02</v>
          </cell>
          <cell r="B5280" t="str">
            <v>420</v>
          </cell>
          <cell r="C5280" t="str">
            <v>40</v>
          </cell>
          <cell r="D5280" t="str">
            <v>55</v>
          </cell>
          <cell r="E5280" t="str">
            <v>060</v>
          </cell>
          <cell r="F5280" t="str">
            <v>5000.02</v>
          </cell>
          <cell r="G5280" t="str">
            <v>Salaries Part Time</v>
          </cell>
          <cell r="H5280">
            <v>0</v>
          </cell>
          <cell r="I5280">
            <v>0</v>
          </cell>
          <cell r="J5280">
            <v>0</v>
          </cell>
          <cell r="K5280">
            <v>0</v>
          </cell>
          <cell r="L5280">
            <v>0</v>
          </cell>
          <cell r="M5280">
            <v>0</v>
          </cell>
          <cell r="N5280">
            <v>0</v>
          </cell>
          <cell r="O5280" t="str">
            <v>+++</v>
          </cell>
        </row>
        <row r="5281">
          <cell r="A5281" t="str">
            <v>420.40.55.060-5000.03</v>
          </cell>
          <cell r="B5281" t="str">
            <v>420</v>
          </cell>
          <cell r="C5281" t="str">
            <v>40</v>
          </cell>
          <cell r="D5281" t="str">
            <v>55</v>
          </cell>
          <cell r="E5281" t="str">
            <v>060</v>
          </cell>
          <cell r="F5281" t="str">
            <v>5000.03</v>
          </cell>
          <cell r="G5281" t="str">
            <v>Salaries Overtime</v>
          </cell>
          <cell r="H5281">
            <v>0</v>
          </cell>
          <cell r="I5281">
            <v>0</v>
          </cell>
          <cell r="J5281">
            <v>0</v>
          </cell>
          <cell r="K5281">
            <v>0</v>
          </cell>
          <cell r="L5281">
            <v>0</v>
          </cell>
          <cell r="M5281">
            <v>0</v>
          </cell>
          <cell r="N5281">
            <v>0</v>
          </cell>
          <cell r="O5281" t="str">
            <v>+++</v>
          </cell>
        </row>
        <row r="5282">
          <cell r="A5282" t="str">
            <v>420.40.55.060-5000.04</v>
          </cell>
          <cell r="B5282" t="str">
            <v>420</v>
          </cell>
          <cell r="C5282" t="str">
            <v>40</v>
          </cell>
          <cell r="D5282" t="str">
            <v>55</v>
          </cell>
          <cell r="E5282" t="str">
            <v>060</v>
          </cell>
          <cell r="F5282" t="str">
            <v>5000.04</v>
          </cell>
          <cell r="G5282" t="str">
            <v>Salaries Holiday Pay</v>
          </cell>
          <cell r="H5282">
            <v>0</v>
          </cell>
          <cell r="I5282">
            <v>0</v>
          </cell>
          <cell r="J5282">
            <v>0</v>
          </cell>
          <cell r="K5282">
            <v>0</v>
          </cell>
          <cell r="L5282">
            <v>0</v>
          </cell>
          <cell r="M5282">
            <v>0</v>
          </cell>
          <cell r="N5282">
            <v>0</v>
          </cell>
          <cell r="O5282" t="str">
            <v>+++</v>
          </cell>
        </row>
        <row r="5283">
          <cell r="A5283" t="str">
            <v>420.40.55.060-5000.06</v>
          </cell>
          <cell r="B5283" t="str">
            <v>420</v>
          </cell>
          <cell r="C5283" t="str">
            <v>40</v>
          </cell>
          <cell r="D5283" t="str">
            <v>55</v>
          </cell>
          <cell r="E5283" t="str">
            <v>060</v>
          </cell>
          <cell r="F5283" t="str">
            <v>5000.06</v>
          </cell>
          <cell r="G5283" t="str">
            <v>Salaries Out of Class</v>
          </cell>
          <cell r="H5283">
            <v>0</v>
          </cell>
          <cell r="I5283">
            <v>0</v>
          </cell>
          <cell r="J5283">
            <v>0</v>
          </cell>
          <cell r="K5283">
            <v>0</v>
          </cell>
          <cell r="L5283">
            <v>0</v>
          </cell>
          <cell r="M5283">
            <v>0</v>
          </cell>
          <cell r="N5283">
            <v>0</v>
          </cell>
          <cell r="O5283" t="str">
            <v>+++</v>
          </cell>
        </row>
        <row r="5284">
          <cell r="A5284" t="str">
            <v>420.40.55.060-5000.07</v>
          </cell>
          <cell r="B5284" t="str">
            <v>420</v>
          </cell>
          <cell r="C5284" t="str">
            <v>40</v>
          </cell>
          <cell r="D5284" t="str">
            <v>55</v>
          </cell>
          <cell r="E5284" t="str">
            <v>060</v>
          </cell>
          <cell r="F5284" t="str">
            <v>5000.07</v>
          </cell>
          <cell r="G5284" t="str">
            <v>Salaries Admin Leave Pay</v>
          </cell>
          <cell r="H5284">
            <v>0</v>
          </cell>
          <cell r="I5284">
            <v>0</v>
          </cell>
          <cell r="J5284">
            <v>0</v>
          </cell>
          <cell r="K5284">
            <v>0</v>
          </cell>
          <cell r="L5284">
            <v>0</v>
          </cell>
          <cell r="M5284">
            <v>0</v>
          </cell>
          <cell r="N5284">
            <v>0</v>
          </cell>
          <cell r="O5284" t="str">
            <v>+++</v>
          </cell>
        </row>
        <row r="5285">
          <cell r="A5285" t="str">
            <v>420.40.55.060-5000.08</v>
          </cell>
          <cell r="B5285" t="str">
            <v>420</v>
          </cell>
          <cell r="C5285" t="str">
            <v>40</v>
          </cell>
          <cell r="D5285" t="str">
            <v>55</v>
          </cell>
          <cell r="E5285" t="str">
            <v>060</v>
          </cell>
          <cell r="F5285" t="str">
            <v>5000.08</v>
          </cell>
          <cell r="G5285" t="str">
            <v>Salaries Longevity Pay</v>
          </cell>
          <cell r="H5285">
            <v>0</v>
          </cell>
          <cell r="I5285">
            <v>0</v>
          </cell>
          <cell r="J5285">
            <v>0</v>
          </cell>
          <cell r="K5285">
            <v>0</v>
          </cell>
          <cell r="L5285">
            <v>0</v>
          </cell>
          <cell r="M5285">
            <v>0</v>
          </cell>
          <cell r="N5285">
            <v>0</v>
          </cell>
          <cell r="O5285" t="str">
            <v>+++</v>
          </cell>
        </row>
        <row r="5286">
          <cell r="A5286" t="str">
            <v>420.40.55.060-5000.11</v>
          </cell>
          <cell r="B5286" t="str">
            <v>420</v>
          </cell>
          <cell r="C5286" t="str">
            <v>40</v>
          </cell>
          <cell r="D5286" t="str">
            <v>55</v>
          </cell>
          <cell r="E5286" t="str">
            <v>060</v>
          </cell>
          <cell r="F5286" t="str">
            <v>5000.11</v>
          </cell>
          <cell r="G5286" t="str">
            <v>Salaries Worker's Comp</v>
          </cell>
          <cell r="H5286">
            <v>0</v>
          </cell>
          <cell r="I5286">
            <v>0</v>
          </cell>
          <cell r="J5286">
            <v>0</v>
          </cell>
          <cell r="K5286">
            <v>0</v>
          </cell>
          <cell r="L5286">
            <v>0</v>
          </cell>
          <cell r="M5286">
            <v>0</v>
          </cell>
          <cell r="N5286">
            <v>0</v>
          </cell>
          <cell r="O5286" t="str">
            <v>+++</v>
          </cell>
        </row>
        <row r="5287">
          <cell r="A5287" t="str">
            <v>420.40.55.060-5000.99</v>
          </cell>
          <cell r="B5287" t="str">
            <v>420</v>
          </cell>
          <cell r="C5287" t="str">
            <v>40</v>
          </cell>
          <cell r="D5287" t="str">
            <v>55</v>
          </cell>
          <cell r="E5287" t="str">
            <v>060</v>
          </cell>
          <cell r="F5287" t="str">
            <v>5000.99</v>
          </cell>
          <cell r="G5287" t="str">
            <v>Salaries New Personnel Requests</v>
          </cell>
          <cell r="H5287">
            <v>0</v>
          </cell>
          <cell r="I5287">
            <v>0</v>
          </cell>
          <cell r="J5287">
            <v>0</v>
          </cell>
          <cell r="K5287">
            <v>0</v>
          </cell>
          <cell r="L5287">
            <v>0</v>
          </cell>
          <cell r="M5287">
            <v>0</v>
          </cell>
          <cell r="N5287">
            <v>0</v>
          </cell>
          <cell r="O5287" t="str">
            <v>+++</v>
          </cell>
        </row>
        <row r="5288">
          <cell r="A5288" t="str">
            <v>420.40.55.060-5100.00</v>
          </cell>
          <cell r="B5288" t="str">
            <v>420</v>
          </cell>
          <cell r="C5288" t="str">
            <v>40</v>
          </cell>
          <cell r="D5288" t="str">
            <v>55</v>
          </cell>
          <cell r="E5288" t="str">
            <v>060</v>
          </cell>
          <cell r="F5288" t="str">
            <v>5100.00</v>
          </cell>
          <cell r="G5288" t="str">
            <v>Benefits PERS Pool Liability</v>
          </cell>
          <cell r="H5288">
            <v>0</v>
          </cell>
          <cell r="I5288">
            <v>0</v>
          </cell>
          <cell r="J5288">
            <v>0</v>
          </cell>
          <cell r="K5288">
            <v>0</v>
          </cell>
          <cell r="L5288">
            <v>0</v>
          </cell>
          <cell r="M5288">
            <v>0</v>
          </cell>
          <cell r="N5288">
            <v>0</v>
          </cell>
          <cell r="O5288" t="str">
            <v>+++</v>
          </cell>
        </row>
        <row r="5289">
          <cell r="A5289" t="str">
            <v>420.40.55.060-5100.01</v>
          </cell>
          <cell r="B5289" t="str">
            <v>420</v>
          </cell>
          <cell r="C5289" t="str">
            <v>40</v>
          </cell>
          <cell r="D5289" t="str">
            <v>55</v>
          </cell>
          <cell r="E5289" t="str">
            <v>060</v>
          </cell>
          <cell r="F5289" t="str">
            <v>5100.01</v>
          </cell>
          <cell r="G5289" t="str">
            <v>Benefits Retirement</v>
          </cell>
          <cell r="H5289">
            <v>0</v>
          </cell>
          <cell r="I5289">
            <v>0</v>
          </cell>
          <cell r="J5289">
            <v>0</v>
          </cell>
          <cell r="K5289">
            <v>0</v>
          </cell>
          <cell r="L5289">
            <v>0</v>
          </cell>
          <cell r="M5289">
            <v>0</v>
          </cell>
          <cell r="N5289">
            <v>0</v>
          </cell>
          <cell r="O5289" t="str">
            <v>+++</v>
          </cell>
        </row>
        <row r="5290">
          <cell r="A5290" t="str">
            <v>420.40.55.060-5100.02</v>
          </cell>
          <cell r="B5290" t="str">
            <v>420</v>
          </cell>
          <cell r="C5290" t="str">
            <v>40</v>
          </cell>
          <cell r="D5290" t="str">
            <v>55</v>
          </cell>
          <cell r="E5290" t="str">
            <v>060</v>
          </cell>
          <cell r="F5290" t="str">
            <v>5100.02</v>
          </cell>
          <cell r="G5290" t="str">
            <v>Benefits Health Insurance</v>
          </cell>
          <cell r="H5290">
            <v>0</v>
          </cell>
          <cell r="I5290">
            <v>0</v>
          </cell>
          <cell r="J5290">
            <v>0</v>
          </cell>
          <cell r="K5290">
            <v>0</v>
          </cell>
          <cell r="L5290">
            <v>0</v>
          </cell>
          <cell r="M5290">
            <v>0</v>
          </cell>
          <cell r="N5290">
            <v>0</v>
          </cell>
          <cell r="O5290" t="str">
            <v>+++</v>
          </cell>
        </row>
        <row r="5291">
          <cell r="A5291" t="str">
            <v>420.40.55.060-5100.03</v>
          </cell>
          <cell r="B5291" t="str">
            <v>420</v>
          </cell>
          <cell r="C5291" t="str">
            <v>40</v>
          </cell>
          <cell r="D5291" t="str">
            <v>55</v>
          </cell>
          <cell r="E5291" t="str">
            <v>060</v>
          </cell>
          <cell r="F5291" t="str">
            <v>5100.03</v>
          </cell>
          <cell r="G5291" t="str">
            <v>Benefits Dental Insurance</v>
          </cell>
          <cell r="H5291">
            <v>0</v>
          </cell>
          <cell r="I5291">
            <v>0</v>
          </cell>
          <cell r="J5291">
            <v>0</v>
          </cell>
          <cell r="K5291">
            <v>0</v>
          </cell>
          <cell r="L5291">
            <v>0</v>
          </cell>
          <cell r="M5291">
            <v>0</v>
          </cell>
          <cell r="N5291">
            <v>0</v>
          </cell>
          <cell r="O5291" t="str">
            <v>+++</v>
          </cell>
        </row>
        <row r="5292">
          <cell r="A5292" t="str">
            <v>420.40.55.060-5100.04</v>
          </cell>
          <cell r="B5292" t="str">
            <v>420</v>
          </cell>
          <cell r="C5292" t="str">
            <v>40</v>
          </cell>
          <cell r="D5292" t="str">
            <v>55</v>
          </cell>
          <cell r="E5292" t="str">
            <v>060</v>
          </cell>
          <cell r="F5292" t="str">
            <v>5100.04</v>
          </cell>
          <cell r="G5292" t="str">
            <v>Benefits Vision Insurance</v>
          </cell>
          <cell r="H5292">
            <v>0</v>
          </cell>
          <cell r="I5292">
            <v>0</v>
          </cell>
          <cell r="J5292">
            <v>0</v>
          </cell>
          <cell r="K5292">
            <v>0</v>
          </cell>
          <cell r="L5292">
            <v>0</v>
          </cell>
          <cell r="M5292">
            <v>0</v>
          </cell>
          <cell r="N5292">
            <v>0</v>
          </cell>
          <cell r="O5292" t="str">
            <v>+++</v>
          </cell>
        </row>
        <row r="5293">
          <cell r="A5293" t="str">
            <v>420.40.55.060-5100.05</v>
          </cell>
          <cell r="B5293" t="str">
            <v>420</v>
          </cell>
          <cell r="C5293" t="str">
            <v>40</v>
          </cell>
          <cell r="D5293" t="str">
            <v>55</v>
          </cell>
          <cell r="E5293" t="str">
            <v>060</v>
          </cell>
          <cell r="F5293" t="str">
            <v>5100.05</v>
          </cell>
          <cell r="G5293" t="str">
            <v>Benefits Life Insurance</v>
          </cell>
          <cell r="H5293">
            <v>0</v>
          </cell>
          <cell r="I5293">
            <v>0</v>
          </cell>
          <cell r="J5293">
            <v>0</v>
          </cell>
          <cell r="K5293">
            <v>0</v>
          </cell>
          <cell r="L5293">
            <v>0</v>
          </cell>
          <cell r="M5293">
            <v>0</v>
          </cell>
          <cell r="N5293">
            <v>0</v>
          </cell>
          <cell r="O5293" t="str">
            <v>+++</v>
          </cell>
        </row>
        <row r="5294">
          <cell r="A5294" t="str">
            <v>420.40.55.060-5100.06</v>
          </cell>
          <cell r="B5294" t="str">
            <v>420</v>
          </cell>
          <cell r="C5294" t="str">
            <v>40</v>
          </cell>
          <cell r="D5294" t="str">
            <v>55</v>
          </cell>
          <cell r="E5294" t="str">
            <v>060</v>
          </cell>
          <cell r="F5294" t="str">
            <v>5100.06</v>
          </cell>
          <cell r="G5294" t="str">
            <v>Benefits Worker's Comp</v>
          </cell>
          <cell r="H5294">
            <v>0</v>
          </cell>
          <cell r="I5294">
            <v>0</v>
          </cell>
          <cell r="J5294">
            <v>0</v>
          </cell>
          <cell r="K5294">
            <v>0</v>
          </cell>
          <cell r="L5294">
            <v>0</v>
          </cell>
          <cell r="M5294">
            <v>0</v>
          </cell>
          <cell r="N5294">
            <v>0</v>
          </cell>
          <cell r="O5294" t="str">
            <v>+++</v>
          </cell>
        </row>
        <row r="5295">
          <cell r="A5295" t="str">
            <v>420.40.55.060-5100.07</v>
          </cell>
          <cell r="B5295" t="str">
            <v>420</v>
          </cell>
          <cell r="C5295" t="str">
            <v>40</v>
          </cell>
          <cell r="D5295" t="str">
            <v>55</v>
          </cell>
          <cell r="E5295" t="str">
            <v>060</v>
          </cell>
          <cell r="F5295" t="str">
            <v>5100.07</v>
          </cell>
          <cell r="G5295" t="str">
            <v>Benefits Long Term Disability</v>
          </cell>
          <cell r="H5295">
            <v>0</v>
          </cell>
          <cell r="I5295">
            <v>0</v>
          </cell>
          <cell r="J5295">
            <v>0</v>
          </cell>
          <cell r="K5295">
            <v>0</v>
          </cell>
          <cell r="L5295">
            <v>0</v>
          </cell>
          <cell r="M5295">
            <v>0</v>
          </cell>
          <cell r="N5295">
            <v>0</v>
          </cell>
          <cell r="O5295" t="str">
            <v>+++</v>
          </cell>
        </row>
        <row r="5296">
          <cell r="A5296" t="str">
            <v>420.40.55.060-5100.08</v>
          </cell>
          <cell r="B5296" t="str">
            <v>420</v>
          </cell>
          <cell r="C5296" t="str">
            <v>40</v>
          </cell>
          <cell r="D5296" t="str">
            <v>55</v>
          </cell>
          <cell r="E5296" t="str">
            <v>060</v>
          </cell>
          <cell r="F5296" t="str">
            <v>5100.08</v>
          </cell>
          <cell r="G5296" t="str">
            <v>Benefits Deferred Compensation</v>
          </cell>
          <cell r="H5296">
            <v>0</v>
          </cell>
          <cell r="I5296">
            <v>0</v>
          </cell>
          <cell r="J5296">
            <v>0</v>
          </cell>
          <cell r="K5296">
            <v>0</v>
          </cell>
          <cell r="L5296">
            <v>0</v>
          </cell>
          <cell r="M5296">
            <v>0</v>
          </cell>
          <cell r="N5296">
            <v>0</v>
          </cell>
          <cell r="O5296" t="str">
            <v>+++</v>
          </cell>
        </row>
        <row r="5297">
          <cell r="A5297" t="str">
            <v>420.40.55.060-5100.09</v>
          </cell>
          <cell r="B5297" t="str">
            <v>420</v>
          </cell>
          <cell r="C5297" t="str">
            <v>40</v>
          </cell>
          <cell r="D5297" t="str">
            <v>55</v>
          </cell>
          <cell r="E5297" t="str">
            <v>060</v>
          </cell>
          <cell r="F5297" t="str">
            <v>5100.09</v>
          </cell>
          <cell r="G5297" t="str">
            <v>Benefits Unemployment Insurance</v>
          </cell>
          <cell r="H5297">
            <v>0</v>
          </cell>
          <cell r="I5297">
            <v>0</v>
          </cell>
          <cell r="J5297">
            <v>0</v>
          </cell>
          <cell r="K5297">
            <v>0</v>
          </cell>
          <cell r="L5297">
            <v>0</v>
          </cell>
          <cell r="M5297">
            <v>0</v>
          </cell>
          <cell r="N5297">
            <v>0</v>
          </cell>
          <cell r="O5297" t="str">
            <v>+++</v>
          </cell>
        </row>
        <row r="5298">
          <cell r="A5298" t="str">
            <v>420.40.55.060-5100.10</v>
          </cell>
          <cell r="B5298" t="str">
            <v>420</v>
          </cell>
          <cell r="C5298" t="str">
            <v>40</v>
          </cell>
          <cell r="D5298" t="str">
            <v>55</v>
          </cell>
          <cell r="E5298" t="str">
            <v>060</v>
          </cell>
          <cell r="F5298" t="str">
            <v>5100.10</v>
          </cell>
          <cell r="G5298" t="str">
            <v>Benefits Uniform Allowance</v>
          </cell>
          <cell r="H5298">
            <v>0</v>
          </cell>
          <cell r="I5298">
            <v>0</v>
          </cell>
          <cell r="J5298">
            <v>0</v>
          </cell>
          <cell r="K5298">
            <v>0</v>
          </cell>
          <cell r="L5298">
            <v>0</v>
          </cell>
          <cell r="M5298">
            <v>0</v>
          </cell>
          <cell r="N5298">
            <v>0</v>
          </cell>
          <cell r="O5298" t="str">
            <v>+++</v>
          </cell>
        </row>
        <row r="5299">
          <cell r="A5299" t="str">
            <v>420.40.55.060-5100.11</v>
          </cell>
          <cell r="B5299" t="str">
            <v>420</v>
          </cell>
          <cell r="C5299" t="str">
            <v>40</v>
          </cell>
          <cell r="D5299" t="str">
            <v>55</v>
          </cell>
          <cell r="E5299" t="str">
            <v>060</v>
          </cell>
          <cell r="F5299" t="str">
            <v>5100.11</v>
          </cell>
          <cell r="G5299" t="str">
            <v>Benefits Medicare</v>
          </cell>
          <cell r="H5299">
            <v>0</v>
          </cell>
          <cell r="I5299">
            <v>0</v>
          </cell>
          <cell r="J5299">
            <v>0</v>
          </cell>
          <cell r="K5299">
            <v>0</v>
          </cell>
          <cell r="L5299">
            <v>0</v>
          </cell>
          <cell r="M5299">
            <v>0</v>
          </cell>
          <cell r="N5299">
            <v>0</v>
          </cell>
          <cell r="O5299" t="str">
            <v>+++</v>
          </cell>
        </row>
        <row r="5300">
          <cell r="A5300" t="str">
            <v>420.40.55.060-5100.12</v>
          </cell>
          <cell r="B5300" t="str">
            <v>420</v>
          </cell>
          <cell r="C5300" t="str">
            <v>40</v>
          </cell>
          <cell r="D5300" t="str">
            <v>55</v>
          </cell>
          <cell r="E5300" t="str">
            <v>060</v>
          </cell>
          <cell r="F5300" t="str">
            <v>5100.12</v>
          </cell>
          <cell r="G5300" t="str">
            <v>Benefits Annual Physical Exam</v>
          </cell>
          <cell r="H5300">
            <v>0</v>
          </cell>
          <cell r="I5300">
            <v>0</v>
          </cell>
          <cell r="J5300">
            <v>0</v>
          </cell>
          <cell r="K5300">
            <v>0</v>
          </cell>
          <cell r="L5300">
            <v>0</v>
          </cell>
          <cell r="M5300">
            <v>0</v>
          </cell>
          <cell r="N5300">
            <v>0</v>
          </cell>
          <cell r="O5300" t="str">
            <v>+++</v>
          </cell>
        </row>
        <row r="5301">
          <cell r="A5301" t="str">
            <v>420.40.55.060-5100.15</v>
          </cell>
          <cell r="B5301" t="str">
            <v>420</v>
          </cell>
          <cell r="C5301" t="str">
            <v>40</v>
          </cell>
          <cell r="D5301" t="str">
            <v>55</v>
          </cell>
          <cell r="E5301" t="str">
            <v>060</v>
          </cell>
          <cell r="F5301" t="str">
            <v>5100.15</v>
          </cell>
          <cell r="G5301" t="str">
            <v>Benefits Cell Phone Allowance</v>
          </cell>
          <cell r="H5301">
            <v>0</v>
          </cell>
          <cell r="I5301">
            <v>0</v>
          </cell>
          <cell r="J5301">
            <v>0</v>
          </cell>
          <cell r="K5301">
            <v>0</v>
          </cell>
          <cell r="L5301">
            <v>0</v>
          </cell>
          <cell r="M5301">
            <v>0</v>
          </cell>
          <cell r="N5301">
            <v>0</v>
          </cell>
          <cell r="O5301" t="str">
            <v>+++</v>
          </cell>
        </row>
        <row r="5302">
          <cell r="A5302" t="str">
            <v>420.40.55.060-5100.17</v>
          </cell>
          <cell r="B5302" t="str">
            <v>420</v>
          </cell>
          <cell r="C5302" t="str">
            <v>40</v>
          </cell>
          <cell r="D5302" t="str">
            <v>55</v>
          </cell>
          <cell r="E5302" t="str">
            <v>060</v>
          </cell>
          <cell r="F5302" t="str">
            <v>5100.17</v>
          </cell>
          <cell r="G5302" t="str">
            <v>Benefits Other Post Employment Benefits</v>
          </cell>
          <cell r="H5302">
            <v>0</v>
          </cell>
          <cell r="I5302">
            <v>0</v>
          </cell>
          <cell r="J5302">
            <v>0</v>
          </cell>
          <cell r="K5302">
            <v>0</v>
          </cell>
          <cell r="L5302">
            <v>0</v>
          </cell>
          <cell r="M5302">
            <v>0</v>
          </cell>
          <cell r="N5302">
            <v>0</v>
          </cell>
          <cell r="O5302" t="str">
            <v>+++</v>
          </cell>
        </row>
        <row r="5303">
          <cell r="A5303" t="str">
            <v>420.40.55.060-6000.01</v>
          </cell>
          <cell r="B5303" t="str">
            <v>420</v>
          </cell>
          <cell r="C5303" t="str">
            <v>40</v>
          </cell>
          <cell r="D5303" t="str">
            <v>55</v>
          </cell>
          <cell r="E5303" t="str">
            <v>060</v>
          </cell>
          <cell r="F5303" t="str">
            <v>6000.01</v>
          </cell>
          <cell r="G5303" t="str">
            <v>Professional Services General</v>
          </cell>
          <cell r="H5303">
            <v>0</v>
          </cell>
          <cell r="I5303">
            <v>0</v>
          </cell>
          <cell r="J5303">
            <v>0</v>
          </cell>
          <cell r="K5303">
            <v>0</v>
          </cell>
          <cell r="L5303">
            <v>0</v>
          </cell>
          <cell r="M5303">
            <v>0</v>
          </cell>
          <cell r="N5303">
            <v>0</v>
          </cell>
          <cell r="O5303" t="str">
            <v>+++</v>
          </cell>
        </row>
        <row r="5304">
          <cell r="A5304" t="str">
            <v>420.40.55.060-6000.07</v>
          </cell>
          <cell r="B5304" t="str">
            <v>420</v>
          </cell>
          <cell r="C5304" t="str">
            <v>40</v>
          </cell>
          <cell r="D5304" t="str">
            <v>55</v>
          </cell>
          <cell r="E5304" t="str">
            <v>060</v>
          </cell>
          <cell r="F5304" t="str">
            <v>6000.07</v>
          </cell>
          <cell r="G5304" t="str">
            <v>Professional Services Weed Abatement</v>
          </cell>
          <cell r="H5304">
            <v>0</v>
          </cell>
          <cell r="I5304">
            <v>0</v>
          </cell>
          <cell r="J5304">
            <v>0</v>
          </cell>
          <cell r="K5304">
            <v>0</v>
          </cell>
          <cell r="L5304">
            <v>0</v>
          </cell>
          <cell r="M5304">
            <v>0</v>
          </cell>
          <cell r="N5304">
            <v>0</v>
          </cell>
          <cell r="O5304" t="str">
            <v>+++</v>
          </cell>
        </row>
        <row r="5305">
          <cell r="A5305" t="str">
            <v>420.40.55.060-6000.09</v>
          </cell>
          <cell r="B5305" t="str">
            <v>420</v>
          </cell>
          <cell r="C5305" t="str">
            <v>40</v>
          </cell>
          <cell r="D5305" t="str">
            <v>55</v>
          </cell>
          <cell r="E5305" t="str">
            <v>060</v>
          </cell>
          <cell r="F5305" t="str">
            <v>6000.09</v>
          </cell>
          <cell r="G5305" t="str">
            <v>Professional Services Uniform</v>
          </cell>
          <cell r="H5305">
            <v>0</v>
          </cell>
          <cell r="I5305">
            <v>0</v>
          </cell>
          <cell r="J5305">
            <v>0</v>
          </cell>
          <cell r="K5305">
            <v>0</v>
          </cell>
          <cell r="L5305">
            <v>0</v>
          </cell>
          <cell r="M5305">
            <v>0</v>
          </cell>
          <cell r="N5305">
            <v>0</v>
          </cell>
          <cell r="O5305" t="str">
            <v>+++</v>
          </cell>
        </row>
        <row r="5306">
          <cell r="A5306" t="str">
            <v>420.40.55.060-6000.10</v>
          </cell>
          <cell r="B5306" t="str">
            <v>420</v>
          </cell>
          <cell r="C5306" t="str">
            <v>40</v>
          </cell>
          <cell r="D5306" t="str">
            <v>55</v>
          </cell>
          <cell r="E5306" t="str">
            <v>060</v>
          </cell>
          <cell r="F5306" t="str">
            <v>6000.10</v>
          </cell>
          <cell r="G5306" t="str">
            <v>Professional Services Consultant</v>
          </cell>
          <cell r="H5306">
            <v>0</v>
          </cell>
          <cell r="I5306">
            <v>0</v>
          </cell>
          <cell r="J5306">
            <v>0</v>
          </cell>
          <cell r="K5306">
            <v>0</v>
          </cell>
          <cell r="L5306">
            <v>0</v>
          </cell>
          <cell r="M5306">
            <v>0</v>
          </cell>
          <cell r="N5306">
            <v>0</v>
          </cell>
          <cell r="O5306" t="str">
            <v>+++</v>
          </cell>
        </row>
        <row r="5307">
          <cell r="A5307" t="str">
            <v>420.40.55.060-6000.12</v>
          </cell>
          <cell r="B5307" t="str">
            <v>420</v>
          </cell>
          <cell r="C5307" t="str">
            <v>40</v>
          </cell>
          <cell r="D5307" t="str">
            <v>55</v>
          </cell>
          <cell r="E5307" t="str">
            <v>060</v>
          </cell>
          <cell r="F5307" t="str">
            <v>6000.12</v>
          </cell>
          <cell r="G5307" t="str">
            <v>Professional Services Contract Services</v>
          </cell>
          <cell r="H5307">
            <v>0</v>
          </cell>
          <cell r="I5307">
            <v>0</v>
          </cell>
          <cell r="J5307">
            <v>0</v>
          </cell>
          <cell r="K5307">
            <v>0</v>
          </cell>
          <cell r="L5307">
            <v>0</v>
          </cell>
          <cell r="M5307">
            <v>0</v>
          </cell>
          <cell r="N5307">
            <v>0</v>
          </cell>
          <cell r="O5307" t="str">
            <v>+++</v>
          </cell>
        </row>
        <row r="5308">
          <cell r="A5308" t="str">
            <v>420.40.55.060-6000.13</v>
          </cell>
          <cell r="B5308" t="str">
            <v>420</v>
          </cell>
          <cell r="C5308" t="str">
            <v>40</v>
          </cell>
          <cell r="D5308" t="str">
            <v>55</v>
          </cell>
          <cell r="E5308" t="str">
            <v>060</v>
          </cell>
          <cell r="F5308" t="str">
            <v>6000.13</v>
          </cell>
          <cell r="G5308" t="str">
            <v>Professional Services Compliance Monitoring</v>
          </cell>
          <cell r="H5308">
            <v>0</v>
          </cell>
          <cell r="I5308">
            <v>0</v>
          </cell>
          <cell r="J5308">
            <v>0</v>
          </cell>
          <cell r="K5308">
            <v>0</v>
          </cell>
          <cell r="L5308">
            <v>0</v>
          </cell>
          <cell r="M5308">
            <v>0</v>
          </cell>
          <cell r="N5308">
            <v>0</v>
          </cell>
          <cell r="O5308" t="str">
            <v>+++</v>
          </cell>
        </row>
        <row r="5309">
          <cell r="A5309" t="str">
            <v>420.40.55.060-6000.14</v>
          </cell>
          <cell r="B5309" t="str">
            <v>420</v>
          </cell>
          <cell r="C5309" t="str">
            <v>40</v>
          </cell>
          <cell r="D5309" t="str">
            <v>55</v>
          </cell>
          <cell r="E5309" t="str">
            <v>060</v>
          </cell>
          <cell r="F5309" t="str">
            <v>6000.14</v>
          </cell>
          <cell r="G5309" t="str">
            <v>Professional Services IW Pre Analysis</v>
          </cell>
          <cell r="H5309">
            <v>0</v>
          </cell>
          <cell r="I5309">
            <v>0</v>
          </cell>
          <cell r="J5309">
            <v>0</v>
          </cell>
          <cell r="K5309">
            <v>0</v>
          </cell>
          <cell r="L5309">
            <v>0</v>
          </cell>
          <cell r="M5309">
            <v>0</v>
          </cell>
          <cell r="N5309">
            <v>0</v>
          </cell>
          <cell r="O5309" t="str">
            <v>+++</v>
          </cell>
        </row>
        <row r="5310">
          <cell r="A5310" t="str">
            <v>420.40.55.060-6000.18</v>
          </cell>
          <cell r="B5310" t="str">
            <v>420</v>
          </cell>
          <cell r="C5310" t="str">
            <v>40</v>
          </cell>
          <cell r="D5310" t="str">
            <v>55</v>
          </cell>
          <cell r="E5310" t="str">
            <v>060</v>
          </cell>
          <cell r="F5310" t="str">
            <v>6000.18</v>
          </cell>
          <cell r="G5310" t="str">
            <v>Professional Services Legal</v>
          </cell>
          <cell r="H5310">
            <v>0</v>
          </cell>
          <cell r="I5310">
            <v>0</v>
          </cell>
          <cell r="J5310">
            <v>0</v>
          </cell>
          <cell r="K5310">
            <v>0</v>
          </cell>
          <cell r="L5310">
            <v>0</v>
          </cell>
          <cell r="M5310">
            <v>0</v>
          </cell>
          <cell r="N5310">
            <v>0</v>
          </cell>
          <cell r="O5310" t="str">
            <v>+++</v>
          </cell>
        </row>
        <row r="5311">
          <cell r="A5311" t="str">
            <v>420.40.55.060-6100.01</v>
          </cell>
          <cell r="B5311" t="str">
            <v>420</v>
          </cell>
          <cell r="C5311" t="str">
            <v>40</v>
          </cell>
          <cell r="D5311" t="str">
            <v>55</v>
          </cell>
          <cell r="E5311" t="str">
            <v>060</v>
          </cell>
          <cell r="F5311" t="str">
            <v>6100.01</v>
          </cell>
          <cell r="G5311" t="str">
            <v>Utilities Electric</v>
          </cell>
          <cell r="H5311">
            <v>0</v>
          </cell>
          <cell r="I5311">
            <v>0</v>
          </cell>
          <cell r="J5311">
            <v>0</v>
          </cell>
          <cell r="K5311">
            <v>0</v>
          </cell>
          <cell r="L5311">
            <v>0</v>
          </cell>
          <cell r="M5311">
            <v>0</v>
          </cell>
          <cell r="N5311">
            <v>0</v>
          </cell>
          <cell r="O5311" t="str">
            <v>+++</v>
          </cell>
        </row>
        <row r="5312">
          <cell r="A5312" t="str">
            <v>420.40.55.060-6100.02</v>
          </cell>
          <cell r="B5312" t="str">
            <v>420</v>
          </cell>
          <cell r="C5312" t="str">
            <v>40</v>
          </cell>
          <cell r="D5312" t="str">
            <v>55</v>
          </cell>
          <cell r="E5312" t="str">
            <v>060</v>
          </cell>
          <cell r="F5312" t="str">
            <v>6100.02</v>
          </cell>
          <cell r="G5312" t="str">
            <v>Utilities Telephone</v>
          </cell>
          <cell r="H5312">
            <v>0</v>
          </cell>
          <cell r="I5312">
            <v>0</v>
          </cell>
          <cell r="J5312">
            <v>0</v>
          </cell>
          <cell r="K5312">
            <v>0</v>
          </cell>
          <cell r="L5312">
            <v>0</v>
          </cell>
          <cell r="M5312">
            <v>0</v>
          </cell>
          <cell r="N5312">
            <v>0</v>
          </cell>
          <cell r="O5312" t="str">
            <v>+++</v>
          </cell>
        </row>
        <row r="5313">
          <cell r="A5313" t="str">
            <v>420.40.55.060-6100.03</v>
          </cell>
          <cell r="B5313" t="str">
            <v>420</v>
          </cell>
          <cell r="C5313" t="str">
            <v>40</v>
          </cell>
          <cell r="D5313" t="str">
            <v>55</v>
          </cell>
          <cell r="E5313" t="str">
            <v>060</v>
          </cell>
          <cell r="F5313" t="str">
            <v>6100.03</v>
          </cell>
          <cell r="G5313" t="str">
            <v>Utilities Data Transmission / ISP</v>
          </cell>
          <cell r="H5313">
            <v>0</v>
          </cell>
          <cell r="I5313">
            <v>0</v>
          </cell>
          <cell r="J5313">
            <v>0</v>
          </cell>
          <cell r="K5313">
            <v>0</v>
          </cell>
          <cell r="L5313">
            <v>0</v>
          </cell>
          <cell r="M5313">
            <v>0</v>
          </cell>
          <cell r="N5313">
            <v>0</v>
          </cell>
          <cell r="O5313" t="str">
            <v>+++</v>
          </cell>
        </row>
        <row r="5314">
          <cell r="A5314" t="str">
            <v>420.40.55.060-6200.01</v>
          </cell>
          <cell r="B5314" t="str">
            <v>420</v>
          </cell>
          <cell r="C5314" t="str">
            <v>40</v>
          </cell>
          <cell r="D5314" t="str">
            <v>55</v>
          </cell>
          <cell r="E5314" t="str">
            <v>060</v>
          </cell>
          <cell r="F5314" t="str">
            <v>6200.01</v>
          </cell>
          <cell r="G5314" t="str">
            <v>Supplies Office</v>
          </cell>
          <cell r="H5314">
            <v>0</v>
          </cell>
          <cell r="I5314">
            <v>0</v>
          </cell>
          <cell r="J5314">
            <v>0</v>
          </cell>
          <cell r="K5314">
            <v>0</v>
          </cell>
          <cell r="L5314">
            <v>0</v>
          </cell>
          <cell r="M5314">
            <v>0</v>
          </cell>
          <cell r="N5314">
            <v>0</v>
          </cell>
          <cell r="O5314" t="str">
            <v>+++</v>
          </cell>
        </row>
        <row r="5315">
          <cell r="A5315" t="str">
            <v>420.40.55.060-6200.02</v>
          </cell>
          <cell r="B5315" t="str">
            <v>420</v>
          </cell>
          <cell r="C5315" t="str">
            <v>40</v>
          </cell>
          <cell r="D5315" t="str">
            <v>55</v>
          </cell>
          <cell r="E5315" t="str">
            <v>060</v>
          </cell>
          <cell r="F5315" t="str">
            <v>6200.02</v>
          </cell>
          <cell r="G5315" t="str">
            <v>Supplies Special Department</v>
          </cell>
          <cell r="H5315">
            <v>0</v>
          </cell>
          <cell r="I5315">
            <v>0</v>
          </cell>
          <cell r="J5315">
            <v>0</v>
          </cell>
          <cell r="K5315">
            <v>0</v>
          </cell>
          <cell r="L5315">
            <v>0</v>
          </cell>
          <cell r="M5315">
            <v>0</v>
          </cell>
          <cell r="N5315">
            <v>0</v>
          </cell>
          <cell r="O5315" t="str">
            <v>+++</v>
          </cell>
        </row>
        <row r="5316">
          <cell r="A5316" t="str">
            <v>420.40.55.060-6200.03</v>
          </cell>
          <cell r="B5316" t="str">
            <v>420</v>
          </cell>
          <cell r="C5316" t="str">
            <v>40</v>
          </cell>
          <cell r="D5316" t="str">
            <v>55</v>
          </cell>
          <cell r="E5316" t="str">
            <v>060</v>
          </cell>
          <cell r="F5316" t="str">
            <v>6200.03</v>
          </cell>
          <cell r="G5316" t="str">
            <v>Supplies Copier Maintenance &amp; Supplies</v>
          </cell>
          <cell r="H5316">
            <v>0</v>
          </cell>
          <cell r="I5316">
            <v>0</v>
          </cell>
          <cell r="J5316">
            <v>0</v>
          </cell>
          <cell r="K5316">
            <v>0</v>
          </cell>
          <cell r="L5316">
            <v>0</v>
          </cell>
          <cell r="M5316">
            <v>0</v>
          </cell>
          <cell r="N5316">
            <v>0</v>
          </cell>
          <cell r="O5316" t="str">
            <v>+++</v>
          </cell>
        </row>
        <row r="5317">
          <cell r="A5317" t="str">
            <v>420.40.55.060-6200.04</v>
          </cell>
          <cell r="B5317" t="str">
            <v>420</v>
          </cell>
          <cell r="C5317" t="str">
            <v>40</v>
          </cell>
          <cell r="D5317" t="str">
            <v>55</v>
          </cell>
          <cell r="E5317" t="str">
            <v>060</v>
          </cell>
          <cell r="F5317" t="str">
            <v>6200.04</v>
          </cell>
          <cell r="G5317" t="str">
            <v>Supplies Postage</v>
          </cell>
          <cell r="H5317">
            <v>0</v>
          </cell>
          <cell r="I5317">
            <v>0</v>
          </cell>
          <cell r="J5317">
            <v>0</v>
          </cell>
          <cell r="K5317">
            <v>0</v>
          </cell>
          <cell r="L5317">
            <v>0</v>
          </cell>
          <cell r="M5317">
            <v>0</v>
          </cell>
          <cell r="N5317">
            <v>0</v>
          </cell>
          <cell r="O5317" t="str">
            <v>+++</v>
          </cell>
        </row>
        <row r="5318">
          <cell r="A5318" t="str">
            <v>420.40.55.060-6200.05</v>
          </cell>
          <cell r="B5318" t="str">
            <v>420</v>
          </cell>
          <cell r="C5318" t="str">
            <v>40</v>
          </cell>
          <cell r="D5318" t="str">
            <v>55</v>
          </cell>
          <cell r="E5318" t="str">
            <v>060</v>
          </cell>
          <cell r="F5318" t="str">
            <v>6200.05</v>
          </cell>
          <cell r="G5318" t="str">
            <v>Supplies Gasoline</v>
          </cell>
          <cell r="H5318">
            <v>0</v>
          </cell>
          <cell r="I5318">
            <v>0</v>
          </cell>
          <cell r="J5318">
            <v>0</v>
          </cell>
          <cell r="K5318">
            <v>0</v>
          </cell>
          <cell r="L5318">
            <v>0</v>
          </cell>
          <cell r="M5318">
            <v>0</v>
          </cell>
          <cell r="N5318">
            <v>0</v>
          </cell>
          <cell r="O5318" t="str">
            <v>+++</v>
          </cell>
        </row>
        <row r="5319">
          <cell r="A5319" t="str">
            <v>420.40.55.060-6200.06</v>
          </cell>
          <cell r="B5319" t="str">
            <v>420</v>
          </cell>
          <cell r="C5319" t="str">
            <v>40</v>
          </cell>
          <cell r="D5319" t="str">
            <v>55</v>
          </cell>
          <cell r="E5319" t="str">
            <v>060</v>
          </cell>
          <cell r="F5319" t="str">
            <v>6200.06</v>
          </cell>
          <cell r="G5319" t="str">
            <v>Supplies Propane</v>
          </cell>
          <cell r="H5319">
            <v>0</v>
          </cell>
          <cell r="I5319">
            <v>0</v>
          </cell>
          <cell r="J5319">
            <v>0</v>
          </cell>
          <cell r="K5319">
            <v>0</v>
          </cell>
          <cell r="L5319">
            <v>0</v>
          </cell>
          <cell r="M5319">
            <v>0</v>
          </cell>
          <cell r="N5319">
            <v>0</v>
          </cell>
          <cell r="O5319" t="str">
            <v>+++</v>
          </cell>
        </row>
        <row r="5320">
          <cell r="A5320" t="str">
            <v>420.40.55.060-6200.07</v>
          </cell>
          <cell r="B5320" t="str">
            <v>420</v>
          </cell>
          <cell r="C5320" t="str">
            <v>40</v>
          </cell>
          <cell r="D5320" t="str">
            <v>55</v>
          </cell>
          <cell r="E5320" t="str">
            <v>060</v>
          </cell>
          <cell r="F5320" t="str">
            <v>6200.07</v>
          </cell>
          <cell r="G5320" t="str">
            <v>Supplies Radio Communication &amp; Maint</v>
          </cell>
          <cell r="H5320">
            <v>0</v>
          </cell>
          <cell r="I5320">
            <v>0</v>
          </cell>
          <cell r="J5320">
            <v>0</v>
          </cell>
          <cell r="K5320">
            <v>0</v>
          </cell>
          <cell r="L5320">
            <v>0</v>
          </cell>
          <cell r="M5320">
            <v>0</v>
          </cell>
          <cell r="N5320">
            <v>0</v>
          </cell>
          <cell r="O5320" t="str">
            <v>+++</v>
          </cell>
        </row>
        <row r="5321">
          <cell r="A5321" t="str">
            <v>420.40.55.060-6200.09</v>
          </cell>
          <cell r="B5321" t="str">
            <v>420</v>
          </cell>
          <cell r="C5321" t="str">
            <v>40</v>
          </cell>
          <cell r="D5321" t="str">
            <v>55</v>
          </cell>
          <cell r="E5321" t="str">
            <v>060</v>
          </cell>
          <cell r="F5321" t="str">
            <v>6200.09</v>
          </cell>
          <cell r="G5321" t="str">
            <v>Supplies Data Processing</v>
          </cell>
          <cell r="H5321">
            <v>0</v>
          </cell>
          <cell r="I5321">
            <v>0</v>
          </cell>
          <cell r="J5321">
            <v>0</v>
          </cell>
          <cell r="K5321">
            <v>0</v>
          </cell>
          <cell r="L5321">
            <v>0</v>
          </cell>
          <cell r="M5321">
            <v>0</v>
          </cell>
          <cell r="N5321">
            <v>0</v>
          </cell>
          <cell r="O5321" t="str">
            <v>+++</v>
          </cell>
        </row>
        <row r="5322">
          <cell r="A5322" t="str">
            <v>420.40.55.060-6200.10</v>
          </cell>
          <cell r="B5322" t="str">
            <v>420</v>
          </cell>
          <cell r="C5322" t="str">
            <v>40</v>
          </cell>
          <cell r="D5322" t="str">
            <v>55</v>
          </cell>
          <cell r="E5322" t="str">
            <v>060</v>
          </cell>
          <cell r="F5322" t="str">
            <v>6200.10</v>
          </cell>
          <cell r="G5322" t="str">
            <v>Supplies Protective Clothing</v>
          </cell>
          <cell r="H5322">
            <v>0</v>
          </cell>
          <cell r="I5322">
            <v>0</v>
          </cell>
          <cell r="J5322">
            <v>0</v>
          </cell>
          <cell r="K5322">
            <v>0</v>
          </cell>
          <cell r="L5322">
            <v>0</v>
          </cell>
          <cell r="M5322">
            <v>0</v>
          </cell>
          <cell r="N5322">
            <v>0</v>
          </cell>
          <cell r="O5322" t="str">
            <v>+++</v>
          </cell>
        </row>
        <row r="5323">
          <cell r="A5323" t="str">
            <v>420.40.55.060-6200.12</v>
          </cell>
          <cell r="B5323" t="str">
            <v>420</v>
          </cell>
          <cell r="C5323" t="str">
            <v>40</v>
          </cell>
          <cell r="D5323" t="str">
            <v>55</v>
          </cell>
          <cell r="E5323" t="str">
            <v>060</v>
          </cell>
          <cell r="F5323" t="str">
            <v>6200.12</v>
          </cell>
          <cell r="G5323" t="str">
            <v>Supplies CNG</v>
          </cell>
          <cell r="H5323">
            <v>0</v>
          </cell>
          <cell r="I5323">
            <v>0</v>
          </cell>
          <cell r="J5323">
            <v>0</v>
          </cell>
          <cell r="K5323">
            <v>0</v>
          </cell>
          <cell r="L5323">
            <v>0</v>
          </cell>
          <cell r="M5323">
            <v>0</v>
          </cell>
          <cell r="N5323">
            <v>0</v>
          </cell>
          <cell r="O5323" t="str">
            <v>+++</v>
          </cell>
        </row>
        <row r="5324">
          <cell r="A5324" t="str">
            <v>420.40.55.060-6280.03</v>
          </cell>
          <cell r="B5324" t="str">
            <v>420</v>
          </cell>
          <cell r="C5324" t="str">
            <v>40</v>
          </cell>
          <cell r="D5324" t="str">
            <v>55</v>
          </cell>
          <cell r="E5324" t="str">
            <v>060</v>
          </cell>
          <cell r="F5324" t="str">
            <v>6280.03</v>
          </cell>
          <cell r="G5324" t="str">
            <v>Supplies-Public Works Soundwall Repair</v>
          </cell>
          <cell r="H5324">
            <v>0</v>
          </cell>
          <cell r="I5324">
            <v>0</v>
          </cell>
          <cell r="J5324">
            <v>0</v>
          </cell>
          <cell r="K5324">
            <v>0</v>
          </cell>
          <cell r="L5324">
            <v>0</v>
          </cell>
          <cell r="M5324">
            <v>0</v>
          </cell>
          <cell r="N5324">
            <v>0</v>
          </cell>
          <cell r="O5324" t="str">
            <v>+++</v>
          </cell>
        </row>
        <row r="5325">
          <cell r="A5325" t="str">
            <v>420.40.55.060-6280.04</v>
          </cell>
          <cell r="B5325" t="str">
            <v>420</v>
          </cell>
          <cell r="C5325" t="str">
            <v>40</v>
          </cell>
          <cell r="D5325" t="str">
            <v>55</v>
          </cell>
          <cell r="E5325" t="str">
            <v>060</v>
          </cell>
          <cell r="F5325" t="str">
            <v>6280.04</v>
          </cell>
          <cell r="G5325" t="str">
            <v>Supplies-Public Works Sidewalk Repair</v>
          </cell>
          <cell r="H5325">
            <v>0</v>
          </cell>
          <cell r="I5325">
            <v>0</v>
          </cell>
          <cell r="J5325">
            <v>0</v>
          </cell>
          <cell r="K5325">
            <v>0</v>
          </cell>
          <cell r="L5325">
            <v>0</v>
          </cell>
          <cell r="M5325">
            <v>0</v>
          </cell>
          <cell r="N5325">
            <v>0</v>
          </cell>
          <cell r="O5325" t="str">
            <v>+++</v>
          </cell>
        </row>
        <row r="5326">
          <cell r="A5326" t="str">
            <v>420.40.55.060-6280.05</v>
          </cell>
          <cell r="B5326" t="str">
            <v>420</v>
          </cell>
          <cell r="C5326" t="str">
            <v>40</v>
          </cell>
          <cell r="D5326" t="str">
            <v>55</v>
          </cell>
          <cell r="E5326" t="str">
            <v>060</v>
          </cell>
          <cell r="F5326" t="str">
            <v>6280.05</v>
          </cell>
          <cell r="G5326" t="str">
            <v>Supplies-Public Works Traffic Signs</v>
          </cell>
          <cell r="H5326">
            <v>0</v>
          </cell>
          <cell r="I5326">
            <v>0</v>
          </cell>
          <cell r="J5326">
            <v>0</v>
          </cell>
          <cell r="K5326">
            <v>0</v>
          </cell>
          <cell r="L5326">
            <v>0</v>
          </cell>
          <cell r="M5326">
            <v>0</v>
          </cell>
          <cell r="N5326">
            <v>0</v>
          </cell>
          <cell r="O5326" t="str">
            <v>+++</v>
          </cell>
        </row>
        <row r="5327">
          <cell r="A5327" t="str">
            <v>420.40.55.060-6280.08</v>
          </cell>
          <cell r="B5327" t="str">
            <v>420</v>
          </cell>
          <cell r="C5327" t="str">
            <v>40</v>
          </cell>
          <cell r="D5327" t="str">
            <v>55</v>
          </cell>
          <cell r="E5327" t="str">
            <v>060</v>
          </cell>
          <cell r="F5327" t="str">
            <v>6280.08</v>
          </cell>
          <cell r="G5327" t="str">
            <v>Supplies-Public Works Pump</v>
          </cell>
          <cell r="H5327">
            <v>0</v>
          </cell>
          <cell r="I5327">
            <v>0</v>
          </cell>
          <cell r="J5327">
            <v>0</v>
          </cell>
          <cell r="K5327">
            <v>0</v>
          </cell>
          <cell r="L5327">
            <v>0</v>
          </cell>
          <cell r="M5327">
            <v>0</v>
          </cell>
          <cell r="N5327">
            <v>0</v>
          </cell>
          <cell r="O5327" t="str">
            <v>+++</v>
          </cell>
        </row>
        <row r="5328">
          <cell r="A5328" t="str">
            <v>420.40.55.060-6280.09</v>
          </cell>
          <cell r="B5328" t="str">
            <v>420</v>
          </cell>
          <cell r="C5328" t="str">
            <v>40</v>
          </cell>
          <cell r="D5328" t="str">
            <v>55</v>
          </cell>
          <cell r="E5328" t="str">
            <v>060</v>
          </cell>
          <cell r="F5328" t="str">
            <v>6280.09</v>
          </cell>
          <cell r="G5328" t="str">
            <v>Supplies-Public Works Storm Drain System</v>
          </cell>
          <cell r="H5328">
            <v>0</v>
          </cell>
          <cell r="I5328">
            <v>0</v>
          </cell>
          <cell r="J5328">
            <v>0</v>
          </cell>
          <cell r="K5328">
            <v>0</v>
          </cell>
          <cell r="L5328">
            <v>0</v>
          </cell>
          <cell r="M5328">
            <v>0</v>
          </cell>
          <cell r="N5328">
            <v>0</v>
          </cell>
          <cell r="O5328" t="str">
            <v>+++</v>
          </cell>
        </row>
        <row r="5329">
          <cell r="A5329" t="str">
            <v>420.40.55.060-6280.10</v>
          </cell>
          <cell r="B5329" t="str">
            <v>420</v>
          </cell>
          <cell r="C5329" t="str">
            <v>40</v>
          </cell>
          <cell r="D5329" t="str">
            <v>55</v>
          </cell>
          <cell r="E5329" t="str">
            <v>060</v>
          </cell>
          <cell r="F5329" t="str">
            <v>6280.10</v>
          </cell>
          <cell r="G5329" t="str">
            <v>Supplies-Public Works Storm Drain Basin</v>
          </cell>
          <cell r="H5329">
            <v>0</v>
          </cell>
          <cell r="I5329">
            <v>0</v>
          </cell>
          <cell r="J5329">
            <v>0</v>
          </cell>
          <cell r="K5329">
            <v>0</v>
          </cell>
          <cell r="L5329">
            <v>0</v>
          </cell>
          <cell r="M5329">
            <v>0</v>
          </cell>
          <cell r="N5329">
            <v>0</v>
          </cell>
          <cell r="O5329" t="str">
            <v>+++</v>
          </cell>
        </row>
        <row r="5330">
          <cell r="A5330" t="str">
            <v>420.40.55.060-6280.11</v>
          </cell>
          <cell r="B5330" t="str">
            <v>420</v>
          </cell>
          <cell r="C5330" t="str">
            <v>40</v>
          </cell>
          <cell r="D5330" t="str">
            <v>55</v>
          </cell>
          <cell r="E5330" t="str">
            <v>060</v>
          </cell>
          <cell r="F5330" t="str">
            <v>6280.11</v>
          </cell>
          <cell r="G5330" t="str">
            <v>Supplies-Public Works Custodial</v>
          </cell>
          <cell r="H5330">
            <v>0</v>
          </cell>
          <cell r="I5330">
            <v>0</v>
          </cell>
          <cell r="J5330">
            <v>0</v>
          </cell>
          <cell r="K5330">
            <v>0</v>
          </cell>
          <cell r="L5330">
            <v>0</v>
          </cell>
          <cell r="M5330">
            <v>0</v>
          </cell>
          <cell r="N5330">
            <v>0</v>
          </cell>
          <cell r="O5330" t="str">
            <v>+++</v>
          </cell>
        </row>
        <row r="5331">
          <cell r="A5331" t="str">
            <v>420.40.55.060-6280.12</v>
          </cell>
          <cell r="B5331" t="str">
            <v>420</v>
          </cell>
          <cell r="C5331" t="str">
            <v>40</v>
          </cell>
          <cell r="D5331" t="str">
            <v>55</v>
          </cell>
          <cell r="E5331" t="str">
            <v>060</v>
          </cell>
          <cell r="F5331" t="str">
            <v>6280.12</v>
          </cell>
          <cell r="G5331" t="str">
            <v>Supplies-Public Works Chemicals</v>
          </cell>
          <cell r="H5331">
            <v>0</v>
          </cell>
          <cell r="I5331">
            <v>0</v>
          </cell>
          <cell r="J5331">
            <v>0</v>
          </cell>
          <cell r="K5331">
            <v>0</v>
          </cell>
          <cell r="L5331">
            <v>0</v>
          </cell>
          <cell r="M5331">
            <v>0</v>
          </cell>
          <cell r="N5331">
            <v>0</v>
          </cell>
          <cell r="O5331" t="str">
            <v>+++</v>
          </cell>
        </row>
        <row r="5332">
          <cell r="A5332" t="str">
            <v>420.40.55.060-6280.13</v>
          </cell>
          <cell r="B5332" t="str">
            <v>420</v>
          </cell>
          <cell r="C5332" t="str">
            <v>40</v>
          </cell>
          <cell r="D5332" t="str">
            <v>55</v>
          </cell>
          <cell r="E5332" t="str">
            <v>060</v>
          </cell>
          <cell r="F5332" t="str">
            <v>6280.13</v>
          </cell>
          <cell r="G5332" t="str">
            <v>Supplies-Public Works Laboratory</v>
          </cell>
          <cell r="H5332">
            <v>0</v>
          </cell>
          <cell r="I5332">
            <v>0</v>
          </cell>
          <cell r="J5332">
            <v>0</v>
          </cell>
          <cell r="K5332">
            <v>0</v>
          </cell>
          <cell r="L5332">
            <v>0</v>
          </cell>
          <cell r="M5332">
            <v>0</v>
          </cell>
          <cell r="N5332">
            <v>0</v>
          </cell>
          <cell r="O5332" t="str">
            <v>+++</v>
          </cell>
        </row>
        <row r="5333">
          <cell r="A5333" t="str">
            <v>420.40.55.060-6280.14</v>
          </cell>
          <cell r="B5333" t="str">
            <v>420</v>
          </cell>
          <cell r="C5333" t="str">
            <v>40</v>
          </cell>
          <cell r="D5333" t="str">
            <v>55</v>
          </cell>
          <cell r="E5333" t="str">
            <v>060</v>
          </cell>
          <cell r="F5333" t="str">
            <v>6280.14</v>
          </cell>
          <cell r="G5333" t="str">
            <v>Supplies-Public Works Protective Clothing</v>
          </cell>
          <cell r="H5333">
            <v>0</v>
          </cell>
          <cell r="I5333">
            <v>0</v>
          </cell>
          <cell r="J5333">
            <v>0</v>
          </cell>
          <cell r="K5333">
            <v>0</v>
          </cell>
          <cell r="L5333">
            <v>0</v>
          </cell>
          <cell r="M5333">
            <v>0</v>
          </cell>
          <cell r="N5333">
            <v>0</v>
          </cell>
          <cell r="O5333" t="str">
            <v>+++</v>
          </cell>
        </row>
        <row r="5334">
          <cell r="A5334" t="str">
            <v>420.40.55.060-6280.15</v>
          </cell>
          <cell r="B5334" t="str">
            <v>420</v>
          </cell>
          <cell r="C5334" t="str">
            <v>40</v>
          </cell>
          <cell r="D5334" t="str">
            <v>55</v>
          </cell>
          <cell r="E5334" t="str">
            <v>060</v>
          </cell>
          <cell r="F5334" t="str">
            <v>6280.15</v>
          </cell>
          <cell r="G5334" t="str">
            <v>Supplies-Public Works Mechanics Tools</v>
          </cell>
          <cell r="H5334">
            <v>0</v>
          </cell>
          <cell r="I5334">
            <v>0</v>
          </cell>
          <cell r="J5334">
            <v>0</v>
          </cell>
          <cell r="K5334">
            <v>0</v>
          </cell>
          <cell r="L5334">
            <v>0</v>
          </cell>
          <cell r="M5334">
            <v>0</v>
          </cell>
          <cell r="N5334">
            <v>0</v>
          </cell>
          <cell r="O5334" t="str">
            <v>+++</v>
          </cell>
        </row>
        <row r="5335">
          <cell r="A5335" t="str">
            <v>420.40.55.060-6280.16</v>
          </cell>
          <cell r="B5335" t="str">
            <v>420</v>
          </cell>
          <cell r="C5335" t="str">
            <v>40</v>
          </cell>
          <cell r="D5335" t="str">
            <v>55</v>
          </cell>
          <cell r="E5335" t="str">
            <v>060</v>
          </cell>
          <cell r="F5335" t="str">
            <v>6280.16</v>
          </cell>
          <cell r="G5335" t="str">
            <v>Supplies-Public Works UV System Supplies</v>
          </cell>
          <cell r="H5335">
            <v>0</v>
          </cell>
          <cell r="I5335">
            <v>0</v>
          </cell>
          <cell r="J5335">
            <v>0</v>
          </cell>
          <cell r="K5335">
            <v>0</v>
          </cell>
          <cell r="L5335">
            <v>0</v>
          </cell>
          <cell r="M5335">
            <v>0</v>
          </cell>
          <cell r="N5335">
            <v>0</v>
          </cell>
          <cell r="O5335" t="str">
            <v>+++</v>
          </cell>
        </row>
        <row r="5336">
          <cell r="A5336" t="str">
            <v>420.40.55.060-6280.19</v>
          </cell>
          <cell r="B5336" t="str">
            <v>420</v>
          </cell>
          <cell r="C5336" t="str">
            <v>40</v>
          </cell>
          <cell r="D5336" t="str">
            <v>55</v>
          </cell>
          <cell r="E5336" t="str">
            <v>060</v>
          </cell>
          <cell r="F5336" t="str">
            <v>6280.19</v>
          </cell>
          <cell r="G5336" t="str">
            <v>Supplies-Public Works Specialty Maintenance Tools</v>
          </cell>
          <cell r="H5336">
            <v>0</v>
          </cell>
          <cell r="I5336">
            <v>0</v>
          </cell>
          <cell r="J5336">
            <v>0</v>
          </cell>
          <cell r="K5336">
            <v>0</v>
          </cell>
          <cell r="L5336">
            <v>0</v>
          </cell>
          <cell r="M5336">
            <v>0</v>
          </cell>
          <cell r="N5336">
            <v>0</v>
          </cell>
          <cell r="O5336" t="str">
            <v>+++</v>
          </cell>
        </row>
        <row r="5337">
          <cell r="A5337" t="str">
            <v>420.40.55.060-6280.20</v>
          </cell>
          <cell r="B5337" t="str">
            <v>420</v>
          </cell>
          <cell r="C5337" t="str">
            <v>40</v>
          </cell>
          <cell r="D5337" t="str">
            <v>55</v>
          </cell>
          <cell r="E5337" t="str">
            <v>060</v>
          </cell>
          <cell r="F5337" t="str">
            <v>6280.20</v>
          </cell>
          <cell r="G5337" t="str">
            <v>Supplies-Public Works Bin Repair</v>
          </cell>
          <cell r="H5337">
            <v>0</v>
          </cell>
          <cell r="I5337">
            <v>0</v>
          </cell>
          <cell r="J5337">
            <v>0</v>
          </cell>
          <cell r="K5337">
            <v>0</v>
          </cell>
          <cell r="L5337">
            <v>0</v>
          </cell>
          <cell r="M5337">
            <v>0</v>
          </cell>
          <cell r="N5337">
            <v>0</v>
          </cell>
          <cell r="O5337" t="str">
            <v>+++</v>
          </cell>
        </row>
        <row r="5338">
          <cell r="A5338" t="str">
            <v>420.40.55.060-6280.21</v>
          </cell>
          <cell r="B5338" t="str">
            <v>420</v>
          </cell>
          <cell r="C5338" t="str">
            <v>40</v>
          </cell>
          <cell r="D5338" t="str">
            <v>55</v>
          </cell>
          <cell r="E5338" t="str">
            <v>060</v>
          </cell>
          <cell r="F5338" t="str">
            <v>6280.21</v>
          </cell>
          <cell r="G5338" t="str">
            <v>Supplies-Public Works Used Oil Grant</v>
          </cell>
          <cell r="H5338">
            <v>0</v>
          </cell>
          <cell r="I5338">
            <v>0</v>
          </cell>
          <cell r="J5338">
            <v>0</v>
          </cell>
          <cell r="K5338">
            <v>0</v>
          </cell>
          <cell r="L5338">
            <v>0</v>
          </cell>
          <cell r="M5338">
            <v>0</v>
          </cell>
          <cell r="N5338">
            <v>0</v>
          </cell>
          <cell r="O5338" t="str">
            <v>+++</v>
          </cell>
        </row>
        <row r="5339">
          <cell r="A5339" t="str">
            <v>420.40.55.060-6280.22</v>
          </cell>
          <cell r="B5339" t="str">
            <v>420</v>
          </cell>
          <cell r="C5339" t="str">
            <v>40</v>
          </cell>
          <cell r="D5339" t="str">
            <v>55</v>
          </cell>
          <cell r="E5339" t="str">
            <v>060</v>
          </cell>
          <cell r="F5339" t="str">
            <v>6280.22</v>
          </cell>
          <cell r="G5339" t="str">
            <v>Supplies-Public Works Recycled Products</v>
          </cell>
          <cell r="H5339">
            <v>0</v>
          </cell>
          <cell r="I5339">
            <v>0</v>
          </cell>
          <cell r="J5339">
            <v>0</v>
          </cell>
          <cell r="K5339">
            <v>0</v>
          </cell>
          <cell r="L5339">
            <v>0</v>
          </cell>
          <cell r="M5339">
            <v>0</v>
          </cell>
          <cell r="N5339">
            <v>0</v>
          </cell>
          <cell r="O5339" t="str">
            <v>+++</v>
          </cell>
        </row>
        <row r="5340">
          <cell r="A5340" t="str">
            <v>420.40.55.060-6280.23</v>
          </cell>
          <cell r="B5340" t="str">
            <v>420</v>
          </cell>
          <cell r="C5340" t="str">
            <v>40</v>
          </cell>
          <cell r="D5340" t="str">
            <v>55</v>
          </cell>
          <cell r="E5340" t="str">
            <v>060</v>
          </cell>
          <cell r="F5340" t="str">
            <v>6280.23</v>
          </cell>
          <cell r="G5340" t="str">
            <v>Supplies-Public Works Recycling Education Program</v>
          </cell>
          <cell r="H5340">
            <v>0</v>
          </cell>
          <cell r="I5340">
            <v>0</v>
          </cell>
          <cell r="J5340">
            <v>0</v>
          </cell>
          <cell r="K5340">
            <v>0</v>
          </cell>
          <cell r="L5340">
            <v>0</v>
          </cell>
          <cell r="M5340">
            <v>0</v>
          </cell>
          <cell r="N5340">
            <v>0</v>
          </cell>
          <cell r="O5340" t="str">
            <v>+++</v>
          </cell>
        </row>
        <row r="5341">
          <cell r="A5341" t="str">
            <v>420.40.55.060-6280.25</v>
          </cell>
          <cell r="B5341" t="str">
            <v>420</v>
          </cell>
          <cell r="C5341" t="str">
            <v>40</v>
          </cell>
          <cell r="D5341" t="str">
            <v>55</v>
          </cell>
          <cell r="E5341" t="str">
            <v>060</v>
          </cell>
          <cell r="F5341" t="str">
            <v>6280.25</v>
          </cell>
          <cell r="G5341" t="str">
            <v>Supplies-Public Works Collection Containers</v>
          </cell>
          <cell r="H5341">
            <v>0</v>
          </cell>
          <cell r="I5341">
            <v>0</v>
          </cell>
          <cell r="J5341">
            <v>0</v>
          </cell>
          <cell r="K5341">
            <v>0</v>
          </cell>
          <cell r="L5341">
            <v>0</v>
          </cell>
          <cell r="M5341">
            <v>0</v>
          </cell>
          <cell r="N5341">
            <v>0</v>
          </cell>
          <cell r="O5341" t="str">
            <v>+++</v>
          </cell>
        </row>
        <row r="5342">
          <cell r="A5342" t="str">
            <v>420.40.55.060-6280.26</v>
          </cell>
          <cell r="B5342" t="str">
            <v>420</v>
          </cell>
          <cell r="C5342" t="str">
            <v>40</v>
          </cell>
          <cell r="D5342" t="str">
            <v>55</v>
          </cell>
          <cell r="E5342" t="str">
            <v>060</v>
          </cell>
          <cell r="F5342" t="str">
            <v>6280.26</v>
          </cell>
          <cell r="G5342" t="str">
            <v>Supplies-Public Works 3 Cart System Containers</v>
          </cell>
          <cell r="H5342">
            <v>0</v>
          </cell>
          <cell r="I5342">
            <v>0</v>
          </cell>
          <cell r="J5342">
            <v>0</v>
          </cell>
          <cell r="K5342">
            <v>0</v>
          </cell>
          <cell r="L5342">
            <v>0</v>
          </cell>
          <cell r="M5342">
            <v>0</v>
          </cell>
          <cell r="N5342">
            <v>0</v>
          </cell>
          <cell r="O5342" t="str">
            <v>+++</v>
          </cell>
        </row>
        <row r="5343">
          <cell r="A5343" t="str">
            <v>420.40.55.060-6280.27</v>
          </cell>
          <cell r="B5343" t="str">
            <v>420</v>
          </cell>
          <cell r="C5343" t="str">
            <v>40</v>
          </cell>
          <cell r="D5343" t="str">
            <v>55</v>
          </cell>
          <cell r="E5343" t="str">
            <v>060</v>
          </cell>
          <cell r="F5343" t="str">
            <v>6280.27</v>
          </cell>
          <cell r="G5343" t="str">
            <v>Supplies-Public Works SSJID Surface Water</v>
          </cell>
          <cell r="H5343">
            <v>0</v>
          </cell>
          <cell r="I5343">
            <v>0</v>
          </cell>
          <cell r="J5343">
            <v>0</v>
          </cell>
          <cell r="K5343">
            <v>0</v>
          </cell>
          <cell r="L5343">
            <v>0</v>
          </cell>
          <cell r="M5343">
            <v>0</v>
          </cell>
          <cell r="N5343">
            <v>0</v>
          </cell>
          <cell r="O5343" t="str">
            <v>+++</v>
          </cell>
        </row>
        <row r="5344">
          <cell r="A5344" t="str">
            <v>420.40.55.060-6280.28</v>
          </cell>
          <cell r="B5344" t="str">
            <v>420</v>
          </cell>
          <cell r="C5344" t="str">
            <v>40</v>
          </cell>
          <cell r="D5344" t="str">
            <v>55</v>
          </cell>
          <cell r="E5344" t="str">
            <v>060</v>
          </cell>
          <cell r="F5344" t="str">
            <v>6280.28</v>
          </cell>
          <cell r="G5344" t="str">
            <v>Supplies-Public Works Water Treatment Chemicals</v>
          </cell>
          <cell r="H5344">
            <v>0</v>
          </cell>
          <cell r="I5344">
            <v>0</v>
          </cell>
          <cell r="J5344">
            <v>0</v>
          </cell>
          <cell r="K5344">
            <v>0</v>
          </cell>
          <cell r="L5344">
            <v>0</v>
          </cell>
          <cell r="M5344">
            <v>0</v>
          </cell>
          <cell r="N5344">
            <v>0</v>
          </cell>
          <cell r="O5344" t="str">
            <v>+++</v>
          </cell>
        </row>
        <row r="5345">
          <cell r="A5345" t="str">
            <v>420.40.55.060-6280.29</v>
          </cell>
          <cell r="B5345" t="str">
            <v>420</v>
          </cell>
          <cell r="C5345" t="str">
            <v>40</v>
          </cell>
          <cell r="D5345" t="str">
            <v>55</v>
          </cell>
          <cell r="E5345" t="str">
            <v>060</v>
          </cell>
          <cell r="F5345" t="str">
            <v>6280.29</v>
          </cell>
          <cell r="G5345" t="str">
            <v>Supplies-Public Works Water Treatment</v>
          </cell>
          <cell r="H5345">
            <v>0</v>
          </cell>
          <cell r="I5345">
            <v>0</v>
          </cell>
          <cell r="J5345">
            <v>0</v>
          </cell>
          <cell r="K5345">
            <v>0</v>
          </cell>
          <cell r="L5345">
            <v>0</v>
          </cell>
          <cell r="M5345">
            <v>0</v>
          </cell>
          <cell r="N5345">
            <v>0</v>
          </cell>
          <cell r="O5345" t="str">
            <v>+++</v>
          </cell>
        </row>
        <row r="5346">
          <cell r="A5346" t="str">
            <v>420.40.55.060-6280.30</v>
          </cell>
          <cell r="B5346" t="str">
            <v>420</v>
          </cell>
          <cell r="C5346" t="str">
            <v>40</v>
          </cell>
          <cell r="D5346" t="str">
            <v>55</v>
          </cell>
          <cell r="E5346" t="str">
            <v>060</v>
          </cell>
          <cell r="F5346" t="str">
            <v>6280.30</v>
          </cell>
          <cell r="G5346" t="str">
            <v>Supplies-Public Works Automated &amp; Hand Tools</v>
          </cell>
          <cell r="H5346">
            <v>0</v>
          </cell>
          <cell r="I5346">
            <v>0</v>
          </cell>
          <cell r="J5346">
            <v>0</v>
          </cell>
          <cell r="K5346">
            <v>0</v>
          </cell>
          <cell r="L5346">
            <v>0</v>
          </cell>
          <cell r="M5346">
            <v>0</v>
          </cell>
          <cell r="N5346">
            <v>0</v>
          </cell>
          <cell r="O5346" t="str">
            <v>+++</v>
          </cell>
        </row>
        <row r="5347">
          <cell r="A5347" t="str">
            <v>420.40.55.060-6280.31</v>
          </cell>
          <cell r="B5347" t="str">
            <v>420</v>
          </cell>
          <cell r="C5347" t="str">
            <v>40</v>
          </cell>
          <cell r="D5347" t="str">
            <v>55</v>
          </cell>
          <cell r="E5347" t="str">
            <v>060</v>
          </cell>
          <cell r="F5347" t="str">
            <v>6280.31</v>
          </cell>
          <cell r="G5347" t="str">
            <v>Supplies-Public Works Water Conservation</v>
          </cell>
          <cell r="H5347">
            <v>0</v>
          </cell>
          <cell r="I5347">
            <v>0</v>
          </cell>
          <cell r="J5347">
            <v>0</v>
          </cell>
          <cell r="K5347">
            <v>0</v>
          </cell>
          <cell r="L5347">
            <v>0</v>
          </cell>
          <cell r="M5347">
            <v>0</v>
          </cell>
          <cell r="N5347">
            <v>0</v>
          </cell>
          <cell r="O5347" t="str">
            <v>+++</v>
          </cell>
        </row>
        <row r="5348">
          <cell r="A5348" t="str">
            <v>420.40.55.060-6280.32</v>
          </cell>
          <cell r="B5348" t="str">
            <v>420</v>
          </cell>
          <cell r="C5348" t="str">
            <v>40</v>
          </cell>
          <cell r="D5348" t="str">
            <v>55</v>
          </cell>
          <cell r="E5348" t="str">
            <v>060</v>
          </cell>
          <cell r="F5348" t="str">
            <v>6280.32</v>
          </cell>
          <cell r="G5348" t="str">
            <v>Supplies-Public Works Water Distribution System</v>
          </cell>
          <cell r="H5348">
            <v>0</v>
          </cell>
          <cell r="I5348">
            <v>0</v>
          </cell>
          <cell r="J5348">
            <v>0</v>
          </cell>
          <cell r="K5348">
            <v>0</v>
          </cell>
          <cell r="L5348">
            <v>0</v>
          </cell>
          <cell r="M5348">
            <v>0</v>
          </cell>
          <cell r="N5348">
            <v>0</v>
          </cell>
          <cell r="O5348" t="str">
            <v>+++</v>
          </cell>
        </row>
        <row r="5349">
          <cell r="A5349" t="str">
            <v>420.40.55.060-6280.33</v>
          </cell>
          <cell r="B5349" t="str">
            <v>420</v>
          </cell>
          <cell r="C5349" t="str">
            <v>40</v>
          </cell>
          <cell r="D5349" t="str">
            <v>55</v>
          </cell>
          <cell r="E5349" t="str">
            <v>060</v>
          </cell>
          <cell r="F5349" t="str">
            <v>6280.33</v>
          </cell>
          <cell r="G5349" t="str">
            <v>Supplies-Public Works Fire Hydrants</v>
          </cell>
          <cell r="H5349">
            <v>0</v>
          </cell>
          <cell r="I5349">
            <v>0</v>
          </cell>
          <cell r="J5349">
            <v>0</v>
          </cell>
          <cell r="K5349">
            <v>0</v>
          </cell>
          <cell r="L5349">
            <v>0</v>
          </cell>
          <cell r="M5349">
            <v>0</v>
          </cell>
          <cell r="N5349">
            <v>0</v>
          </cell>
          <cell r="O5349" t="str">
            <v>+++</v>
          </cell>
        </row>
        <row r="5350">
          <cell r="A5350" t="str">
            <v>420.40.55.060-6280.34</v>
          </cell>
          <cell r="B5350" t="str">
            <v>420</v>
          </cell>
          <cell r="C5350" t="str">
            <v>40</v>
          </cell>
          <cell r="D5350" t="str">
            <v>55</v>
          </cell>
          <cell r="E5350" t="str">
            <v>060</v>
          </cell>
          <cell r="F5350" t="str">
            <v>6280.34</v>
          </cell>
          <cell r="G5350" t="str">
            <v>Supplies-Public Works Wells &amp; Pumps</v>
          </cell>
          <cell r="H5350">
            <v>0</v>
          </cell>
          <cell r="I5350">
            <v>0</v>
          </cell>
          <cell r="J5350">
            <v>0</v>
          </cell>
          <cell r="K5350">
            <v>0</v>
          </cell>
          <cell r="L5350">
            <v>0</v>
          </cell>
          <cell r="M5350">
            <v>0</v>
          </cell>
          <cell r="N5350">
            <v>0</v>
          </cell>
          <cell r="O5350" t="str">
            <v>+++</v>
          </cell>
        </row>
        <row r="5351">
          <cell r="A5351" t="str">
            <v>420.40.55.060-6280.35</v>
          </cell>
          <cell r="B5351" t="str">
            <v>420</v>
          </cell>
          <cell r="C5351" t="str">
            <v>40</v>
          </cell>
          <cell r="D5351" t="str">
            <v>55</v>
          </cell>
          <cell r="E5351" t="str">
            <v>060</v>
          </cell>
          <cell r="F5351" t="str">
            <v>6280.35</v>
          </cell>
          <cell r="G5351" t="str">
            <v>Supplies-Public Works Water Meters &amp; Boxes</v>
          </cell>
          <cell r="H5351">
            <v>0</v>
          </cell>
          <cell r="I5351">
            <v>0</v>
          </cell>
          <cell r="J5351">
            <v>0</v>
          </cell>
          <cell r="K5351">
            <v>0</v>
          </cell>
          <cell r="L5351">
            <v>0</v>
          </cell>
          <cell r="M5351">
            <v>0</v>
          </cell>
          <cell r="N5351">
            <v>0</v>
          </cell>
          <cell r="O5351" t="str">
            <v>+++</v>
          </cell>
        </row>
        <row r="5352">
          <cell r="A5352" t="str">
            <v>420.40.55.060-6280.36</v>
          </cell>
          <cell r="B5352" t="str">
            <v>420</v>
          </cell>
          <cell r="C5352" t="str">
            <v>40</v>
          </cell>
          <cell r="D5352" t="str">
            <v>55</v>
          </cell>
          <cell r="E5352" t="str">
            <v>060</v>
          </cell>
          <cell r="F5352" t="str">
            <v>6280.36</v>
          </cell>
          <cell r="G5352" t="str">
            <v>Supplies-Public Works Traffic Calming</v>
          </cell>
          <cell r="H5352">
            <v>0</v>
          </cell>
          <cell r="I5352">
            <v>0</v>
          </cell>
          <cell r="J5352">
            <v>0</v>
          </cell>
          <cell r="K5352">
            <v>0</v>
          </cell>
          <cell r="L5352">
            <v>0</v>
          </cell>
          <cell r="M5352">
            <v>0</v>
          </cell>
          <cell r="N5352">
            <v>0</v>
          </cell>
          <cell r="O5352" t="str">
            <v>+++</v>
          </cell>
        </row>
        <row r="5353">
          <cell r="A5353" t="str">
            <v>420.40.55.060-6280.38</v>
          </cell>
          <cell r="B5353" t="str">
            <v>420</v>
          </cell>
          <cell r="C5353" t="str">
            <v>40</v>
          </cell>
          <cell r="D5353" t="str">
            <v>55</v>
          </cell>
          <cell r="E5353" t="str">
            <v>060</v>
          </cell>
          <cell r="F5353" t="str">
            <v>6280.38</v>
          </cell>
          <cell r="G5353" t="str">
            <v>Supplies-Public Works Global Supplies</v>
          </cell>
          <cell r="H5353">
            <v>0</v>
          </cell>
          <cell r="I5353">
            <v>0</v>
          </cell>
          <cell r="J5353">
            <v>0</v>
          </cell>
          <cell r="K5353">
            <v>0</v>
          </cell>
          <cell r="L5353">
            <v>0</v>
          </cell>
          <cell r="M5353">
            <v>0</v>
          </cell>
          <cell r="N5353">
            <v>0</v>
          </cell>
          <cell r="O5353" t="str">
            <v>+++</v>
          </cell>
        </row>
        <row r="5354">
          <cell r="A5354" t="str">
            <v>420.40.55.060-6280.39</v>
          </cell>
          <cell r="B5354" t="str">
            <v>420</v>
          </cell>
          <cell r="C5354" t="str">
            <v>40</v>
          </cell>
          <cell r="D5354" t="str">
            <v>55</v>
          </cell>
          <cell r="E5354" t="str">
            <v>060</v>
          </cell>
          <cell r="F5354" t="str">
            <v>6280.39</v>
          </cell>
          <cell r="G5354" t="str">
            <v>Supplies-Public Works Industrial Waste Pretreatment</v>
          </cell>
          <cell r="H5354">
            <v>0</v>
          </cell>
          <cell r="I5354">
            <v>0</v>
          </cell>
          <cell r="J5354">
            <v>0</v>
          </cell>
          <cell r="K5354">
            <v>0</v>
          </cell>
          <cell r="L5354">
            <v>0</v>
          </cell>
          <cell r="M5354">
            <v>0</v>
          </cell>
          <cell r="N5354">
            <v>0</v>
          </cell>
          <cell r="O5354" t="str">
            <v>+++</v>
          </cell>
        </row>
        <row r="5355">
          <cell r="A5355" t="str">
            <v>420.40.55.060-6280.41</v>
          </cell>
          <cell r="B5355" t="str">
            <v>420</v>
          </cell>
          <cell r="C5355" t="str">
            <v>40</v>
          </cell>
          <cell r="D5355" t="str">
            <v>55</v>
          </cell>
          <cell r="E5355" t="str">
            <v>060</v>
          </cell>
          <cell r="F5355" t="str">
            <v>6280.41</v>
          </cell>
          <cell r="G5355" t="str">
            <v>Supplies-Public Works Bevarage Container Grant</v>
          </cell>
          <cell r="H5355">
            <v>0</v>
          </cell>
          <cell r="I5355">
            <v>0</v>
          </cell>
          <cell r="J5355">
            <v>0</v>
          </cell>
          <cell r="K5355">
            <v>0</v>
          </cell>
          <cell r="L5355">
            <v>0</v>
          </cell>
          <cell r="M5355">
            <v>0</v>
          </cell>
          <cell r="N5355">
            <v>0</v>
          </cell>
          <cell r="O5355" t="str">
            <v>+++</v>
          </cell>
        </row>
        <row r="5356">
          <cell r="A5356" t="str">
            <v>420.40.55.060-6280.42</v>
          </cell>
          <cell r="B5356" t="str">
            <v>420</v>
          </cell>
          <cell r="C5356" t="str">
            <v>40</v>
          </cell>
          <cell r="D5356" t="str">
            <v>55</v>
          </cell>
          <cell r="E5356" t="str">
            <v>060</v>
          </cell>
          <cell r="F5356" t="str">
            <v>6280.42</v>
          </cell>
          <cell r="G5356" t="str">
            <v>Supplies-Public Works Industrial Wastewater</v>
          </cell>
          <cell r="H5356">
            <v>0</v>
          </cell>
          <cell r="I5356">
            <v>0</v>
          </cell>
          <cell r="J5356">
            <v>0</v>
          </cell>
          <cell r="K5356">
            <v>0</v>
          </cell>
          <cell r="L5356">
            <v>0</v>
          </cell>
          <cell r="M5356">
            <v>0</v>
          </cell>
          <cell r="N5356">
            <v>0</v>
          </cell>
          <cell r="O5356" t="str">
            <v>+++</v>
          </cell>
        </row>
        <row r="5357">
          <cell r="A5357" t="str">
            <v>420.40.55.060-6300.01</v>
          </cell>
          <cell r="B5357" t="str">
            <v>420</v>
          </cell>
          <cell r="C5357" t="str">
            <v>40</v>
          </cell>
          <cell r="D5357" t="str">
            <v>55</v>
          </cell>
          <cell r="E5357" t="str">
            <v>060</v>
          </cell>
          <cell r="F5357" t="str">
            <v>6300.01</v>
          </cell>
          <cell r="G5357" t="str">
            <v>Dues &amp; Subscriptions Memberships</v>
          </cell>
          <cell r="H5357">
            <v>0</v>
          </cell>
          <cell r="I5357">
            <v>0</v>
          </cell>
          <cell r="J5357">
            <v>0</v>
          </cell>
          <cell r="K5357">
            <v>0</v>
          </cell>
          <cell r="L5357">
            <v>0</v>
          </cell>
          <cell r="M5357">
            <v>0</v>
          </cell>
          <cell r="N5357">
            <v>0</v>
          </cell>
          <cell r="O5357" t="str">
            <v>+++</v>
          </cell>
        </row>
        <row r="5358">
          <cell r="A5358" t="str">
            <v>420.40.55.060-6300.02</v>
          </cell>
          <cell r="B5358" t="str">
            <v>420</v>
          </cell>
          <cell r="C5358" t="str">
            <v>40</v>
          </cell>
          <cell r="D5358" t="str">
            <v>55</v>
          </cell>
          <cell r="E5358" t="str">
            <v>060</v>
          </cell>
          <cell r="F5358" t="str">
            <v>6300.02</v>
          </cell>
          <cell r="G5358" t="str">
            <v>Dues &amp; Subscriptions Publications</v>
          </cell>
          <cell r="H5358">
            <v>0</v>
          </cell>
          <cell r="I5358">
            <v>0</v>
          </cell>
          <cell r="J5358">
            <v>0</v>
          </cell>
          <cell r="K5358">
            <v>0</v>
          </cell>
          <cell r="L5358">
            <v>0</v>
          </cell>
          <cell r="M5358">
            <v>0</v>
          </cell>
          <cell r="N5358">
            <v>0</v>
          </cell>
          <cell r="O5358" t="str">
            <v>+++</v>
          </cell>
        </row>
        <row r="5359">
          <cell r="A5359" t="str">
            <v>420.40.55.060-6300.03</v>
          </cell>
          <cell r="B5359" t="str">
            <v>420</v>
          </cell>
          <cell r="C5359" t="str">
            <v>40</v>
          </cell>
          <cell r="D5359" t="str">
            <v>55</v>
          </cell>
          <cell r="E5359" t="str">
            <v>060</v>
          </cell>
          <cell r="F5359" t="str">
            <v>6300.03</v>
          </cell>
          <cell r="G5359" t="str">
            <v>Dues &amp; Subscriptions Certifications</v>
          </cell>
          <cell r="H5359">
            <v>0</v>
          </cell>
          <cell r="I5359">
            <v>0</v>
          </cell>
          <cell r="J5359">
            <v>0</v>
          </cell>
          <cell r="K5359">
            <v>0</v>
          </cell>
          <cell r="L5359">
            <v>0</v>
          </cell>
          <cell r="M5359">
            <v>0</v>
          </cell>
          <cell r="N5359">
            <v>0</v>
          </cell>
          <cell r="O5359" t="str">
            <v>+++</v>
          </cell>
        </row>
        <row r="5360">
          <cell r="A5360" t="str">
            <v>420.40.55.060-6350.01</v>
          </cell>
          <cell r="B5360" t="str">
            <v>420</v>
          </cell>
          <cell r="C5360" t="str">
            <v>40</v>
          </cell>
          <cell r="D5360" t="str">
            <v>55</v>
          </cell>
          <cell r="E5360" t="str">
            <v>060</v>
          </cell>
          <cell r="F5360" t="str">
            <v>6350.01</v>
          </cell>
          <cell r="G5360" t="str">
            <v>Maintenance Agreements &amp; Licenses License/Software Maintenance</v>
          </cell>
          <cell r="H5360">
            <v>0</v>
          </cell>
          <cell r="I5360">
            <v>0</v>
          </cell>
          <cell r="J5360">
            <v>0</v>
          </cell>
          <cell r="K5360">
            <v>0</v>
          </cell>
          <cell r="L5360">
            <v>0</v>
          </cell>
          <cell r="M5360">
            <v>0</v>
          </cell>
          <cell r="N5360">
            <v>0</v>
          </cell>
          <cell r="O5360" t="str">
            <v>+++</v>
          </cell>
        </row>
        <row r="5361">
          <cell r="A5361" t="str">
            <v>420.40.55.060-6350.02</v>
          </cell>
          <cell r="B5361" t="str">
            <v>420</v>
          </cell>
          <cell r="C5361" t="str">
            <v>40</v>
          </cell>
          <cell r="D5361" t="str">
            <v>55</v>
          </cell>
          <cell r="E5361" t="str">
            <v>060</v>
          </cell>
          <cell r="F5361" t="str">
            <v>6350.02</v>
          </cell>
          <cell r="G5361" t="str">
            <v>Maintenance Agreements &amp; Licenses Hardware Maintenance</v>
          </cell>
          <cell r="H5361">
            <v>0</v>
          </cell>
          <cell r="I5361">
            <v>0</v>
          </cell>
          <cell r="J5361">
            <v>0</v>
          </cell>
          <cell r="K5361">
            <v>0</v>
          </cell>
          <cell r="L5361">
            <v>0</v>
          </cell>
          <cell r="M5361">
            <v>0</v>
          </cell>
          <cell r="N5361">
            <v>0</v>
          </cell>
          <cell r="O5361" t="str">
            <v>+++</v>
          </cell>
        </row>
        <row r="5362">
          <cell r="A5362" t="str">
            <v>420.40.55.060-6350.03</v>
          </cell>
          <cell r="B5362" t="str">
            <v>420</v>
          </cell>
          <cell r="C5362" t="str">
            <v>40</v>
          </cell>
          <cell r="D5362" t="str">
            <v>55</v>
          </cell>
          <cell r="E5362" t="str">
            <v>060</v>
          </cell>
          <cell r="F5362" t="str">
            <v>6350.03</v>
          </cell>
          <cell r="G5362" t="str">
            <v>Maintenance Agreements &amp; Licenses Maintenance Agreements</v>
          </cell>
          <cell r="H5362">
            <v>0</v>
          </cell>
          <cell r="I5362">
            <v>0</v>
          </cell>
          <cell r="J5362">
            <v>0</v>
          </cell>
          <cell r="K5362">
            <v>0</v>
          </cell>
          <cell r="L5362">
            <v>0</v>
          </cell>
          <cell r="M5362">
            <v>0</v>
          </cell>
          <cell r="N5362">
            <v>0</v>
          </cell>
          <cell r="O5362" t="str">
            <v>+++</v>
          </cell>
        </row>
        <row r="5363">
          <cell r="A5363" t="str">
            <v>420.40.55.060-6350.04</v>
          </cell>
          <cell r="B5363" t="str">
            <v>420</v>
          </cell>
          <cell r="C5363" t="str">
            <v>40</v>
          </cell>
          <cell r="D5363" t="str">
            <v>55</v>
          </cell>
          <cell r="E5363" t="str">
            <v>060</v>
          </cell>
          <cell r="F5363" t="str">
            <v>6350.04</v>
          </cell>
          <cell r="G5363" t="str">
            <v>Maintenance Agreements &amp; Licenses SCADA</v>
          </cell>
          <cell r="H5363">
            <v>0</v>
          </cell>
          <cell r="I5363">
            <v>0</v>
          </cell>
          <cell r="J5363">
            <v>0</v>
          </cell>
          <cell r="K5363">
            <v>0</v>
          </cell>
          <cell r="L5363">
            <v>0</v>
          </cell>
          <cell r="M5363">
            <v>0</v>
          </cell>
          <cell r="N5363">
            <v>0</v>
          </cell>
          <cell r="O5363" t="str">
            <v>+++</v>
          </cell>
        </row>
        <row r="5364">
          <cell r="A5364" t="str">
            <v>420.40.55.060-6350.05</v>
          </cell>
          <cell r="B5364" t="str">
            <v>420</v>
          </cell>
          <cell r="C5364" t="str">
            <v>40</v>
          </cell>
          <cell r="D5364" t="str">
            <v>55</v>
          </cell>
          <cell r="E5364" t="str">
            <v>060</v>
          </cell>
          <cell r="F5364" t="str">
            <v>6350.05</v>
          </cell>
          <cell r="G5364" t="str">
            <v>Maintenance Agreements &amp; Licenses Traffic Control</v>
          </cell>
          <cell r="H5364">
            <v>0</v>
          </cell>
          <cell r="I5364">
            <v>0</v>
          </cell>
          <cell r="J5364">
            <v>0</v>
          </cell>
          <cell r="K5364">
            <v>0</v>
          </cell>
          <cell r="L5364">
            <v>0</v>
          </cell>
          <cell r="M5364">
            <v>0</v>
          </cell>
          <cell r="N5364">
            <v>0</v>
          </cell>
          <cell r="O5364" t="str">
            <v>+++</v>
          </cell>
        </row>
        <row r="5365">
          <cell r="A5365" t="str">
            <v>420.40.55.060-6350.06</v>
          </cell>
          <cell r="B5365" t="str">
            <v>420</v>
          </cell>
          <cell r="C5365" t="str">
            <v>40</v>
          </cell>
          <cell r="D5365" t="str">
            <v>55</v>
          </cell>
          <cell r="E5365" t="str">
            <v>060</v>
          </cell>
          <cell r="F5365" t="str">
            <v>6350.06</v>
          </cell>
          <cell r="G5365" t="str">
            <v>Maintenance Agreements &amp; Licenses Streetlights</v>
          </cell>
          <cell r="H5365">
            <v>0</v>
          </cell>
          <cell r="I5365">
            <v>0</v>
          </cell>
          <cell r="J5365">
            <v>0</v>
          </cell>
          <cell r="K5365">
            <v>0</v>
          </cell>
          <cell r="L5365">
            <v>0</v>
          </cell>
          <cell r="M5365">
            <v>0</v>
          </cell>
          <cell r="N5365">
            <v>0</v>
          </cell>
          <cell r="O5365" t="str">
            <v>+++</v>
          </cell>
        </row>
        <row r="5366">
          <cell r="A5366" t="str">
            <v>420.40.55.060-6375.01</v>
          </cell>
          <cell r="B5366" t="str">
            <v>420</v>
          </cell>
          <cell r="C5366" t="str">
            <v>40</v>
          </cell>
          <cell r="D5366" t="str">
            <v>55</v>
          </cell>
          <cell r="E5366" t="str">
            <v>060</v>
          </cell>
          <cell r="F5366" t="str">
            <v>6375.01</v>
          </cell>
          <cell r="G5366" t="str">
            <v>Operating Fees NPDES Permit Renewal</v>
          </cell>
          <cell r="H5366">
            <v>0</v>
          </cell>
          <cell r="I5366">
            <v>0</v>
          </cell>
          <cell r="J5366">
            <v>0</v>
          </cell>
          <cell r="K5366">
            <v>0</v>
          </cell>
          <cell r="L5366">
            <v>0</v>
          </cell>
          <cell r="M5366">
            <v>0</v>
          </cell>
          <cell r="N5366">
            <v>0</v>
          </cell>
          <cell r="O5366" t="str">
            <v>+++</v>
          </cell>
        </row>
        <row r="5367">
          <cell r="A5367" t="str">
            <v>420.40.55.060-6375.02</v>
          </cell>
          <cell r="B5367" t="str">
            <v>420</v>
          </cell>
          <cell r="C5367" t="str">
            <v>40</v>
          </cell>
          <cell r="D5367" t="str">
            <v>55</v>
          </cell>
          <cell r="E5367" t="str">
            <v>060</v>
          </cell>
          <cell r="F5367" t="str">
            <v>6375.02</v>
          </cell>
          <cell r="G5367" t="str">
            <v>Operating Fees NPDES Permit Compliance</v>
          </cell>
          <cell r="H5367">
            <v>0</v>
          </cell>
          <cell r="I5367">
            <v>0</v>
          </cell>
          <cell r="J5367">
            <v>0</v>
          </cell>
          <cell r="K5367">
            <v>0</v>
          </cell>
          <cell r="L5367">
            <v>0</v>
          </cell>
          <cell r="M5367">
            <v>0</v>
          </cell>
          <cell r="N5367">
            <v>0</v>
          </cell>
          <cell r="O5367" t="str">
            <v>+++</v>
          </cell>
        </row>
        <row r="5368">
          <cell r="A5368" t="str">
            <v>420.40.55.060-6375.03</v>
          </cell>
          <cell r="B5368" t="str">
            <v>420</v>
          </cell>
          <cell r="C5368" t="str">
            <v>40</v>
          </cell>
          <cell r="D5368" t="str">
            <v>55</v>
          </cell>
          <cell r="E5368" t="str">
            <v>060</v>
          </cell>
          <cell r="F5368" t="str">
            <v>6375.03</v>
          </cell>
          <cell r="G5368" t="str">
            <v>Operating Fees SSJID Drainage</v>
          </cell>
          <cell r="H5368">
            <v>0</v>
          </cell>
          <cell r="I5368">
            <v>0</v>
          </cell>
          <cell r="J5368">
            <v>0</v>
          </cell>
          <cell r="K5368">
            <v>0</v>
          </cell>
          <cell r="L5368">
            <v>0</v>
          </cell>
          <cell r="M5368">
            <v>0</v>
          </cell>
          <cell r="N5368">
            <v>0</v>
          </cell>
          <cell r="O5368" t="str">
            <v>+++</v>
          </cell>
        </row>
        <row r="5369">
          <cell r="A5369" t="str">
            <v>420.40.55.060-6375.04</v>
          </cell>
          <cell r="B5369" t="str">
            <v>420</v>
          </cell>
          <cell r="C5369" t="str">
            <v>40</v>
          </cell>
          <cell r="D5369" t="str">
            <v>55</v>
          </cell>
          <cell r="E5369" t="str">
            <v>060</v>
          </cell>
          <cell r="F5369" t="str">
            <v>6375.04</v>
          </cell>
          <cell r="G5369" t="str">
            <v>Operating Fees Operating Permits</v>
          </cell>
          <cell r="H5369">
            <v>0</v>
          </cell>
          <cell r="I5369">
            <v>0</v>
          </cell>
          <cell r="J5369">
            <v>0</v>
          </cell>
          <cell r="K5369">
            <v>0</v>
          </cell>
          <cell r="L5369">
            <v>0</v>
          </cell>
          <cell r="M5369">
            <v>0</v>
          </cell>
          <cell r="N5369">
            <v>0</v>
          </cell>
          <cell r="O5369" t="str">
            <v>+++</v>
          </cell>
        </row>
        <row r="5370">
          <cell r="A5370" t="str">
            <v>420.40.55.060-6375.05</v>
          </cell>
          <cell r="B5370" t="str">
            <v>420</v>
          </cell>
          <cell r="C5370" t="str">
            <v>40</v>
          </cell>
          <cell r="D5370" t="str">
            <v>55</v>
          </cell>
          <cell r="E5370" t="str">
            <v>060</v>
          </cell>
          <cell r="F5370" t="str">
            <v>6375.05</v>
          </cell>
          <cell r="G5370" t="str">
            <v>Operating Fees Annual Waste Discharger</v>
          </cell>
          <cell r="H5370">
            <v>0</v>
          </cell>
          <cell r="I5370">
            <v>0</v>
          </cell>
          <cell r="J5370">
            <v>0</v>
          </cell>
          <cell r="K5370">
            <v>0</v>
          </cell>
          <cell r="L5370">
            <v>0</v>
          </cell>
          <cell r="M5370">
            <v>0</v>
          </cell>
          <cell r="N5370">
            <v>0</v>
          </cell>
          <cell r="O5370" t="str">
            <v>+++</v>
          </cell>
        </row>
        <row r="5371">
          <cell r="A5371" t="str">
            <v>420.40.55.060-6375.07</v>
          </cell>
          <cell r="B5371" t="str">
            <v>420</v>
          </cell>
          <cell r="C5371" t="str">
            <v>40</v>
          </cell>
          <cell r="D5371" t="str">
            <v>55</v>
          </cell>
          <cell r="E5371" t="str">
            <v>060</v>
          </cell>
          <cell r="F5371" t="str">
            <v>6375.07</v>
          </cell>
          <cell r="G5371" t="str">
            <v>Operating Fees Permit</v>
          </cell>
          <cell r="H5371">
            <v>0</v>
          </cell>
          <cell r="I5371">
            <v>0</v>
          </cell>
          <cell r="J5371">
            <v>0</v>
          </cell>
          <cell r="K5371">
            <v>0</v>
          </cell>
          <cell r="L5371">
            <v>0</v>
          </cell>
          <cell r="M5371">
            <v>0</v>
          </cell>
          <cell r="N5371">
            <v>0</v>
          </cell>
          <cell r="O5371" t="str">
            <v>+++</v>
          </cell>
        </row>
        <row r="5372">
          <cell r="A5372" t="str">
            <v>420.40.55.060-6375.08</v>
          </cell>
          <cell r="B5372" t="str">
            <v>420</v>
          </cell>
          <cell r="C5372" t="str">
            <v>40</v>
          </cell>
          <cell r="D5372" t="str">
            <v>55</v>
          </cell>
          <cell r="E5372" t="str">
            <v>060</v>
          </cell>
          <cell r="F5372" t="str">
            <v>6375.08</v>
          </cell>
          <cell r="G5372" t="str">
            <v>Operating Fees Operating Permits Reg</v>
          </cell>
          <cell r="H5372">
            <v>0</v>
          </cell>
          <cell r="I5372">
            <v>0</v>
          </cell>
          <cell r="J5372">
            <v>0</v>
          </cell>
          <cell r="K5372">
            <v>0</v>
          </cell>
          <cell r="L5372">
            <v>0</v>
          </cell>
          <cell r="M5372">
            <v>0</v>
          </cell>
          <cell r="N5372">
            <v>0</v>
          </cell>
          <cell r="O5372" t="str">
            <v>+++</v>
          </cell>
        </row>
        <row r="5373">
          <cell r="A5373" t="str">
            <v>420.40.55.060-6375.09</v>
          </cell>
          <cell r="B5373" t="str">
            <v>420</v>
          </cell>
          <cell r="C5373" t="str">
            <v>40</v>
          </cell>
          <cell r="D5373" t="str">
            <v>55</v>
          </cell>
          <cell r="E5373" t="str">
            <v>060</v>
          </cell>
          <cell r="F5373" t="str">
            <v>6375.09</v>
          </cell>
          <cell r="G5373" t="str">
            <v>Operating Fees Dumping</v>
          </cell>
          <cell r="H5373">
            <v>0</v>
          </cell>
          <cell r="I5373">
            <v>0</v>
          </cell>
          <cell r="J5373">
            <v>0</v>
          </cell>
          <cell r="K5373">
            <v>0</v>
          </cell>
          <cell r="L5373">
            <v>0</v>
          </cell>
          <cell r="M5373">
            <v>0</v>
          </cell>
          <cell r="N5373">
            <v>0</v>
          </cell>
          <cell r="O5373" t="str">
            <v>+++</v>
          </cell>
        </row>
        <row r="5374">
          <cell r="A5374" t="str">
            <v>420.40.55.060-6375.10</v>
          </cell>
          <cell r="B5374" t="str">
            <v>420</v>
          </cell>
          <cell r="C5374" t="str">
            <v>40</v>
          </cell>
          <cell r="D5374" t="str">
            <v>55</v>
          </cell>
          <cell r="E5374" t="str">
            <v>060</v>
          </cell>
          <cell r="F5374" t="str">
            <v>6375.10</v>
          </cell>
          <cell r="G5374" t="str">
            <v>Operating Fees Sludge Disposal</v>
          </cell>
          <cell r="H5374">
            <v>0</v>
          </cell>
          <cell r="I5374">
            <v>0</v>
          </cell>
          <cell r="J5374">
            <v>0</v>
          </cell>
          <cell r="K5374">
            <v>0</v>
          </cell>
          <cell r="L5374">
            <v>0</v>
          </cell>
          <cell r="M5374">
            <v>0</v>
          </cell>
          <cell r="N5374">
            <v>0</v>
          </cell>
          <cell r="O5374" t="str">
            <v>+++</v>
          </cell>
        </row>
        <row r="5375">
          <cell r="A5375" t="str">
            <v>420.40.55.060-6375.11</v>
          </cell>
          <cell r="B5375" t="str">
            <v>420</v>
          </cell>
          <cell r="C5375" t="str">
            <v>40</v>
          </cell>
          <cell r="D5375" t="str">
            <v>55</v>
          </cell>
          <cell r="E5375" t="str">
            <v>060</v>
          </cell>
          <cell r="F5375" t="str">
            <v>6375.11</v>
          </cell>
          <cell r="G5375" t="str">
            <v>Operating Fees Compost Tipping</v>
          </cell>
          <cell r="H5375">
            <v>0</v>
          </cell>
          <cell r="I5375">
            <v>0</v>
          </cell>
          <cell r="J5375">
            <v>0</v>
          </cell>
          <cell r="K5375">
            <v>0</v>
          </cell>
          <cell r="L5375">
            <v>0</v>
          </cell>
          <cell r="M5375">
            <v>0</v>
          </cell>
          <cell r="N5375">
            <v>0</v>
          </cell>
          <cell r="O5375" t="str">
            <v>+++</v>
          </cell>
        </row>
        <row r="5376">
          <cell r="A5376" t="str">
            <v>420.40.55.060-6375.12</v>
          </cell>
          <cell r="B5376" t="str">
            <v>420</v>
          </cell>
          <cell r="C5376" t="str">
            <v>40</v>
          </cell>
          <cell r="D5376" t="str">
            <v>55</v>
          </cell>
          <cell r="E5376" t="str">
            <v>060</v>
          </cell>
          <cell r="F5376" t="str">
            <v>6375.12</v>
          </cell>
          <cell r="G5376" t="str">
            <v>Operating Fees Curbside Recycling</v>
          </cell>
          <cell r="H5376">
            <v>0</v>
          </cell>
          <cell r="I5376">
            <v>0</v>
          </cell>
          <cell r="J5376">
            <v>0</v>
          </cell>
          <cell r="K5376">
            <v>0</v>
          </cell>
          <cell r="L5376">
            <v>0</v>
          </cell>
          <cell r="M5376">
            <v>0</v>
          </cell>
          <cell r="N5376">
            <v>0</v>
          </cell>
          <cell r="O5376" t="str">
            <v>+++</v>
          </cell>
        </row>
        <row r="5377">
          <cell r="A5377" t="str">
            <v>420.40.55.060-6375.15</v>
          </cell>
          <cell r="B5377" t="str">
            <v>420</v>
          </cell>
          <cell r="C5377" t="str">
            <v>40</v>
          </cell>
          <cell r="D5377" t="str">
            <v>55</v>
          </cell>
          <cell r="E5377" t="str">
            <v>060</v>
          </cell>
          <cell r="F5377" t="str">
            <v>6375.15</v>
          </cell>
          <cell r="G5377" t="str">
            <v>Operating Fees Concrete/Asphalt Tipping</v>
          </cell>
          <cell r="H5377">
            <v>0</v>
          </cell>
          <cell r="I5377">
            <v>0</v>
          </cell>
          <cell r="J5377">
            <v>0</v>
          </cell>
          <cell r="K5377">
            <v>0</v>
          </cell>
          <cell r="L5377">
            <v>0</v>
          </cell>
          <cell r="M5377">
            <v>0</v>
          </cell>
          <cell r="N5377">
            <v>0</v>
          </cell>
          <cell r="O5377" t="str">
            <v>+++</v>
          </cell>
        </row>
        <row r="5378">
          <cell r="A5378" t="str">
            <v>420.40.55.060-6375.16</v>
          </cell>
          <cell r="B5378" t="str">
            <v>420</v>
          </cell>
          <cell r="C5378" t="str">
            <v>40</v>
          </cell>
          <cell r="D5378" t="str">
            <v>55</v>
          </cell>
          <cell r="E5378" t="str">
            <v>060</v>
          </cell>
          <cell r="F5378" t="str">
            <v>6375.16</v>
          </cell>
          <cell r="G5378" t="str">
            <v>Operating Fees Universal Waste Recycling</v>
          </cell>
          <cell r="H5378">
            <v>0</v>
          </cell>
          <cell r="I5378">
            <v>0</v>
          </cell>
          <cell r="J5378">
            <v>0</v>
          </cell>
          <cell r="K5378">
            <v>0</v>
          </cell>
          <cell r="L5378">
            <v>0</v>
          </cell>
          <cell r="M5378">
            <v>0</v>
          </cell>
          <cell r="N5378">
            <v>0</v>
          </cell>
          <cell r="O5378" t="str">
            <v>+++</v>
          </cell>
        </row>
        <row r="5379">
          <cell r="A5379" t="str">
            <v>420.40.55.060-6375.18</v>
          </cell>
          <cell r="B5379" t="str">
            <v>420</v>
          </cell>
          <cell r="C5379" t="str">
            <v>40</v>
          </cell>
          <cell r="D5379" t="str">
            <v>55</v>
          </cell>
          <cell r="E5379" t="str">
            <v>060</v>
          </cell>
          <cell r="F5379" t="str">
            <v>6375.18</v>
          </cell>
          <cell r="G5379" t="str">
            <v>Operating Fees Used Oil Recycling</v>
          </cell>
          <cell r="H5379">
            <v>0</v>
          </cell>
          <cell r="I5379">
            <v>0</v>
          </cell>
          <cell r="J5379">
            <v>0</v>
          </cell>
          <cell r="K5379">
            <v>0</v>
          </cell>
          <cell r="L5379">
            <v>0</v>
          </cell>
          <cell r="M5379">
            <v>0</v>
          </cell>
          <cell r="N5379">
            <v>0</v>
          </cell>
          <cell r="O5379" t="str">
            <v>+++</v>
          </cell>
        </row>
        <row r="5380">
          <cell r="A5380" t="str">
            <v>420.40.55.060-6375.19</v>
          </cell>
          <cell r="B5380" t="str">
            <v>420</v>
          </cell>
          <cell r="C5380" t="str">
            <v>40</v>
          </cell>
          <cell r="D5380" t="str">
            <v>55</v>
          </cell>
          <cell r="E5380" t="str">
            <v>060</v>
          </cell>
          <cell r="F5380" t="str">
            <v>6375.19</v>
          </cell>
          <cell r="G5380" t="str">
            <v>Operating Fees Highway Signal</v>
          </cell>
          <cell r="H5380">
            <v>0</v>
          </cell>
          <cell r="I5380">
            <v>0</v>
          </cell>
          <cell r="J5380">
            <v>0</v>
          </cell>
          <cell r="K5380">
            <v>0</v>
          </cell>
          <cell r="L5380">
            <v>0</v>
          </cell>
          <cell r="M5380">
            <v>0</v>
          </cell>
          <cell r="N5380">
            <v>0</v>
          </cell>
          <cell r="O5380" t="str">
            <v>+++</v>
          </cell>
        </row>
        <row r="5381">
          <cell r="A5381" t="str">
            <v>420.40.55.060-6375.20</v>
          </cell>
          <cell r="B5381" t="str">
            <v>420</v>
          </cell>
          <cell r="C5381" t="str">
            <v>40</v>
          </cell>
          <cell r="D5381" t="str">
            <v>55</v>
          </cell>
          <cell r="E5381" t="str">
            <v>060</v>
          </cell>
          <cell r="F5381" t="str">
            <v>6375.20</v>
          </cell>
          <cell r="G5381" t="str">
            <v>Operating Fees Fines and Penalties</v>
          </cell>
          <cell r="H5381">
            <v>0</v>
          </cell>
          <cell r="I5381">
            <v>0</v>
          </cell>
          <cell r="J5381">
            <v>0</v>
          </cell>
          <cell r="K5381">
            <v>0</v>
          </cell>
          <cell r="L5381">
            <v>0</v>
          </cell>
          <cell r="M5381">
            <v>0</v>
          </cell>
          <cell r="N5381">
            <v>0</v>
          </cell>
          <cell r="O5381" t="str">
            <v>+++</v>
          </cell>
        </row>
        <row r="5382">
          <cell r="A5382" t="str">
            <v>420.40.55.060-6400.01</v>
          </cell>
          <cell r="B5382" t="str">
            <v>420</v>
          </cell>
          <cell r="C5382" t="str">
            <v>40</v>
          </cell>
          <cell r="D5382" t="str">
            <v>55</v>
          </cell>
          <cell r="E5382" t="str">
            <v>060</v>
          </cell>
          <cell r="F5382" t="str">
            <v>6400.01</v>
          </cell>
          <cell r="G5382" t="str">
            <v>Repairs &amp; Maintenance Building</v>
          </cell>
          <cell r="H5382">
            <v>0</v>
          </cell>
          <cell r="I5382">
            <v>0</v>
          </cell>
          <cell r="J5382">
            <v>0</v>
          </cell>
          <cell r="K5382">
            <v>0</v>
          </cell>
          <cell r="L5382">
            <v>0</v>
          </cell>
          <cell r="M5382">
            <v>0</v>
          </cell>
          <cell r="N5382">
            <v>0</v>
          </cell>
          <cell r="O5382" t="str">
            <v>+++</v>
          </cell>
        </row>
        <row r="5383">
          <cell r="A5383" t="str">
            <v>420.40.55.060-6400.02</v>
          </cell>
          <cell r="B5383" t="str">
            <v>420</v>
          </cell>
          <cell r="C5383" t="str">
            <v>40</v>
          </cell>
          <cell r="D5383" t="str">
            <v>55</v>
          </cell>
          <cell r="E5383" t="str">
            <v>060</v>
          </cell>
          <cell r="F5383" t="str">
            <v>6400.02</v>
          </cell>
          <cell r="G5383" t="str">
            <v>Repairs &amp; Maintenance Minor Equipment/Other</v>
          </cell>
          <cell r="H5383">
            <v>0</v>
          </cell>
          <cell r="I5383">
            <v>0</v>
          </cell>
          <cell r="J5383">
            <v>0</v>
          </cell>
          <cell r="K5383">
            <v>0</v>
          </cell>
          <cell r="L5383">
            <v>0</v>
          </cell>
          <cell r="M5383">
            <v>0</v>
          </cell>
          <cell r="N5383">
            <v>0</v>
          </cell>
          <cell r="O5383" t="str">
            <v>+++</v>
          </cell>
        </row>
        <row r="5384">
          <cell r="A5384" t="str">
            <v>420.40.55.060-6400.03</v>
          </cell>
          <cell r="B5384" t="str">
            <v>420</v>
          </cell>
          <cell r="C5384" t="str">
            <v>40</v>
          </cell>
          <cell r="D5384" t="str">
            <v>55</v>
          </cell>
          <cell r="E5384" t="str">
            <v>060</v>
          </cell>
          <cell r="F5384" t="str">
            <v>6400.03</v>
          </cell>
          <cell r="G5384" t="str">
            <v>Repairs &amp; Maintenance Major Repair &amp; Contingency</v>
          </cell>
          <cell r="H5384">
            <v>0</v>
          </cell>
          <cell r="I5384">
            <v>0</v>
          </cell>
          <cell r="J5384">
            <v>0</v>
          </cell>
          <cell r="K5384">
            <v>0</v>
          </cell>
          <cell r="L5384">
            <v>0</v>
          </cell>
          <cell r="M5384">
            <v>0</v>
          </cell>
          <cell r="N5384">
            <v>0</v>
          </cell>
          <cell r="O5384" t="str">
            <v>+++</v>
          </cell>
        </row>
        <row r="5385">
          <cell r="A5385" t="str">
            <v>420.40.55.060-6400.04</v>
          </cell>
          <cell r="B5385" t="str">
            <v>420</v>
          </cell>
          <cell r="C5385" t="str">
            <v>40</v>
          </cell>
          <cell r="D5385" t="str">
            <v>55</v>
          </cell>
          <cell r="E5385" t="str">
            <v>060</v>
          </cell>
          <cell r="F5385" t="str">
            <v>6400.04</v>
          </cell>
          <cell r="G5385" t="str">
            <v>Repairs &amp; Maintenance Equipment Rental</v>
          </cell>
          <cell r="H5385">
            <v>0</v>
          </cell>
          <cell r="I5385">
            <v>0</v>
          </cell>
          <cell r="J5385">
            <v>0</v>
          </cell>
          <cell r="K5385">
            <v>0</v>
          </cell>
          <cell r="L5385">
            <v>0</v>
          </cell>
          <cell r="M5385">
            <v>0</v>
          </cell>
          <cell r="N5385">
            <v>0</v>
          </cell>
          <cell r="O5385" t="str">
            <v>+++</v>
          </cell>
        </row>
        <row r="5386">
          <cell r="A5386" t="str">
            <v>420.40.55.060-6400.05</v>
          </cell>
          <cell r="B5386" t="str">
            <v>420</v>
          </cell>
          <cell r="C5386" t="str">
            <v>40</v>
          </cell>
          <cell r="D5386" t="str">
            <v>55</v>
          </cell>
          <cell r="E5386" t="str">
            <v>060</v>
          </cell>
          <cell r="F5386" t="str">
            <v>6400.05</v>
          </cell>
          <cell r="G5386" t="str">
            <v>Repairs &amp; Maintenance Vehicle</v>
          </cell>
          <cell r="H5386">
            <v>0</v>
          </cell>
          <cell r="I5386">
            <v>0</v>
          </cell>
          <cell r="J5386">
            <v>0</v>
          </cell>
          <cell r="K5386">
            <v>0</v>
          </cell>
          <cell r="L5386">
            <v>0</v>
          </cell>
          <cell r="M5386">
            <v>0</v>
          </cell>
          <cell r="N5386">
            <v>0</v>
          </cell>
          <cell r="O5386" t="str">
            <v>+++</v>
          </cell>
        </row>
        <row r="5387">
          <cell r="A5387" t="str">
            <v>420.40.55.060-6400.07</v>
          </cell>
          <cell r="B5387" t="str">
            <v>420</v>
          </cell>
          <cell r="C5387" t="str">
            <v>40</v>
          </cell>
          <cell r="D5387" t="str">
            <v>55</v>
          </cell>
          <cell r="E5387" t="str">
            <v>060</v>
          </cell>
          <cell r="F5387" t="str">
            <v>6400.07</v>
          </cell>
          <cell r="G5387" t="str">
            <v>Repairs &amp; Maintenance Radio Communication</v>
          </cell>
          <cell r="H5387">
            <v>0</v>
          </cell>
          <cell r="I5387">
            <v>0</v>
          </cell>
          <cell r="J5387">
            <v>0</v>
          </cell>
          <cell r="K5387">
            <v>0</v>
          </cell>
          <cell r="L5387">
            <v>0</v>
          </cell>
          <cell r="M5387">
            <v>0</v>
          </cell>
          <cell r="N5387">
            <v>0</v>
          </cell>
          <cell r="O5387" t="str">
            <v>+++</v>
          </cell>
        </row>
        <row r="5388">
          <cell r="A5388" t="str">
            <v>420.40.55.060-6400.09</v>
          </cell>
          <cell r="B5388" t="str">
            <v>420</v>
          </cell>
          <cell r="C5388" t="str">
            <v>40</v>
          </cell>
          <cell r="D5388" t="str">
            <v>55</v>
          </cell>
          <cell r="E5388" t="str">
            <v>060</v>
          </cell>
          <cell r="F5388" t="str">
            <v>6400.09</v>
          </cell>
          <cell r="G5388" t="str">
            <v>Repairs &amp; Maintenance Well</v>
          </cell>
          <cell r="H5388">
            <v>0</v>
          </cell>
          <cell r="I5388">
            <v>0</v>
          </cell>
          <cell r="J5388">
            <v>0</v>
          </cell>
          <cell r="K5388">
            <v>0</v>
          </cell>
          <cell r="L5388">
            <v>0</v>
          </cell>
          <cell r="M5388">
            <v>0</v>
          </cell>
          <cell r="N5388">
            <v>0</v>
          </cell>
          <cell r="O5388" t="str">
            <v>+++</v>
          </cell>
        </row>
        <row r="5389">
          <cell r="A5389" t="str">
            <v>420.40.55.060-6400.10</v>
          </cell>
          <cell r="B5389" t="str">
            <v>420</v>
          </cell>
          <cell r="C5389" t="str">
            <v>40</v>
          </cell>
          <cell r="D5389" t="str">
            <v>55</v>
          </cell>
          <cell r="E5389" t="str">
            <v>060</v>
          </cell>
          <cell r="F5389" t="str">
            <v>6400.10</v>
          </cell>
          <cell r="G5389" t="str">
            <v>Repairs &amp; Maintenance Pavement</v>
          </cell>
          <cell r="H5389">
            <v>0</v>
          </cell>
          <cell r="I5389">
            <v>0</v>
          </cell>
          <cell r="J5389">
            <v>0</v>
          </cell>
          <cell r="K5389">
            <v>0</v>
          </cell>
          <cell r="L5389">
            <v>0</v>
          </cell>
          <cell r="M5389">
            <v>0</v>
          </cell>
          <cell r="N5389">
            <v>0</v>
          </cell>
          <cell r="O5389" t="str">
            <v>+++</v>
          </cell>
        </row>
        <row r="5390">
          <cell r="A5390" t="str">
            <v>420.40.55.060-6400.12</v>
          </cell>
          <cell r="B5390" t="str">
            <v>420</v>
          </cell>
          <cell r="C5390" t="str">
            <v>40</v>
          </cell>
          <cell r="D5390" t="str">
            <v>55</v>
          </cell>
          <cell r="E5390" t="str">
            <v>060</v>
          </cell>
          <cell r="F5390" t="str">
            <v>6400.12</v>
          </cell>
          <cell r="G5390" t="str">
            <v>Repairs &amp; Maintenance Pump</v>
          </cell>
          <cell r="H5390">
            <v>0</v>
          </cell>
          <cell r="I5390">
            <v>0</v>
          </cell>
          <cell r="J5390">
            <v>0</v>
          </cell>
          <cell r="K5390">
            <v>0</v>
          </cell>
          <cell r="L5390">
            <v>0</v>
          </cell>
          <cell r="M5390">
            <v>0</v>
          </cell>
          <cell r="N5390">
            <v>0</v>
          </cell>
          <cell r="O5390" t="str">
            <v>+++</v>
          </cell>
        </row>
        <row r="5391">
          <cell r="A5391" t="str">
            <v>420.40.55.060-6400.13</v>
          </cell>
          <cell r="B5391" t="str">
            <v>420</v>
          </cell>
          <cell r="C5391" t="str">
            <v>40</v>
          </cell>
          <cell r="D5391" t="str">
            <v>55</v>
          </cell>
          <cell r="E5391" t="str">
            <v>060</v>
          </cell>
          <cell r="F5391" t="str">
            <v>6400.13</v>
          </cell>
          <cell r="G5391" t="str">
            <v>Repairs &amp; Maintenance Storm Drain</v>
          </cell>
          <cell r="H5391">
            <v>0</v>
          </cell>
          <cell r="I5391">
            <v>0</v>
          </cell>
          <cell r="J5391">
            <v>0</v>
          </cell>
          <cell r="K5391">
            <v>0</v>
          </cell>
          <cell r="L5391">
            <v>0</v>
          </cell>
          <cell r="M5391">
            <v>0</v>
          </cell>
          <cell r="N5391">
            <v>0</v>
          </cell>
          <cell r="O5391" t="str">
            <v>+++</v>
          </cell>
        </row>
        <row r="5392">
          <cell r="A5392" t="str">
            <v>420.40.55.060-6400.19</v>
          </cell>
          <cell r="B5392" t="str">
            <v>420</v>
          </cell>
          <cell r="C5392" t="str">
            <v>40</v>
          </cell>
          <cell r="D5392" t="str">
            <v>55</v>
          </cell>
          <cell r="E5392" t="str">
            <v>060</v>
          </cell>
          <cell r="F5392" t="str">
            <v>6400.19</v>
          </cell>
          <cell r="G5392" t="str">
            <v>Repairs &amp; Maintenance Testing/Certifications</v>
          </cell>
          <cell r="H5392">
            <v>0</v>
          </cell>
          <cell r="I5392">
            <v>0</v>
          </cell>
          <cell r="J5392">
            <v>0</v>
          </cell>
          <cell r="K5392">
            <v>0</v>
          </cell>
          <cell r="L5392">
            <v>0</v>
          </cell>
          <cell r="M5392">
            <v>0</v>
          </cell>
          <cell r="N5392">
            <v>0</v>
          </cell>
          <cell r="O5392" t="str">
            <v>+++</v>
          </cell>
        </row>
        <row r="5393">
          <cell r="A5393" t="str">
            <v>420.40.55.060-6400.20</v>
          </cell>
          <cell r="B5393" t="str">
            <v>420</v>
          </cell>
          <cell r="C5393" t="str">
            <v>40</v>
          </cell>
          <cell r="D5393" t="str">
            <v>55</v>
          </cell>
          <cell r="E5393" t="str">
            <v>060</v>
          </cell>
          <cell r="F5393" t="str">
            <v>6400.20</v>
          </cell>
          <cell r="G5393" t="str">
            <v>Repairs &amp; Maintenance Property Maintenance</v>
          </cell>
          <cell r="H5393">
            <v>0</v>
          </cell>
          <cell r="I5393">
            <v>0</v>
          </cell>
          <cell r="J5393">
            <v>0</v>
          </cell>
          <cell r="K5393">
            <v>0</v>
          </cell>
          <cell r="L5393">
            <v>0</v>
          </cell>
          <cell r="M5393">
            <v>0</v>
          </cell>
          <cell r="N5393">
            <v>0</v>
          </cell>
          <cell r="O5393" t="str">
            <v>+++</v>
          </cell>
        </row>
        <row r="5394">
          <cell r="A5394" t="str">
            <v>420.40.55.060-6400.21</v>
          </cell>
          <cell r="B5394" t="str">
            <v>420</v>
          </cell>
          <cell r="C5394" t="str">
            <v>40</v>
          </cell>
          <cell r="D5394" t="str">
            <v>55</v>
          </cell>
          <cell r="E5394" t="str">
            <v>060</v>
          </cell>
          <cell r="F5394" t="str">
            <v>6400.21</v>
          </cell>
          <cell r="G5394" t="str">
            <v>Repairs &amp; Maintenance Soundwall/Barriers</v>
          </cell>
          <cell r="H5394">
            <v>0</v>
          </cell>
          <cell r="I5394">
            <v>0</v>
          </cell>
          <cell r="J5394">
            <v>0</v>
          </cell>
          <cell r="K5394">
            <v>0</v>
          </cell>
          <cell r="L5394">
            <v>0</v>
          </cell>
          <cell r="M5394">
            <v>0</v>
          </cell>
          <cell r="N5394">
            <v>0</v>
          </cell>
          <cell r="O5394" t="str">
            <v>+++</v>
          </cell>
        </row>
        <row r="5395">
          <cell r="A5395" t="str">
            <v>420.40.55.060-6400.22</v>
          </cell>
          <cell r="B5395" t="str">
            <v>420</v>
          </cell>
          <cell r="C5395" t="str">
            <v>40</v>
          </cell>
          <cell r="D5395" t="str">
            <v>55</v>
          </cell>
          <cell r="E5395" t="str">
            <v>060</v>
          </cell>
          <cell r="F5395" t="str">
            <v>6400.22</v>
          </cell>
          <cell r="G5395" t="str">
            <v>Repairs &amp; Maintenance Curb Gutter Sidewalk</v>
          </cell>
          <cell r="H5395">
            <v>0</v>
          </cell>
          <cell r="I5395">
            <v>0</v>
          </cell>
          <cell r="J5395">
            <v>0</v>
          </cell>
          <cell r="K5395">
            <v>0</v>
          </cell>
          <cell r="L5395">
            <v>0</v>
          </cell>
          <cell r="M5395">
            <v>0</v>
          </cell>
          <cell r="N5395">
            <v>0</v>
          </cell>
          <cell r="O5395" t="str">
            <v>+++</v>
          </cell>
        </row>
        <row r="5396">
          <cell r="A5396" t="str">
            <v>420.40.55.060-6400.23</v>
          </cell>
          <cell r="B5396" t="str">
            <v>420</v>
          </cell>
          <cell r="C5396" t="str">
            <v>40</v>
          </cell>
          <cell r="D5396" t="str">
            <v>55</v>
          </cell>
          <cell r="E5396" t="str">
            <v>060</v>
          </cell>
          <cell r="F5396" t="str">
            <v>6400.23</v>
          </cell>
          <cell r="G5396" t="str">
            <v>Repairs &amp; Maintenance Bin Repair</v>
          </cell>
          <cell r="H5396">
            <v>0</v>
          </cell>
          <cell r="I5396">
            <v>0</v>
          </cell>
          <cell r="J5396">
            <v>0</v>
          </cell>
          <cell r="K5396">
            <v>0</v>
          </cell>
          <cell r="L5396">
            <v>0</v>
          </cell>
          <cell r="M5396">
            <v>0</v>
          </cell>
          <cell r="N5396">
            <v>0</v>
          </cell>
          <cell r="O5396" t="str">
            <v>+++</v>
          </cell>
        </row>
        <row r="5397">
          <cell r="A5397" t="str">
            <v>420.40.55.060-6410.02</v>
          </cell>
          <cell r="B5397" t="str">
            <v>420</v>
          </cell>
          <cell r="C5397" t="str">
            <v>40</v>
          </cell>
          <cell r="D5397" t="str">
            <v>55</v>
          </cell>
          <cell r="E5397" t="str">
            <v>060</v>
          </cell>
          <cell r="F5397" t="str">
            <v>6410.02</v>
          </cell>
          <cell r="G5397" t="str">
            <v>Repairs &amp; Maintenance-Transportation Slurry/Overlay</v>
          </cell>
          <cell r="H5397">
            <v>0</v>
          </cell>
          <cell r="I5397">
            <v>0</v>
          </cell>
          <cell r="J5397">
            <v>0</v>
          </cell>
          <cell r="K5397">
            <v>0</v>
          </cell>
          <cell r="L5397">
            <v>0</v>
          </cell>
          <cell r="M5397">
            <v>0</v>
          </cell>
          <cell r="N5397">
            <v>0</v>
          </cell>
          <cell r="O5397" t="str">
            <v>+++</v>
          </cell>
        </row>
        <row r="5398">
          <cell r="A5398" t="str">
            <v>420.40.55.060-6500.04</v>
          </cell>
          <cell r="B5398" t="str">
            <v>420</v>
          </cell>
          <cell r="C5398" t="str">
            <v>40</v>
          </cell>
          <cell r="D5398" t="str">
            <v>55</v>
          </cell>
          <cell r="E5398" t="str">
            <v>060</v>
          </cell>
          <cell r="F5398" t="str">
            <v>6500.04</v>
          </cell>
          <cell r="G5398" t="str">
            <v>Claims &amp; Insurance Insurance Premiums</v>
          </cell>
          <cell r="H5398">
            <v>0</v>
          </cell>
          <cell r="I5398">
            <v>0</v>
          </cell>
          <cell r="J5398">
            <v>0</v>
          </cell>
          <cell r="K5398">
            <v>0</v>
          </cell>
          <cell r="L5398">
            <v>0</v>
          </cell>
          <cell r="M5398">
            <v>0</v>
          </cell>
          <cell r="N5398">
            <v>0</v>
          </cell>
          <cell r="O5398" t="str">
            <v>+++</v>
          </cell>
        </row>
        <row r="5399">
          <cell r="A5399" t="str">
            <v>420.40.55.060-6600.01</v>
          </cell>
          <cell r="B5399" t="str">
            <v>420</v>
          </cell>
          <cell r="C5399" t="str">
            <v>40</v>
          </cell>
          <cell r="D5399" t="str">
            <v>55</v>
          </cell>
          <cell r="E5399" t="str">
            <v>060</v>
          </cell>
          <cell r="F5399" t="str">
            <v>6600.01</v>
          </cell>
          <cell r="G5399" t="str">
            <v>Administrative Expenses Meetings</v>
          </cell>
          <cell r="H5399">
            <v>0</v>
          </cell>
          <cell r="I5399">
            <v>0</v>
          </cell>
          <cell r="J5399">
            <v>0</v>
          </cell>
          <cell r="K5399">
            <v>0</v>
          </cell>
          <cell r="L5399">
            <v>0</v>
          </cell>
          <cell r="M5399">
            <v>0</v>
          </cell>
          <cell r="N5399">
            <v>0</v>
          </cell>
          <cell r="O5399" t="str">
            <v>+++</v>
          </cell>
        </row>
        <row r="5400">
          <cell r="A5400" t="str">
            <v>420.40.55.060-6600.03</v>
          </cell>
          <cell r="B5400" t="str">
            <v>420</v>
          </cell>
          <cell r="C5400" t="str">
            <v>40</v>
          </cell>
          <cell r="D5400" t="str">
            <v>55</v>
          </cell>
          <cell r="E5400" t="str">
            <v>060</v>
          </cell>
          <cell r="F5400" t="str">
            <v>6600.03</v>
          </cell>
          <cell r="G5400" t="str">
            <v>Administrative Expenses Mileage Reimbursement</v>
          </cell>
          <cell r="H5400">
            <v>0</v>
          </cell>
          <cell r="I5400">
            <v>0</v>
          </cell>
          <cell r="J5400">
            <v>0</v>
          </cell>
          <cell r="K5400">
            <v>0</v>
          </cell>
          <cell r="L5400">
            <v>0</v>
          </cell>
          <cell r="M5400">
            <v>0</v>
          </cell>
          <cell r="N5400">
            <v>0</v>
          </cell>
          <cell r="O5400" t="str">
            <v>+++</v>
          </cell>
        </row>
        <row r="5401">
          <cell r="A5401" t="str">
            <v>420.40.55.060-6600.04</v>
          </cell>
          <cell r="B5401" t="str">
            <v>420</v>
          </cell>
          <cell r="C5401" t="str">
            <v>40</v>
          </cell>
          <cell r="D5401" t="str">
            <v>55</v>
          </cell>
          <cell r="E5401" t="str">
            <v>060</v>
          </cell>
          <cell r="F5401" t="str">
            <v>6600.04</v>
          </cell>
          <cell r="G5401" t="str">
            <v>Administrative Expenses Training/Conferences</v>
          </cell>
          <cell r="H5401">
            <v>0</v>
          </cell>
          <cell r="I5401">
            <v>0</v>
          </cell>
          <cell r="J5401">
            <v>0</v>
          </cell>
          <cell r="K5401">
            <v>0</v>
          </cell>
          <cell r="L5401">
            <v>0</v>
          </cell>
          <cell r="M5401">
            <v>0</v>
          </cell>
          <cell r="N5401">
            <v>0</v>
          </cell>
          <cell r="O5401" t="str">
            <v>+++</v>
          </cell>
        </row>
        <row r="5402">
          <cell r="A5402" t="str">
            <v>420.40.55.060-6600.05</v>
          </cell>
          <cell r="B5402" t="str">
            <v>420</v>
          </cell>
          <cell r="C5402" t="str">
            <v>40</v>
          </cell>
          <cell r="D5402" t="str">
            <v>55</v>
          </cell>
          <cell r="E5402" t="str">
            <v>060</v>
          </cell>
          <cell r="F5402" t="str">
            <v>6600.05</v>
          </cell>
          <cell r="G5402" t="str">
            <v>Administrative Expenses Public/Legal Advertisement</v>
          </cell>
          <cell r="H5402">
            <v>0</v>
          </cell>
          <cell r="I5402">
            <v>0</v>
          </cell>
          <cell r="J5402">
            <v>0</v>
          </cell>
          <cell r="K5402">
            <v>0</v>
          </cell>
          <cell r="L5402">
            <v>0</v>
          </cell>
          <cell r="M5402">
            <v>0</v>
          </cell>
          <cell r="N5402">
            <v>0</v>
          </cell>
          <cell r="O5402" t="str">
            <v>+++</v>
          </cell>
        </row>
        <row r="5403">
          <cell r="A5403" t="str">
            <v>420.40.55.060-6600.06</v>
          </cell>
          <cell r="B5403" t="str">
            <v>420</v>
          </cell>
          <cell r="C5403" t="str">
            <v>40</v>
          </cell>
          <cell r="D5403" t="str">
            <v>55</v>
          </cell>
          <cell r="E5403" t="str">
            <v>060</v>
          </cell>
          <cell r="F5403" t="str">
            <v>6600.06</v>
          </cell>
          <cell r="G5403" t="str">
            <v>Administrative Expenses Property/Building Rental</v>
          </cell>
          <cell r="H5403">
            <v>0</v>
          </cell>
          <cell r="I5403">
            <v>0</v>
          </cell>
          <cell r="J5403">
            <v>0</v>
          </cell>
          <cell r="K5403">
            <v>0</v>
          </cell>
          <cell r="L5403">
            <v>0</v>
          </cell>
          <cell r="M5403">
            <v>0</v>
          </cell>
          <cell r="N5403">
            <v>0</v>
          </cell>
          <cell r="O5403" t="str">
            <v>+++</v>
          </cell>
        </row>
        <row r="5404">
          <cell r="A5404" t="str">
            <v>420.40.55.060-6600.07</v>
          </cell>
          <cell r="B5404" t="str">
            <v>420</v>
          </cell>
          <cell r="C5404" t="str">
            <v>40</v>
          </cell>
          <cell r="D5404" t="str">
            <v>55</v>
          </cell>
          <cell r="E5404" t="str">
            <v>060</v>
          </cell>
          <cell r="F5404" t="str">
            <v>6600.07</v>
          </cell>
          <cell r="G5404" t="str">
            <v>Administrative Expenses Employee Recruitment</v>
          </cell>
          <cell r="H5404">
            <v>0</v>
          </cell>
          <cell r="I5404">
            <v>0</v>
          </cell>
          <cell r="J5404">
            <v>0</v>
          </cell>
          <cell r="K5404">
            <v>0</v>
          </cell>
          <cell r="L5404">
            <v>0</v>
          </cell>
          <cell r="M5404">
            <v>0</v>
          </cell>
          <cell r="N5404">
            <v>0</v>
          </cell>
          <cell r="O5404" t="str">
            <v>+++</v>
          </cell>
        </row>
        <row r="5405">
          <cell r="A5405" t="str">
            <v>420.40.55.060-6600.16</v>
          </cell>
          <cell r="B5405" t="str">
            <v>420</v>
          </cell>
          <cell r="C5405" t="str">
            <v>40</v>
          </cell>
          <cell r="D5405" t="str">
            <v>55</v>
          </cell>
          <cell r="E5405" t="str">
            <v>060</v>
          </cell>
          <cell r="F5405" t="str">
            <v>6600.16</v>
          </cell>
          <cell r="G5405" t="str">
            <v>Administrative Expenses Property Tax Assessments</v>
          </cell>
          <cell r="H5405">
            <v>0</v>
          </cell>
          <cell r="I5405">
            <v>0</v>
          </cell>
          <cell r="J5405">
            <v>0</v>
          </cell>
          <cell r="K5405">
            <v>0</v>
          </cell>
          <cell r="L5405">
            <v>0</v>
          </cell>
          <cell r="M5405">
            <v>0</v>
          </cell>
          <cell r="N5405">
            <v>0</v>
          </cell>
          <cell r="O5405" t="str">
            <v>+++</v>
          </cell>
        </row>
        <row r="5406">
          <cell r="A5406" t="str">
            <v>420.40.55.060-6600.23</v>
          </cell>
          <cell r="B5406" t="str">
            <v>420</v>
          </cell>
          <cell r="C5406" t="str">
            <v>40</v>
          </cell>
          <cell r="D5406" t="str">
            <v>55</v>
          </cell>
          <cell r="E5406" t="str">
            <v>060</v>
          </cell>
          <cell r="F5406" t="str">
            <v>6600.23</v>
          </cell>
          <cell r="G5406" t="str">
            <v>Administrative Expenses Public Education</v>
          </cell>
          <cell r="H5406">
            <v>0</v>
          </cell>
          <cell r="I5406">
            <v>0</v>
          </cell>
          <cell r="J5406">
            <v>0</v>
          </cell>
          <cell r="K5406">
            <v>0</v>
          </cell>
          <cell r="L5406">
            <v>0</v>
          </cell>
          <cell r="M5406">
            <v>0</v>
          </cell>
          <cell r="N5406">
            <v>0</v>
          </cell>
          <cell r="O5406" t="str">
            <v>+++</v>
          </cell>
        </row>
        <row r="5407">
          <cell r="A5407" t="str">
            <v>420.40.55.060-6600.25</v>
          </cell>
          <cell r="B5407" t="str">
            <v>420</v>
          </cell>
          <cell r="C5407" t="str">
            <v>40</v>
          </cell>
          <cell r="D5407" t="str">
            <v>55</v>
          </cell>
          <cell r="E5407" t="str">
            <v>060</v>
          </cell>
          <cell r="F5407" t="str">
            <v>6600.25</v>
          </cell>
          <cell r="G5407" t="str">
            <v>Administrative Expenses Support Services-Indirect Labor</v>
          </cell>
          <cell r="H5407">
            <v>0</v>
          </cell>
          <cell r="I5407">
            <v>0</v>
          </cell>
          <cell r="J5407">
            <v>0</v>
          </cell>
          <cell r="K5407">
            <v>0</v>
          </cell>
          <cell r="L5407">
            <v>0</v>
          </cell>
          <cell r="M5407">
            <v>0</v>
          </cell>
          <cell r="N5407">
            <v>0</v>
          </cell>
          <cell r="O5407" t="str">
            <v>+++</v>
          </cell>
        </row>
        <row r="5408">
          <cell r="A5408" t="str">
            <v>420.40.55.060-6600.26</v>
          </cell>
          <cell r="B5408" t="str">
            <v>420</v>
          </cell>
          <cell r="C5408" t="str">
            <v>40</v>
          </cell>
          <cell r="D5408" t="str">
            <v>55</v>
          </cell>
          <cell r="E5408" t="str">
            <v>060</v>
          </cell>
          <cell r="F5408" t="str">
            <v>6600.26</v>
          </cell>
          <cell r="G5408" t="str">
            <v>Administrative Expenses Support Services-IT</v>
          </cell>
          <cell r="H5408">
            <v>0</v>
          </cell>
          <cell r="I5408">
            <v>0</v>
          </cell>
          <cell r="J5408">
            <v>0</v>
          </cell>
          <cell r="K5408">
            <v>0</v>
          </cell>
          <cell r="L5408">
            <v>0</v>
          </cell>
          <cell r="M5408">
            <v>0</v>
          </cell>
          <cell r="N5408">
            <v>0</v>
          </cell>
          <cell r="O5408" t="str">
            <v>+++</v>
          </cell>
        </row>
        <row r="5409">
          <cell r="A5409" t="str">
            <v>420.40.55.060-6600.32</v>
          </cell>
          <cell r="B5409" t="str">
            <v>420</v>
          </cell>
          <cell r="C5409" t="str">
            <v>40</v>
          </cell>
          <cell r="D5409" t="str">
            <v>55</v>
          </cell>
          <cell r="E5409" t="str">
            <v>060</v>
          </cell>
          <cell r="F5409" t="str">
            <v>6600.32</v>
          </cell>
          <cell r="G5409" t="str">
            <v>Administrative Expenses Vehicle Fund Contribution</v>
          </cell>
          <cell r="H5409">
            <v>0</v>
          </cell>
          <cell r="I5409">
            <v>0</v>
          </cell>
          <cell r="J5409">
            <v>0</v>
          </cell>
          <cell r="K5409">
            <v>0</v>
          </cell>
          <cell r="L5409">
            <v>0</v>
          </cell>
          <cell r="M5409">
            <v>0</v>
          </cell>
          <cell r="N5409">
            <v>0</v>
          </cell>
          <cell r="O5409" t="str">
            <v>+++</v>
          </cell>
        </row>
        <row r="5410">
          <cell r="A5410" t="str">
            <v>420.40.55.060-6600.36</v>
          </cell>
          <cell r="B5410" t="str">
            <v>420</v>
          </cell>
          <cell r="C5410" t="str">
            <v>40</v>
          </cell>
          <cell r="D5410" t="str">
            <v>55</v>
          </cell>
          <cell r="E5410" t="str">
            <v>060</v>
          </cell>
          <cell r="F5410" t="str">
            <v>6600.36</v>
          </cell>
          <cell r="G5410" t="str">
            <v>Administrative Expenses IT Fund Contribution</v>
          </cell>
          <cell r="H5410">
            <v>0</v>
          </cell>
          <cell r="I5410">
            <v>0</v>
          </cell>
          <cell r="J5410">
            <v>0</v>
          </cell>
          <cell r="K5410">
            <v>0</v>
          </cell>
          <cell r="L5410">
            <v>0</v>
          </cell>
          <cell r="M5410">
            <v>0</v>
          </cell>
          <cell r="N5410">
            <v>0</v>
          </cell>
          <cell r="O5410" t="str">
            <v>+++</v>
          </cell>
        </row>
        <row r="5411">
          <cell r="A5411" t="str">
            <v>420.40.55.060-6600.41</v>
          </cell>
          <cell r="B5411" t="str">
            <v>420</v>
          </cell>
          <cell r="C5411" t="str">
            <v>40</v>
          </cell>
          <cell r="D5411" t="str">
            <v>55</v>
          </cell>
          <cell r="E5411" t="str">
            <v>060</v>
          </cell>
          <cell r="F5411" t="str">
            <v>6600.41</v>
          </cell>
          <cell r="G5411" t="str">
            <v>Administrative Expenses Community Clean-up</v>
          </cell>
          <cell r="H5411">
            <v>0</v>
          </cell>
          <cell r="I5411">
            <v>0</v>
          </cell>
          <cell r="J5411">
            <v>0</v>
          </cell>
          <cell r="K5411">
            <v>0</v>
          </cell>
          <cell r="L5411">
            <v>0</v>
          </cell>
          <cell r="M5411">
            <v>0</v>
          </cell>
          <cell r="N5411">
            <v>0</v>
          </cell>
          <cell r="O5411" t="str">
            <v>+++</v>
          </cell>
        </row>
        <row r="5412">
          <cell r="A5412" t="str">
            <v>420.40.55.060-7000.02</v>
          </cell>
          <cell r="B5412" t="str">
            <v>420</v>
          </cell>
          <cell r="C5412" t="str">
            <v>40</v>
          </cell>
          <cell r="D5412" t="str">
            <v>55</v>
          </cell>
          <cell r="E5412" t="str">
            <v>060</v>
          </cell>
          <cell r="F5412" t="str">
            <v>7000.02</v>
          </cell>
          <cell r="G5412" t="str">
            <v>Capital Outlay Vehicles-Major</v>
          </cell>
          <cell r="H5412">
            <v>0</v>
          </cell>
          <cell r="I5412">
            <v>0</v>
          </cell>
          <cell r="J5412">
            <v>0</v>
          </cell>
          <cell r="K5412">
            <v>0</v>
          </cell>
          <cell r="L5412">
            <v>0</v>
          </cell>
          <cell r="M5412">
            <v>0</v>
          </cell>
          <cell r="N5412">
            <v>0</v>
          </cell>
          <cell r="O5412" t="str">
            <v>+++</v>
          </cell>
        </row>
        <row r="5413">
          <cell r="A5413" t="str">
            <v>420.40.55.060-7000.03</v>
          </cell>
          <cell r="B5413" t="str">
            <v>420</v>
          </cell>
          <cell r="C5413" t="str">
            <v>40</v>
          </cell>
          <cell r="D5413" t="str">
            <v>55</v>
          </cell>
          <cell r="E5413" t="str">
            <v>060</v>
          </cell>
          <cell r="F5413" t="str">
            <v>7000.03</v>
          </cell>
          <cell r="G5413" t="str">
            <v>Capital Outlay Operations Equip-Minor</v>
          </cell>
          <cell r="H5413">
            <v>0</v>
          </cell>
          <cell r="I5413">
            <v>0</v>
          </cell>
          <cell r="J5413">
            <v>0</v>
          </cell>
          <cell r="K5413">
            <v>0</v>
          </cell>
          <cell r="L5413">
            <v>0</v>
          </cell>
          <cell r="M5413">
            <v>0</v>
          </cell>
          <cell r="N5413">
            <v>0</v>
          </cell>
          <cell r="O5413" t="str">
            <v>+++</v>
          </cell>
        </row>
        <row r="5414">
          <cell r="A5414" t="str">
            <v>420.40.55.060-7000.99</v>
          </cell>
          <cell r="B5414" t="str">
            <v>420</v>
          </cell>
          <cell r="C5414" t="str">
            <v>40</v>
          </cell>
          <cell r="D5414" t="str">
            <v>55</v>
          </cell>
          <cell r="E5414" t="str">
            <v>060</v>
          </cell>
          <cell r="F5414" t="str">
            <v>7000.99</v>
          </cell>
          <cell r="G5414" t="str">
            <v>Capital Outlay General</v>
          </cell>
          <cell r="H5414">
            <v>0</v>
          </cell>
          <cell r="I5414">
            <v>0</v>
          </cell>
          <cell r="J5414">
            <v>0</v>
          </cell>
          <cell r="K5414">
            <v>0</v>
          </cell>
          <cell r="L5414">
            <v>0</v>
          </cell>
          <cell r="M5414">
            <v>0</v>
          </cell>
          <cell r="N5414">
            <v>0</v>
          </cell>
          <cell r="O5414" t="str">
            <v>+++</v>
          </cell>
        </row>
        <row r="5415">
          <cell r="A5415" t="str">
            <v>420.40.55.570-5000.01</v>
          </cell>
          <cell r="B5415" t="str">
            <v>420</v>
          </cell>
          <cell r="C5415" t="str">
            <v>40</v>
          </cell>
          <cell r="D5415" t="str">
            <v>55</v>
          </cell>
          <cell r="E5415" t="str">
            <v>570</v>
          </cell>
          <cell r="F5415" t="str">
            <v>5000.01</v>
          </cell>
          <cell r="G5415" t="str">
            <v>Salaries Regular</v>
          </cell>
          <cell r="H5415">
            <v>0</v>
          </cell>
          <cell r="I5415">
            <v>0</v>
          </cell>
          <cell r="J5415">
            <v>0</v>
          </cell>
          <cell r="K5415">
            <v>0</v>
          </cell>
          <cell r="L5415">
            <v>0</v>
          </cell>
          <cell r="M5415">
            <v>0</v>
          </cell>
          <cell r="N5415">
            <v>0</v>
          </cell>
          <cell r="O5415" t="str">
            <v>+++</v>
          </cell>
        </row>
        <row r="5416">
          <cell r="A5416" t="str">
            <v>420.40.55.570-5000.02</v>
          </cell>
          <cell r="B5416" t="str">
            <v>420</v>
          </cell>
          <cell r="C5416" t="str">
            <v>40</v>
          </cell>
          <cell r="D5416" t="str">
            <v>55</v>
          </cell>
          <cell r="E5416" t="str">
            <v>570</v>
          </cell>
          <cell r="F5416" t="str">
            <v>5000.02</v>
          </cell>
          <cell r="G5416" t="str">
            <v>Salaries Part Time</v>
          </cell>
          <cell r="H5416">
            <v>0</v>
          </cell>
          <cell r="I5416">
            <v>0</v>
          </cell>
          <cell r="J5416">
            <v>0</v>
          </cell>
          <cell r="K5416">
            <v>0</v>
          </cell>
          <cell r="L5416">
            <v>0</v>
          </cell>
          <cell r="M5416">
            <v>0</v>
          </cell>
          <cell r="N5416">
            <v>0</v>
          </cell>
          <cell r="O5416" t="str">
            <v>+++</v>
          </cell>
        </row>
        <row r="5417">
          <cell r="A5417" t="str">
            <v>420.40.55.570-5000.03</v>
          </cell>
          <cell r="B5417" t="str">
            <v>420</v>
          </cell>
          <cell r="C5417" t="str">
            <v>40</v>
          </cell>
          <cell r="D5417" t="str">
            <v>55</v>
          </cell>
          <cell r="E5417" t="str">
            <v>570</v>
          </cell>
          <cell r="F5417" t="str">
            <v>5000.03</v>
          </cell>
          <cell r="G5417" t="str">
            <v>Salaries Overtime</v>
          </cell>
          <cell r="H5417">
            <v>0</v>
          </cell>
          <cell r="I5417">
            <v>0</v>
          </cell>
          <cell r="J5417">
            <v>0</v>
          </cell>
          <cell r="K5417">
            <v>0</v>
          </cell>
          <cell r="L5417">
            <v>0</v>
          </cell>
          <cell r="M5417">
            <v>0</v>
          </cell>
          <cell r="N5417">
            <v>0</v>
          </cell>
          <cell r="O5417" t="str">
            <v>+++</v>
          </cell>
        </row>
        <row r="5418">
          <cell r="A5418" t="str">
            <v>420.40.55.570-5000.04</v>
          </cell>
          <cell r="B5418" t="str">
            <v>420</v>
          </cell>
          <cell r="C5418" t="str">
            <v>40</v>
          </cell>
          <cell r="D5418" t="str">
            <v>55</v>
          </cell>
          <cell r="E5418" t="str">
            <v>570</v>
          </cell>
          <cell r="F5418" t="str">
            <v>5000.04</v>
          </cell>
          <cell r="G5418" t="str">
            <v>Salaries Holiday Pay</v>
          </cell>
          <cell r="H5418">
            <v>0</v>
          </cell>
          <cell r="I5418">
            <v>0</v>
          </cell>
          <cell r="J5418">
            <v>0</v>
          </cell>
          <cell r="K5418">
            <v>0</v>
          </cell>
          <cell r="L5418">
            <v>0</v>
          </cell>
          <cell r="M5418">
            <v>0</v>
          </cell>
          <cell r="N5418">
            <v>0</v>
          </cell>
          <cell r="O5418" t="str">
            <v>+++</v>
          </cell>
        </row>
        <row r="5419">
          <cell r="A5419" t="str">
            <v>420.40.55.570-5000.06</v>
          </cell>
          <cell r="B5419" t="str">
            <v>420</v>
          </cell>
          <cell r="C5419" t="str">
            <v>40</v>
          </cell>
          <cell r="D5419" t="str">
            <v>55</v>
          </cell>
          <cell r="E5419" t="str">
            <v>570</v>
          </cell>
          <cell r="F5419" t="str">
            <v>5000.06</v>
          </cell>
          <cell r="G5419" t="str">
            <v>Salaries Out of Class</v>
          </cell>
          <cell r="H5419">
            <v>0</v>
          </cell>
          <cell r="I5419">
            <v>0</v>
          </cell>
          <cell r="J5419">
            <v>0</v>
          </cell>
          <cell r="K5419">
            <v>0</v>
          </cell>
          <cell r="L5419">
            <v>0</v>
          </cell>
          <cell r="M5419">
            <v>0</v>
          </cell>
          <cell r="N5419">
            <v>0</v>
          </cell>
          <cell r="O5419" t="str">
            <v>+++</v>
          </cell>
        </row>
        <row r="5420">
          <cell r="A5420" t="str">
            <v>420.40.55.570-5000.07</v>
          </cell>
          <cell r="B5420" t="str">
            <v>420</v>
          </cell>
          <cell r="C5420" t="str">
            <v>40</v>
          </cell>
          <cell r="D5420" t="str">
            <v>55</v>
          </cell>
          <cell r="E5420" t="str">
            <v>570</v>
          </cell>
          <cell r="F5420" t="str">
            <v>5000.07</v>
          </cell>
          <cell r="G5420" t="str">
            <v>Salaries Admin Leave Pay</v>
          </cell>
          <cell r="H5420">
            <v>0</v>
          </cell>
          <cell r="I5420">
            <v>0</v>
          </cell>
          <cell r="J5420">
            <v>0</v>
          </cell>
          <cell r="K5420">
            <v>0</v>
          </cell>
          <cell r="L5420">
            <v>0</v>
          </cell>
          <cell r="M5420">
            <v>0</v>
          </cell>
          <cell r="N5420">
            <v>0</v>
          </cell>
          <cell r="O5420" t="str">
            <v>+++</v>
          </cell>
        </row>
        <row r="5421">
          <cell r="A5421" t="str">
            <v>420.40.55.570-5000.08</v>
          </cell>
          <cell r="B5421" t="str">
            <v>420</v>
          </cell>
          <cell r="C5421" t="str">
            <v>40</v>
          </cell>
          <cell r="D5421" t="str">
            <v>55</v>
          </cell>
          <cell r="E5421" t="str">
            <v>570</v>
          </cell>
          <cell r="F5421" t="str">
            <v>5000.08</v>
          </cell>
          <cell r="G5421" t="str">
            <v>Salaries Longevity Pay</v>
          </cell>
          <cell r="H5421">
            <v>0</v>
          </cell>
          <cell r="I5421">
            <v>0</v>
          </cell>
          <cell r="J5421">
            <v>0</v>
          </cell>
          <cell r="K5421">
            <v>0</v>
          </cell>
          <cell r="L5421">
            <v>0</v>
          </cell>
          <cell r="M5421">
            <v>0</v>
          </cell>
          <cell r="N5421">
            <v>0</v>
          </cell>
          <cell r="O5421" t="str">
            <v>+++</v>
          </cell>
        </row>
        <row r="5422">
          <cell r="A5422" t="str">
            <v>420.40.55.570-5000.11</v>
          </cell>
          <cell r="B5422" t="str">
            <v>420</v>
          </cell>
          <cell r="C5422" t="str">
            <v>40</v>
          </cell>
          <cell r="D5422" t="str">
            <v>55</v>
          </cell>
          <cell r="E5422" t="str">
            <v>570</v>
          </cell>
          <cell r="F5422" t="str">
            <v>5000.11</v>
          </cell>
          <cell r="G5422" t="str">
            <v>Salaries Worker's Comp</v>
          </cell>
          <cell r="H5422">
            <v>0</v>
          </cell>
          <cell r="I5422">
            <v>0</v>
          </cell>
          <cell r="J5422">
            <v>0</v>
          </cell>
          <cell r="K5422">
            <v>0</v>
          </cell>
          <cell r="L5422">
            <v>0</v>
          </cell>
          <cell r="M5422">
            <v>0</v>
          </cell>
          <cell r="N5422">
            <v>0</v>
          </cell>
          <cell r="O5422" t="str">
            <v>+++</v>
          </cell>
        </row>
        <row r="5423">
          <cell r="A5423" t="str">
            <v>420.40.55.570-5000.99</v>
          </cell>
          <cell r="B5423" t="str">
            <v>420</v>
          </cell>
          <cell r="C5423" t="str">
            <v>40</v>
          </cell>
          <cell r="D5423" t="str">
            <v>55</v>
          </cell>
          <cell r="E5423" t="str">
            <v>570</v>
          </cell>
          <cell r="F5423" t="str">
            <v>5000.99</v>
          </cell>
          <cell r="G5423" t="str">
            <v>Salaries New Personnel Requests</v>
          </cell>
          <cell r="H5423">
            <v>0</v>
          </cell>
          <cell r="I5423">
            <v>0</v>
          </cell>
          <cell r="J5423">
            <v>0</v>
          </cell>
          <cell r="K5423">
            <v>0</v>
          </cell>
          <cell r="L5423">
            <v>0</v>
          </cell>
          <cell r="M5423">
            <v>0</v>
          </cell>
          <cell r="N5423">
            <v>0</v>
          </cell>
          <cell r="O5423" t="str">
            <v>+++</v>
          </cell>
        </row>
        <row r="5424">
          <cell r="A5424" t="str">
            <v>420.40.55.570-5100.00</v>
          </cell>
          <cell r="B5424" t="str">
            <v>420</v>
          </cell>
          <cell r="C5424" t="str">
            <v>40</v>
          </cell>
          <cell r="D5424" t="str">
            <v>55</v>
          </cell>
          <cell r="E5424" t="str">
            <v>570</v>
          </cell>
          <cell r="F5424" t="str">
            <v>5100.00</v>
          </cell>
          <cell r="G5424" t="str">
            <v>Benefits PERS Pool Liability</v>
          </cell>
          <cell r="H5424">
            <v>0</v>
          </cell>
          <cell r="I5424">
            <v>0</v>
          </cell>
          <cell r="J5424">
            <v>0</v>
          </cell>
          <cell r="K5424">
            <v>0</v>
          </cell>
          <cell r="L5424">
            <v>0</v>
          </cell>
          <cell r="M5424">
            <v>0</v>
          </cell>
          <cell r="N5424">
            <v>0</v>
          </cell>
          <cell r="O5424" t="str">
            <v>+++</v>
          </cell>
        </row>
        <row r="5425">
          <cell r="A5425" t="str">
            <v>420.40.55.570-5100.01</v>
          </cell>
          <cell r="B5425" t="str">
            <v>420</v>
          </cell>
          <cell r="C5425" t="str">
            <v>40</v>
          </cell>
          <cell r="D5425" t="str">
            <v>55</v>
          </cell>
          <cell r="E5425" t="str">
            <v>570</v>
          </cell>
          <cell r="F5425" t="str">
            <v>5100.01</v>
          </cell>
          <cell r="G5425" t="str">
            <v>Benefits Retirement</v>
          </cell>
          <cell r="H5425">
            <v>0</v>
          </cell>
          <cell r="I5425">
            <v>0</v>
          </cell>
          <cell r="J5425">
            <v>0</v>
          </cell>
          <cell r="K5425">
            <v>0</v>
          </cell>
          <cell r="L5425">
            <v>0</v>
          </cell>
          <cell r="M5425">
            <v>0</v>
          </cell>
          <cell r="N5425">
            <v>0</v>
          </cell>
          <cell r="O5425" t="str">
            <v>+++</v>
          </cell>
        </row>
        <row r="5426">
          <cell r="A5426" t="str">
            <v>420.40.55.570-5100.02</v>
          </cell>
          <cell r="B5426" t="str">
            <v>420</v>
          </cell>
          <cell r="C5426" t="str">
            <v>40</v>
          </cell>
          <cell r="D5426" t="str">
            <v>55</v>
          </cell>
          <cell r="E5426" t="str">
            <v>570</v>
          </cell>
          <cell r="F5426" t="str">
            <v>5100.02</v>
          </cell>
          <cell r="G5426" t="str">
            <v>Benefits Health Insurance</v>
          </cell>
          <cell r="H5426">
            <v>0</v>
          </cell>
          <cell r="I5426">
            <v>0</v>
          </cell>
          <cell r="J5426">
            <v>0</v>
          </cell>
          <cell r="K5426">
            <v>0</v>
          </cell>
          <cell r="L5426">
            <v>0</v>
          </cell>
          <cell r="M5426">
            <v>0</v>
          </cell>
          <cell r="N5426">
            <v>0</v>
          </cell>
          <cell r="O5426" t="str">
            <v>+++</v>
          </cell>
        </row>
        <row r="5427">
          <cell r="A5427" t="str">
            <v>420.40.55.570-5100.03</v>
          </cell>
          <cell r="B5427" t="str">
            <v>420</v>
          </cell>
          <cell r="C5427" t="str">
            <v>40</v>
          </cell>
          <cell r="D5427" t="str">
            <v>55</v>
          </cell>
          <cell r="E5427" t="str">
            <v>570</v>
          </cell>
          <cell r="F5427" t="str">
            <v>5100.03</v>
          </cell>
          <cell r="G5427" t="str">
            <v>Benefits Dental Insurance</v>
          </cell>
          <cell r="H5427">
            <v>0</v>
          </cell>
          <cell r="I5427">
            <v>0</v>
          </cell>
          <cell r="J5427">
            <v>0</v>
          </cell>
          <cell r="K5427">
            <v>0</v>
          </cell>
          <cell r="L5427">
            <v>0</v>
          </cell>
          <cell r="M5427">
            <v>0</v>
          </cell>
          <cell r="N5427">
            <v>0</v>
          </cell>
          <cell r="O5427" t="str">
            <v>+++</v>
          </cell>
        </row>
        <row r="5428">
          <cell r="A5428" t="str">
            <v>420.40.55.570-5100.04</v>
          </cell>
          <cell r="B5428" t="str">
            <v>420</v>
          </cell>
          <cell r="C5428" t="str">
            <v>40</v>
          </cell>
          <cell r="D5428" t="str">
            <v>55</v>
          </cell>
          <cell r="E5428" t="str">
            <v>570</v>
          </cell>
          <cell r="F5428" t="str">
            <v>5100.04</v>
          </cell>
          <cell r="G5428" t="str">
            <v>Benefits Vision Insurance</v>
          </cell>
          <cell r="H5428">
            <v>0</v>
          </cell>
          <cell r="I5428">
            <v>0</v>
          </cell>
          <cell r="J5428">
            <v>0</v>
          </cell>
          <cell r="K5428">
            <v>0</v>
          </cell>
          <cell r="L5428">
            <v>0</v>
          </cell>
          <cell r="M5428">
            <v>0</v>
          </cell>
          <cell r="N5428">
            <v>0</v>
          </cell>
          <cell r="O5428" t="str">
            <v>+++</v>
          </cell>
        </row>
        <row r="5429">
          <cell r="A5429" t="str">
            <v>420.40.55.570-5100.05</v>
          </cell>
          <cell r="B5429" t="str">
            <v>420</v>
          </cell>
          <cell r="C5429" t="str">
            <v>40</v>
          </cell>
          <cell r="D5429" t="str">
            <v>55</v>
          </cell>
          <cell r="E5429" t="str">
            <v>570</v>
          </cell>
          <cell r="F5429" t="str">
            <v>5100.05</v>
          </cell>
          <cell r="G5429" t="str">
            <v>Benefits Life Insurance</v>
          </cell>
          <cell r="H5429">
            <v>0</v>
          </cell>
          <cell r="I5429">
            <v>0</v>
          </cell>
          <cell r="J5429">
            <v>0</v>
          </cell>
          <cell r="K5429">
            <v>0</v>
          </cell>
          <cell r="L5429">
            <v>0</v>
          </cell>
          <cell r="M5429">
            <v>0</v>
          </cell>
          <cell r="N5429">
            <v>0</v>
          </cell>
          <cell r="O5429" t="str">
            <v>+++</v>
          </cell>
        </row>
        <row r="5430">
          <cell r="A5430" t="str">
            <v>420.40.55.570-5100.06</v>
          </cell>
          <cell r="B5430" t="str">
            <v>420</v>
          </cell>
          <cell r="C5430" t="str">
            <v>40</v>
          </cell>
          <cell r="D5430" t="str">
            <v>55</v>
          </cell>
          <cell r="E5430" t="str">
            <v>570</v>
          </cell>
          <cell r="F5430" t="str">
            <v>5100.06</v>
          </cell>
          <cell r="G5430" t="str">
            <v>Benefits Worker's Comp</v>
          </cell>
          <cell r="H5430">
            <v>0</v>
          </cell>
          <cell r="I5430">
            <v>0</v>
          </cell>
          <cell r="J5430">
            <v>0</v>
          </cell>
          <cell r="K5430">
            <v>0</v>
          </cell>
          <cell r="L5430">
            <v>0</v>
          </cell>
          <cell r="M5430">
            <v>0</v>
          </cell>
          <cell r="N5430">
            <v>0</v>
          </cell>
          <cell r="O5430" t="str">
            <v>+++</v>
          </cell>
        </row>
        <row r="5431">
          <cell r="A5431" t="str">
            <v>420.40.55.570-5100.07</v>
          </cell>
          <cell r="B5431" t="str">
            <v>420</v>
          </cell>
          <cell r="C5431" t="str">
            <v>40</v>
          </cell>
          <cell r="D5431" t="str">
            <v>55</v>
          </cell>
          <cell r="E5431" t="str">
            <v>570</v>
          </cell>
          <cell r="F5431" t="str">
            <v>5100.07</v>
          </cell>
          <cell r="G5431" t="str">
            <v>Benefits Long Term Disability</v>
          </cell>
          <cell r="H5431">
            <v>0</v>
          </cell>
          <cell r="I5431">
            <v>0</v>
          </cell>
          <cell r="J5431">
            <v>0</v>
          </cell>
          <cell r="K5431">
            <v>0</v>
          </cell>
          <cell r="L5431">
            <v>0</v>
          </cell>
          <cell r="M5431">
            <v>0</v>
          </cell>
          <cell r="N5431">
            <v>0</v>
          </cell>
          <cell r="O5431" t="str">
            <v>+++</v>
          </cell>
        </row>
        <row r="5432">
          <cell r="A5432" t="str">
            <v>420.40.55.570-5100.08</v>
          </cell>
          <cell r="B5432" t="str">
            <v>420</v>
          </cell>
          <cell r="C5432" t="str">
            <v>40</v>
          </cell>
          <cell r="D5432" t="str">
            <v>55</v>
          </cell>
          <cell r="E5432" t="str">
            <v>570</v>
          </cell>
          <cell r="F5432" t="str">
            <v>5100.08</v>
          </cell>
          <cell r="G5432" t="str">
            <v>Benefits Deferred Compensation</v>
          </cell>
          <cell r="H5432">
            <v>0</v>
          </cell>
          <cell r="I5432">
            <v>0</v>
          </cell>
          <cell r="J5432">
            <v>0</v>
          </cell>
          <cell r="K5432">
            <v>0</v>
          </cell>
          <cell r="L5432">
            <v>0</v>
          </cell>
          <cell r="M5432">
            <v>0</v>
          </cell>
          <cell r="N5432">
            <v>0</v>
          </cell>
          <cell r="O5432" t="str">
            <v>+++</v>
          </cell>
        </row>
        <row r="5433">
          <cell r="A5433" t="str">
            <v>420.40.55.570-5100.09</v>
          </cell>
          <cell r="B5433" t="str">
            <v>420</v>
          </cell>
          <cell r="C5433" t="str">
            <v>40</v>
          </cell>
          <cell r="D5433" t="str">
            <v>55</v>
          </cell>
          <cell r="E5433" t="str">
            <v>570</v>
          </cell>
          <cell r="F5433" t="str">
            <v>5100.09</v>
          </cell>
          <cell r="G5433" t="str">
            <v>Benefits Unemployment Insurance</v>
          </cell>
          <cell r="H5433">
            <v>0</v>
          </cell>
          <cell r="I5433">
            <v>0</v>
          </cell>
          <cell r="J5433">
            <v>0</v>
          </cell>
          <cell r="K5433">
            <v>0</v>
          </cell>
          <cell r="L5433">
            <v>0</v>
          </cell>
          <cell r="M5433">
            <v>0</v>
          </cell>
          <cell r="N5433">
            <v>0</v>
          </cell>
          <cell r="O5433" t="str">
            <v>+++</v>
          </cell>
        </row>
        <row r="5434">
          <cell r="A5434" t="str">
            <v>420.40.55.570-5100.10</v>
          </cell>
          <cell r="B5434" t="str">
            <v>420</v>
          </cell>
          <cell r="C5434" t="str">
            <v>40</v>
          </cell>
          <cell r="D5434" t="str">
            <v>55</v>
          </cell>
          <cell r="E5434" t="str">
            <v>570</v>
          </cell>
          <cell r="F5434" t="str">
            <v>5100.10</v>
          </cell>
          <cell r="G5434" t="str">
            <v>Benefits Uniform Allowance</v>
          </cell>
          <cell r="H5434">
            <v>0</v>
          </cell>
          <cell r="I5434">
            <v>0</v>
          </cell>
          <cell r="J5434">
            <v>0</v>
          </cell>
          <cell r="K5434">
            <v>0</v>
          </cell>
          <cell r="L5434">
            <v>0</v>
          </cell>
          <cell r="M5434">
            <v>0</v>
          </cell>
          <cell r="N5434">
            <v>0</v>
          </cell>
          <cell r="O5434" t="str">
            <v>+++</v>
          </cell>
        </row>
        <row r="5435">
          <cell r="A5435" t="str">
            <v>420.40.55.570-5100.11</v>
          </cell>
          <cell r="B5435" t="str">
            <v>420</v>
          </cell>
          <cell r="C5435" t="str">
            <v>40</v>
          </cell>
          <cell r="D5435" t="str">
            <v>55</v>
          </cell>
          <cell r="E5435" t="str">
            <v>570</v>
          </cell>
          <cell r="F5435" t="str">
            <v>5100.11</v>
          </cell>
          <cell r="G5435" t="str">
            <v>Benefits Medicare</v>
          </cell>
          <cell r="H5435">
            <v>0</v>
          </cell>
          <cell r="I5435">
            <v>0</v>
          </cell>
          <cell r="J5435">
            <v>0</v>
          </cell>
          <cell r="K5435">
            <v>0</v>
          </cell>
          <cell r="L5435">
            <v>0</v>
          </cell>
          <cell r="M5435">
            <v>0</v>
          </cell>
          <cell r="N5435">
            <v>0</v>
          </cell>
          <cell r="O5435" t="str">
            <v>+++</v>
          </cell>
        </row>
        <row r="5436">
          <cell r="A5436" t="str">
            <v>420.40.55.570-5100.12</v>
          </cell>
          <cell r="B5436" t="str">
            <v>420</v>
          </cell>
          <cell r="C5436" t="str">
            <v>40</v>
          </cell>
          <cell r="D5436" t="str">
            <v>55</v>
          </cell>
          <cell r="E5436" t="str">
            <v>570</v>
          </cell>
          <cell r="F5436" t="str">
            <v>5100.12</v>
          </cell>
          <cell r="G5436" t="str">
            <v>Benefits Annual Physical Exam</v>
          </cell>
          <cell r="H5436">
            <v>0</v>
          </cell>
          <cell r="I5436">
            <v>0</v>
          </cell>
          <cell r="J5436">
            <v>0</v>
          </cell>
          <cell r="K5436">
            <v>0</v>
          </cell>
          <cell r="L5436">
            <v>0</v>
          </cell>
          <cell r="M5436">
            <v>0</v>
          </cell>
          <cell r="N5436">
            <v>0</v>
          </cell>
          <cell r="O5436" t="str">
            <v>+++</v>
          </cell>
        </row>
        <row r="5437">
          <cell r="A5437" t="str">
            <v>420.40.55.570-5100.15</v>
          </cell>
          <cell r="B5437" t="str">
            <v>420</v>
          </cell>
          <cell r="C5437" t="str">
            <v>40</v>
          </cell>
          <cell r="D5437" t="str">
            <v>55</v>
          </cell>
          <cell r="E5437" t="str">
            <v>570</v>
          </cell>
          <cell r="F5437" t="str">
            <v>5100.15</v>
          </cell>
          <cell r="G5437" t="str">
            <v>Benefits Cell Phone Allowance</v>
          </cell>
          <cell r="H5437">
            <v>0</v>
          </cell>
          <cell r="I5437">
            <v>0</v>
          </cell>
          <cell r="J5437">
            <v>0</v>
          </cell>
          <cell r="K5437">
            <v>0</v>
          </cell>
          <cell r="L5437">
            <v>0</v>
          </cell>
          <cell r="M5437">
            <v>0</v>
          </cell>
          <cell r="N5437">
            <v>0</v>
          </cell>
          <cell r="O5437" t="str">
            <v>+++</v>
          </cell>
        </row>
        <row r="5438">
          <cell r="A5438" t="str">
            <v>420.40.55.570-5100.17</v>
          </cell>
          <cell r="B5438" t="str">
            <v>420</v>
          </cell>
          <cell r="C5438" t="str">
            <v>40</v>
          </cell>
          <cell r="D5438" t="str">
            <v>55</v>
          </cell>
          <cell r="E5438" t="str">
            <v>570</v>
          </cell>
          <cell r="F5438" t="str">
            <v>5100.17</v>
          </cell>
          <cell r="G5438" t="str">
            <v>Benefits Other Post Employment Benefits</v>
          </cell>
          <cell r="H5438">
            <v>0</v>
          </cell>
          <cell r="I5438">
            <v>0</v>
          </cell>
          <cell r="J5438">
            <v>0</v>
          </cell>
          <cell r="K5438">
            <v>0</v>
          </cell>
          <cell r="L5438">
            <v>0</v>
          </cell>
          <cell r="M5438">
            <v>0</v>
          </cell>
          <cell r="N5438">
            <v>0</v>
          </cell>
          <cell r="O5438" t="str">
            <v>+++</v>
          </cell>
        </row>
        <row r="5439">
          <cell r="A5439" t="str">
            <v>420.40.55.570-6000.01</v>
          </cell>
          <cell r="B5439" t="str">
            <v>420</v>
          </cell>
          <cell r="C5439" t="str">
            <v>40</v>
          </cell>
          <cell r="D5439" t="str">
            <v>55</v>
          </cell>
          <cell r="E5439" t="str">
            <v>570</v>
          </cell>
          <cell r="F5439" t="str">
            <v>6000.01</v>
          </cell>
          <cell r="G5439" t="str">
            <v>Professional Services General</v>
          </cell>
          <cell r="H5439">
            <v>0</v>
          </cell>
          <cell r="I5439">
            <v>0</v>
          </cell>
          <cell r="J5439">
            <v>0</v>
          </cell>
          <cell r="K5439">
            <v>0</v>
          </cell>
          <cell r="L5439">
            <v>0</v>
          </cell>
          <cell r="M5439">
            <v>0</v>
          </cell>
          <cell r="N5439">
            <v>0</v>
          </cell>
          <cell r="O5439" t="str">
            <v>+++</v>
          </cell>
        </row>
        <row r="5440">
          <cell r="A5440" t="str">
            <v>420.40.55.570-6000.07</v>
          </cell>
          <cell r="B5440" t="str">
            <v>420</v>
          </cell>
          <cell r="C5440" t="str">
            <v>40</v>
          </cell>
          <cell r="D5440" t="str">
            <v>55</v>
          </cell>
          <cell r="E5440" t="str">
            <v>570</v>
          </cell>
          <cell r="F5440" t="str">
            <v>6000.07</v>
          </cell>
          <cell r="G5440" t="str">
            <v>Professional Services Weed Abatement</v>
          </cell>
          <cell r="H5440">
            <v>0</v>
          </cell>
          <cell r="I5440">
            <v>0</v>
          </cell>
          <cell r="J5440">
            <v>0</v>
          </cell>
          <cell r="K5440">
            <v>0</v>
          </cell>
          <cell r="L5440">
            <v>0</v>
          </cell>
          <cell r="M5440">
            <v>0</v>
          </cell>
          <cell r="N5440">
            <v>0</v>
          </cell>
          <cell r="O5440" t="str">
            <v>+++</v>
          </cell>
        </row>
        <row r="5441">
          <cell r="A5441" t="str">
            <v>420.40.55.570-6000.09</v>
          </cell>
          <cell r="B5441" t="str">
            <v>420</v>
          </cell>
          <cell r="C5441" t="str">
            <v>40</v>
          </cell>
          <cell r="D5441" t="str">
            <v>55</v>
          </cell>
          <cell r="E5441" t="str">
            <v>570</v>
          </cell>
          <cell r="F5441" t="str">
            <v>6000.09</v>
          </cell>
          <cell r="G5441" t="str">
            <v>Professional Services Uniform</v>
          </cell>
          <cell r="H5441">
            <v>0</v>
          </cell>
          <cell r="I5441">
            <v>0</v>
          </cell>
          <cell r="J5441">
            <v>0</v>
          </cell>
          <cell r="K5441">
            <v>0</v>
          </cell>
          <cell r="L5441">
            <v>0</v>
          </cell>
          <cell r="M5441">
            <v>0</v>
          </cell>
          <cell r="N5441">
            <v>0</v>
          </cell>
          <cell r="O5441" t="str">
            <v>+++</v>
          </cell>
        </row>
        <row r="5442">
          <cell r="A5442" t="str">
            <v>420.40.55.570-6000.10</v>
          </cell>
          <cell r="B5442" t="str">
            <v>420</v>
          </cell>
          <cell r="C5442" t="str">
            <v>40</v>
          </cell>
          <cell r="D5442" t="str">
            <v>55</v>
          </cell>
          <cell r="E5442" t="str">
            <v>570</v>
          </cell>
          <cell r="F5442" t="str">
            <v>6000.10</v>
          </cell>
          <cell r="G5442" t="str">
            <v>Professional Services Consultant</v>
          </cell>
          <cell r="H5442">
            <v>0</v>
          </cell>
          <cell r="I5442">
            <v>0</v>
          </cell>
          <cell r="J5442">
            <v>0</v>
          </cell>
          <cell r="K5442">
            <v>0</v>
          </cell>
          <cell r="L5442">
            <v>0</v>
          </cell>
          <cell r="M5442">
            <v>0</v>
          </cell>
          <cell r="N5442">
            <v>0</v>
          </cell>
          <cell r="O5442" t="str">
            <v>+++</v>
          </cell>
        </row>
        <row r="5443">
          <cell r="A5443" t="str">
            <v>420.40.55.570-6000.12</v>
          </cell>
          <cell r="B5443" t="str">
            <v>420</v>
          </cell>
          <cell r="C5443" t="str">
            <v>40</v>
          </cell>
          <cell r="D5443" t="str">
            <v>55</v>
          </cell>
          <cell r="E5443" t="str">
            <v>570</v>
          </cell>
          <cell r="F5443" t="str">
            <v>6000.12</v>
          </cell>
          <cell r="G5443" t="str">
            <v>Professional Services Contract Services</v>
          </cell>
          <cell r="H5443">
            <v>0</v>
          </cell>
          <cell r="I5443">
            <v>0</v>
          </cell>
          <cell r="J5443">
            <v>0</v>
          </cell>
          <cell r="K5443">
            <v>0</v>
          </cell>
          <cell r="L5443">
            <v>0</v>
          </cell>
          <cell r="M5443">
            <v>0</v>
          </cell>
          <cell r="N5443">
            <v>0</v>
          </cell>
          <cell r="O5443" t="str">
            <v>+++</v>
          </cell>
        </row>
        <row r="5444">
          <cell r="A5444" t="str">
            <v>420.40.55.570-6000.13</v>
          </cell>
          <cell r="B5444" t="str">
            <v>420</v>
          </cell>
          <cell r="C5444" t="str">
            <v>40</v>
          </cell>
          <cell r="D5444" t="str">
            <v>55</v>
          </cell>
          <cell r="E5444" t="str">
            <v>570</v>
          </cell>
          <cell r="F5444" t="str">
            <v>6000.13</v>
          </cell>
          <cell r="G5444" t="str">
            <v>Professional Services Compliance Monitoring</v>
          </cell>
          <cell r="H5444">
            <v>0</v>
          </cell>
          <cell r="I5444">
            <v>0</v>
          </cell>
          <cell r="J5444">
            <v>0</v>
          </cell>
          <cell r="K5444">
            <v>0</v>
          </cell>
          <cell r="L5444">
            <v>0</v>
          </cell>
          <cell r="M5444">
            <v>0</v>
          </cell>
          <cell r="N5444">
            <v>0</v>
          </cell>
          <cell r="O5444" t="str">
            <v>+++</v>
          </cell>
        </row>
        <row r="5445">
          <cell r="A5445" t="str">
            <v>420.40.55.570-6000.14</v>
          </cell>
          <cell r="B5445" t="str">
            <v>420</v>
          </cell>
          <cell r="C5445" t="str">
            <v>40</v>
          </cell>
          <cell r="D5445" t="str">
            <v>55</v>
          </cell>
          <cell r="E5445" t="str">
            <v>570</v>
          </cell>
          <cell r="F5445" t="str">
            <v>6000.14</v>
          </cell>
          <cell r="G5445" t="str">
            <v>Professional Services IW Pre Analysis</v>
          </cell>
          <cell r="H5445">
            <v>0</v>
          </cell>
          <cell r="I5445">
            <v>0</v>
          </cell>
          <cell r="J5445">
            <v>0</v>
          </cell>
          <cell r="K5445">
            <v>0</v>
          </cell>
          <cell r="L5445">
            <v>0</v>
          </cell>
          <cell r="M5445">
            <v>0</v>
          </cell>
          <cell r="N5445">
            <v>0</v>
          </cell>
          <cell r="O5445" t="str">
            <v>+++</v>
          </cell>
        </row>
        <row r="5446">
          <cell r="A5446" t="str">
            <v>420.40.55.570-6000.18</v>
          </cell>
          <cell r="B5446" t="str">
            <v>420</v>
          </cell>
          <cell r="C5446" t="str">
            <v>40</v>
          </cell>
          <cell r="D5446" t="str">
            <v>55</v>
          </cell>
          <cell r="E5446" t="str">
            <v>570</v>
          </cell>
          <cell r="F5446" t="str">
            <v>6000.18</v>
          </cell>
          <cell r="G5446" t="str">
            <v>Professional Services Legal</v>
          </cell>
          <cell r="H5446">
            <v>0</v>
          </cell>
          <cell r="I5446">
            <v>0</v>
          </cell>
          <cell r="J5446">
            <v>0</v>
          </cell>
          <cell r="K5446">
            <v>0</v>
          </cell>
          <cell r="L5446">
            <v>0</v>
          </cell>
          <cell r="M5446">
            <v>0</v>
          </cell>
          <cell r="N5446">
            <v>0</v>
          </cell>
          <cell r="O5446" t="str">
            <v>+++</v>
          </cell>
        </row>
        <row r="5447">
          <cell r="A5447" t="str">
            <v>420.40.55.570-6100.01</v>
          </cell>
          <cell r="B5447" t="str">
            <v>420</v>
          </cell>
          <cell r="C5447" t="str">
            <v>40</v>
          </cell>
          <cell r="D5447" t="str">
            <v>55</v>
          </cell>
          <cell r="E5447" t="str">
            <v>570</v>
          </cell>
          <cell r="F5447" t="str">
            <v>6100.01</v>
          </cell>
          <cell r="G5447" t="str">
            <v>Utilities Electric</v>
          </cell>
          <cell r="H5447">
            <v>0</v>
          </cell>
          <cell r="I5447">
            <v>0</v>
          </cell>
          <cell r="J5447">
            <v>0</v>
          </cell>
          <cell r="K5447">
            <v>0</v>
          </cell>
          <cell r="L5447">
            <v>0</v>
          </cell>
          <cell r="M5447">
            <v>0</v>
          </cell>
          <cell r="N5447">
            <v>0</v>
          </cell>
          <cell r="O5447" t="str">
            <v>+++</v>
          </cell>
        </row>
        <row r="5448">
          <cell r="A5448" t="str">
            <v>420.40.55.570-6100.02</v>
          </cell>
          <cell r="B5448" t="str">
            <v>420</v>
          </cell>
          <cell r="C5448" t="str">
            <v>40</v>
          </cell>
          <cell r="D5448" t="str">
            <v>55</v>
          </cell>
          <cell r="E5448" t="str">
            <v>570</v>
          </cell>
          <cell r="F5448" t="str">
            <v>6100.02</v>
          </cell>
          <cell r="G5448" t="str">
            <v>Utilities Telephone</v>
          </cell>
          <cell r="H5448">
            <v>0</v>
          </cell>
          <cell r="I5448">
            <v>0</v>
          </cell>
          <cell r="J5448">
            <v>0</v>
          </cell>
          <cell r="K5448">
            <v>0</v>
          </cell>
          <cell r="L5448">
            <v>0</v>
          </cell>
          <cell r="M5448">
            <v>0</v>
          </cell>
          <cell r="N5448">
            <v>0</v>
          </cell>
          <cell r="O5448" t="str">
            <v>+++</v>
          </cell>
        </row>
        <row r="5449">
          <cell r="A5449" t="str">
            <v>420.40.55.570-6100.03</v>
          </cell>
          <cell r="B5449" t="str">
            <v>420</v>
          </cell>
          <cell r="C5449" t="str">
            <v>40</v>
          </cell>
          <cell r="D5449" t="str">
            <v>55</v>
          </cell>
          <cell r="E5449" t="str">
            <v>570</v>
          </cell>
          <cell r="F5449" t="str">
            <v>6100.03</v>
          </cell>
          <cell r="G5449" t="str">
            <v>Utilities Data Transmission / ISP</v>
          </cell>
          <cell r="H5449">
            <v>0</v>
          </cell>
          <cell r="I5449">
            <v>0</v>
          </cell>
          <cell r="J5449">
            <v>0</v>
          </cell>
          <cell r="K5449">
            <v>0</v>
          </cell>
          <cell r="L5449">
            <v>0</v>
          </cell>
          <cell r="M5449">
            <v>0</v>
          </cell>
          <cell r="N5449">
            <v>0</v>
          </cell>
          <cell r="O5449" t="str">
            <v>+++</v>
          </cell>
        </row>
        <row r="5450">
          <cell r="A5450" t="str">
            <v>420.40.55.570-6200.01</v>
          </cell>
          <cell r="B5450" t="str">
            <v>420</v>
          </cell>
          <cell r="C5450" t="str">
            <v>40</v>
          </cell>
          <cell r="D5450" t="str">
            <v>55</v>
          </cell>
          <cell r="E5450" t="str">
            <v>570</v>
          </cell>
          <cell r="F5450" t="str">
            <v>6200.01</v>
          </cell>
          <cell r="G5450" t="str">
            <v>Supplies Office</v>
          </cell>
          <cell r="H5450">
            <v>0</v>
          </cell>
          <cell r="I5450">
            <v>0</v>
          </cell>
          <cell r="J5450">
            <v>0</v>
          </cell>
          <cell r="K5450">
            <v>0</v>
          </cell>
          <cell r="L5450">
            <v>0</v>
          </cell>
          <cell r="M5450">
            <v>0</v>
          </cell>
          <cell r="N5450">
            <v>0</v>
          </cell>
          <cell r="O5450" t="str">
            <v>+++</v>
          </cell>
        </row>
        <row r="5451">
          <cell r="A5451" t="str">
            <v>420.40.55.570-6200.02</v>
          </cell>
          <cell r="B5451" t="str">
            <v>420</v>
          </cell>
          <cell r="C5451" t="str">
            <v>40</v>
          </cell>
          <cell r="D5451" t="str">
            <v>55</v>
          </cell>
          <cell r="E5451" t="str">
            <v>570</v>
          </cell>
          <cell r="F5451" t="str">
            <v>6200.02</v>
          </cell>
          <cell r="G5451" t="str">
            <v>Supplies Special Department</v>
          </cell>
          <cell r="H5451">
            <v>0</v>
          </cell>
          <cell r="I5451">
            <v>0</v>
          </cell>
          <cell r="J5451">
            <v>0</v>
          </cell>
          <cell r="K5451">
            <v>0</v>
          </cell>
          <cell r="L5451">
            <v>0</v>
          </cell>
          <cell r="M5451">
            <v>0</v>
          </cell>
          <cell r="N5451">
            <v>0</v>
          </cell>
          <cell r="O5451" t="str">
            <v>+++</v>
          </cell>
        </row>
        <row r="5452">
          <cell r="A5452" t="str">
            <v>420.40.55.570-6200.03</v>
          </cell>
          <cell r="B5452" t="str">
            <v>420</v>
          </cell>
          <cell r="C5452" t="str">
            <v>40</v>
          </cell>
          <cell r="D5452" t="str">
            <v>55</v>
          </cell>
          <cell r="E5452" t="str">
            <v>570</v>
          </cell>
          <cell r="F5452" t="str">
            <v>6200.03</v>
          </cell>
          <cell r="G5452" t="str">
            <v>Supplies Copier Maintenance &amp; Supplies</v>
          </cell>
          <cell r="H5452">
            <v>0</v>
          </cell>
          <cell r="I5452">
            <v>0</v>
          </cell>
          <cell r="J5452">
            <v>0</v>
          </cell>
          <cell r="K5452">
            <v>0</v>
          </cell>
          <cell r="L5452">
            <v>0</v>
          </cell>
          <cell r="M5452">
            <v>0</v>
          </cell>
          <cell r="N5452">
            <v>0</v>
          </cell>
          <cell r="O5452" t="str">
            <v>+++</v>
          </cell>
        </row>
        <row r="5453">
          <cell r="A5453" t="str">
            <v>420.40.55.570-6200.04</v>
          </cell>
          <cell r="B5453" t="str">
            <v>420</v>
          </cell>
          <cell r="C5453" t="str">
            <v>40</v>
          </cell>
          <cell r="D5453" t="str">
            <v>55</v>
          </cell>
          <cell r="E5453" t="str">
            <v>570</v>
          </cell>
          <cell r="F5453" t="str">
            <v>6200.04</v>
          </cell>
          <cell r="G5453" t="str">
            <v>Supplies Postage</v>
          </cell>
          <cell r="H5453">
            <v>0</v>
          </cell>
          <cell r="I5453">
            <v>0</v>
          </cell>
          <cell r="J5453">
            <v>0</v>
          </cell>
          <cell r="K5453">
            <v>0</v>
          </cell>
          <cell r="L5453">
            <v>0</v>
          </cell>
          <cell r="M5453">
            <v>0</v>
          </cell>
          <cell r="N5453">
            <v>0</v>
          </cell>
          <cell r="O5453" t="str">
            <v>+++</v>
          </cell>
        </row>
        <row r="5454">
          <cell r="A5454" t="str">
            <v>420.40.55.570-6200.05</v>
          </cell>
          <cell r="B5454" t="str">
            <v>420</v>
          </cell>
          <cell r="C5454" t="str">
            <v>40</v>
          </cell>
          <cell r="D5454" t="str">
            <v>55</v>
          </cell>
          <cell r="E5454" t="str">
            <v>570</v>
          </cell>
          <cell r="F5454" t="str">
            <v>6200.05</v>
          </cell>
          <cell r="G5454" t="str">
            <v>Supplies Gasoline</v>
          </cell>
          <cell r="H5454">
            <v>0</v>
          </cell>
          <cell r="I5454">
            <v>0</v>
          </cell>
          <cell r="J5454">
            <v>0</v>
          </cell>
          <cell r="K5454">
            <v>0</v>
          </cell>
          <cell r="L5454">
            <v>0</v>
          </cell>
          <cell r="M5454">
            <v>0</v>
          </cell>
          <cell r="N5454">
            <v>0</v>
          </cell>
          <cell r="O5454" t="str">
            <v>+++</v>
          </cell>
        </row>
        <row r="5455">
          <cell r="A5455" t="str">
            <v>420.40.55.570-6200.06</v>
          </cell>
          <cell r="B5455" t="str">
            <v>420</v>
          </cell>
          <cell r="C5455" t="str">
            <v>40</v>
          </cell>
          <cell r="D5455" t="str">
            <v>55</v>
          </cell>
          <cell r="E5455" t="str">
            <v>570</v>
          </cell>
          <cell r="F5455" t="str">
            <v>6200.06</v>
          </cell>
          <cell r="G5455" t="str">
            <v>Supplies Propane</v>
          </cell>
          <cell r="H5455">
            <v>0</v>
          </cell>
          <cell r="I5455">
            <v>0</v>
          </cell>
          <cell r="J5455">
            <v>0</v>
          </cell>
          <cell r="K5455">
            <v>0</v>
          </cell>
          <cell r="L5455">
            <v>0</v>
          </cell>
          <cell r="M5455">
            <v>0</v>
          </cell>
          <cell r="N5455">
            <v>0</v>
          </cell>
          <cell r="O5455" t="str">
            <v>+++</v>
          </cell>
        </row>
        <row r="5456">
          <cell r="A5456" t="str">
            <v>420.40.55.570-6200.07</v>
          </cell>
          <cell r="B5456" t="str">
            <v>420</v>
          </cell>
          <cell r="C5456" t="str">
            <v>40</v>
          </cell>
          <cell r="D5456" t="str">
            <v>55</v>
          </cell>
          <cell r="E5456" t="str">
            <v>570</v>
          </cell>
          <cell r="F5456" t="str">
            <v>6200.07</v>
          </cell>
          <cell r="G5456" t="str">
            <v>Supplies Radio Communication &amp; Maint</v>
          </cell>
          <cell r="H5456">
            <v>0</v>
          </cell>
          <cell r="I5456">
            <v>0</v>
          </cell>
          <cell r="J5456">
            <v>0</v>
          </cell>
          <cell r="K5456">
            <v>0</v>
          </cell>
          <cell r="L5456">
            <v>0</v>
          </cell>
          <cell r="M5456">
            <v>0</v>
          </cell>
          <cell r="N5456">
            <v>0</v>
          </cell>
          <cell r="O5456" t="str">
            <v>+++</v>
          </cell>
        </row>
        <row r="5457">
          <cell r="A5457" t="str">
            <v>420.40.55.570-6200.09</v>
          </cell>
          <cell r="B5457" t="str">
            <v>420</v>
          </cell>
          <cell r="C5457" t="str">
            <v>40</v>
          </cell>
          <cell r="D5457" t="str">
            <v>55</v>
          </cell>
          <cell r="E5457" t="str">
            <v>570</v>
          </cell>
          <cell r="F5457" t="str">
            <v>6200.09</v>
          </cell>
          <cell r="G5457" t="str">
            <v>Supplies Data Processing</v>
          </cell>
          <cell r="H5457">
            <v>0</v>
          </cell>
          <cell r="I5457">
            <v>0</v>
          </cell>
          <cell r="J5457">
            <v>0</v>
          </cell>
          <cell r="K5457">
            <v>0</v>
          </cell>
          <cell r="L5457">
            <v>0</v>
          </cell>
          <cell r="M5457">
            <v>0</v>
          </cell>
          <cell r="N5457">
            <v>0</v>
          </cell>
          <cell r="O5457" t="str">
            <v>+++</v>
          </cell>
        </row>
        <row r="5458">
          <cell r="A5458" t="str">
            <v>420.40.55.570-6200.10</v>
          </cell>
          <cell r="B5458" t="str">
            <v>420</v>
          </cell>
          <cell r="C5458" t="str">
            <v>40</v>
          </cell>
          <cell r="D5458" t="str">
            <v>55</v>
          </cell>
          <cell r="E5458" t="str">
            <v>570</v>
          </cell>
          <cell r="F5458" t="str">
            <v>6200.10</v>
          </cell>
          <cell r="G5458" t="str">
            <v>Supplies Protective Clothing</v>
          </cell>
          <cell r="H5458">
            <v>0</v>
          </cell>
          <cell r="I5458">
            <v>0</v>
          </cell>
          <cell r="J5458">
            <v>0</v>
          </cell>
          <cell r="K5458">
            <v>0</v>
          </cell>
          <cell r="L5458">
            <v>0</v>
          </cell>
          <cell r="M5458">
            <v>0</v>
          </cell>
          <cell r="N5458">
            <v>0</v>
          </cell>
          <cell r="O5458" t="str">
            <v>+++</v>
          </cell>
        </row>
        <row r="5459">
          <cell r="A5459" t="str">
            <v>420.40.55.570-6200.12</v>
          </cell>
          <cell r="B5459" t="str">
            <v>420</v>
          </cell>
          <cell r="C5459" t="str">
            <v>40</v>
          </cell>
          <cell r="D5459" t="str">
            <v>55</v>
          </cell>
          <cell r="E5459" t="str">
            <v>570</v>
          </cell>
          <cell r="F5459" t="str">
            <v>6200.12</v>
          </cell>
          <cell r="G5459" t="str">
            <v>Supplies CNG</v>
          </cell>
          <cell r="H5459">
            <v>0</v>
          </cell>
          <cell r="I5459">
            <v>0</v>
          </cell>
          <cell r="J5459">
            <v>0</v>
          </cell>
          <cell r="K5459">
            <v>0</v>
          </cell>
          <cell r="L5459">
            <v>0</v>
          </cell>
          <cell r="M5459">
            <v>0</v>
          </cell>
          <cell r="N5459">
            <v>0</v>
          </cell>
          <cell r="O5459" t="str">
            <v>+++</v>
          </cell>
        </row>
        <row r="5460">
          <cell r="A5460" t="str">
            <v>420.40.55.570-6280.03</v>
          </cell>
          <cell r="B5460" t="str">
            <v>420</v>
          </cell>
          <cell r="C5460" t="str">
            <v>40</v>
          </cell>
          <cell r="D5460" t="str">
            <v>55</v>
          </cell>
          <cell r="E5460" t="str">
            <v>570</v>
          </cell>
          <cell r="F5460" t="str">
            <v>6280.03</v>
          </cell>
          <cell r="G5460" t="str">
            <v>Supplies-Public Works Soundwall Repair</v>
          </cell>
          <cell r="H5460">
            <v>0</v>
          </cell>
          <cell r="I5460">
            <v>0</v>
          </cell>
          <cell r="J5460">
            <v>0</v>
          </cell>
          <cell r="K5460">
            <v>0</v>
          </cell>
          <cell r="L5460">
            <v>0</v>
          </cell>
          <cell r="M5460">
            <v>0</v>
          </cell>
          <cell r="N5460">
            <v>0</v>
          </cell>
          <cell r="O5460" t="str">
            <v>+++</v>
          </cell>
        </row>
        <row r="5461">
          <cell r="A5461" t="str">
            <v>420.40.55.570-6280.04</v>
          </cell>
          <cell r="B5461" t="str">
            <v>420</v>
          </cell>
          <cell r="C5461" t="str">
            <v>40</v>
          </cell>
          <cell r="D5461" t="str">
            <v>55</v>
          </cell>
          <cell r="E5461" t="str">
            <v>570</v>
          </cell>
          <cell r="F5461" t="str">
            <v>6280.04</v>
          </cell>
          <cell r="G5461" t="str">
            <v>Supplies-Public Works Sidewalk Repair</v>
          </cell>
          <cell r="H5461">
            <v>0</v>
          </cell>
          <cell r="I5461">
            <v>0</v>
          </cell>
          <cell r="J5461">
            <v>0</v>
          </cell>
          <cell r="K5461">
            <v>0</v>
          </cell>
          <cell r="L5461">
            <v>0</v>
          </cell>
          <cell r="M5461">
            <v>0</v>
          </cell>
          <cell r="N5461">
            <v>0</v>
          </cell>
          <cell r="O5461" t="str">
            <v>+++</v>
          </cell>
        </row>
        <row r="5462">
          <cell r="A5462" t="str">
            <v>420.40.55.570-6280.05</v>
          </cell>
          <cell r="B5462" t="str">
            <v>420</v>
          </cell>
          <cell r="C5462" t="str">
            <v>40</v>
          </cell>
          <cell r="D5462" t="str">
            <v>55</v>
          </cell>
          <cell r="E5462" t="str">
            <v>570</v>
          </cell>
          <cell r="F5462" t="str">
            <v>6280.05</v>
          </cell>
          <cell r="G5462" t="str">
            <v>Supplies-Public Works Traffic Signs</v>
          </cell>
          <cell r="H5462">
            <v>0</v>
          </cell>
          <cell r="I5462">
            <v>0</v>
          </cell>
          <cell r="J5462">
            <v>0</v>
          </cell>
          <cell r="K5462">
            <v>0</v>
          </cell>
          <cell r="L5462">
            <v>0</v>
          </cell>
          <cell r="M5462">
            <v>0</v>
          </cell>
          <cell r="N5462">
            <v>0</v>
          </cell>
          <cell r="O5462" t="str">
            <v>+++</v>
          </cell>
        </row>
        <row r="5463">
          <cell r="A5463" t="str">
            <v>420.40.55.570-6280.08</v>
          </cell>
          <cell r="B5463" t="str">
            <v>420</v>
          </cell>
          <cell r="C5463" t="str">
            <v>40</v>
          </cell>
          <cell r="D5463" t="str">
            <v>55</v>
          </cell>
          <cell r="E5463" t="str">
            <v>570</v>
          </cell>
          <cell r="F5463" t="str">
            <v>6280.08</v>
          </cell>
          <cell r="G5463" t="str">
            <v>Supplies-Public Works Pump</v>
          </cell>
          <cell r="H5463">
            <v>0</v>
          </cell>
          <cell r="I5463">
            <v>0</v>
          </cell>
          <cell r="J5463">
            <v>0</v>
          </cell>
          <cell r="K5463">
            <v>0</v>
          </cell>
          <cell r="L5463">
            <v>0</v>
          </cell>
          <cell r="M5463">
            <v>0</v>
          </cell>
          <cell r="N5463">
            <v>0</v>
          </cell>
          <cell r="O5463" t="str">
            <v>+++</v>
          </cell>
        </row>
        <row r="5464">
          <cell r="A5464" t="str">
            <v>420.40.55.570-6280.09</v>
          </cell>
          <cell r="B5464" t="str">
            <v>420</v>
          </cell>
          <cell r="C5464" t="str">
            <v>40</v>
          </cell>
          <cell r="D5464" t="str">
            <v>55</v>
          </cell>
          <cell r="E5464" t="str">
            <v>570</v>
          </cell>
          <cell r="F5464" t="str">
            <v>6280.09</v>
          </cell>
          <cell r="G5464" t="str">
            <v>Supplies-Public Works Storm Drain System</v>
          </cell>
          <cell r="H5464">
            <v>0</v>
          </cell>
          <cell r="I5464">
            <v>0</v>
          </cell>
          <cell r="J5464">
            <v>0</v>
          </cell>
          <cell r="K5464">
            <v>0</v>
          </cell>
          <cell r="L5464">
            <v>0</v>
          </cell>
          <cell r="M5464">
            <v>0</v>
          </cell>
          <cell r="N5464">
            <v>0</v>
          </cell>
          <cell r="O5464" t="str">
            <v>+++</v>
          </cell>
        </row>
        <row r="5465">
          <cell r="A5465" t="str">
            <v>420.40.55.570-6280.10</v>
          </cell>
          <cell r="B5465" t="str">
            <v>420</v>
          </cell>
          <cell r="C5465" t="str">
            <v>40</v>
          </cell>
          <cell r="D5465" t="str">
            <v>55</v>
          </cell>
          <cell r="E5465" t="str">
            <v>570</v>
          </cell>
          <cell r="F5465" t="str">
            <v>6280.10</v>
          </cell>
          <cell r="G5465" t="str">
            <v>Supplies-Public Works Storm Drain Basin</v>
          </cell>
          <cell r="H5465">
            <v>0</v>
          </cell>
          <cell r="I5465">
            <v>0</v>
          </cell>
          <cell r="J5465">
            <v>0</v>
          </cell>
          <cell r="K5465">
            <v>0</v>
          </cell>
          <cell r="L5465">
            <v>0</v>
          </cell>
          <cell r="M5465">
            <v>0</v>
          </cell>
          <cell r="N5465">
            <v>0</v>
          </cell>
          <cell r="O5465" t="str">
            <v>+++</v>
          </cell>
        </row>
        <row r="5466">
          <cell r="A5466" t="str">
            <v>420.40.55.570-6280.11</v>
          </cell>
          <cell r="B5466" t="str">
            <v>420</v>
          </cell>
          <cell r="C5466" t="str">
            <v>40</v>
          </cell>
          <cell r="D5466" t="str">
            <v>55</v>
          </cell>
          <cell r="E5466" t="str">
            <v>570</v>
          </cell>
          <cell r="F5466" t="str">
            <v>6280.11</v>
          </cell>
          <cell r="G5466" t="str">
            <v>Supplies-Public Works Custodial</v>
          </cell>
          <cell r="H5466">
            <v>0</v>
          </cell>
          <cell r="I5466">
            <v>0</v>
          </cell>
          <cell r="J5466">
            <v>0</v>
          </cell>
          <cell r="K5466">
            <v>0</v>
          </cell>
          <cell r="L5466">
            <v>0</v>
          </cell>
          <cell r="M5466">
            <v>0</v>
          </cell>
          <cell r="N5466">
            <v>0</v>
          </cell>
          <cell r="O5466" t="str">
            <v>+++</v>
          </cell>
        </row>
        <row r="5467">
          <cell r="A5467" t="str">
            <v>420.40.55.570-6280.12</v>
          </cell>
          <cell r="B5467" t="str">
            <v>420</v>
          </cell>
          <cell r="C5467" t="str">
            <v>40</v>
          </cell>
          <cell r="D5467" t="str">
            <v>55</v>
          </cell>
          <cell r="E5467" t="str">
            <v>570</v>
          </cell>
          <cell r="F5467" t="str">
            <v>6280.12</v>
          </cell>
          <cell r="G5467" t="str">
            <v>Supplies-Public Works Chemicals</v>
          </cell>
          <cell r="H5467">
            <v>0</v>
          </cell>
          <cell r="I5467">
            <v>0</v>
          </cell>
          <cell r="J5467">
            <v>0</v>
          </cell>
          <cell r="K5467">
            <v>0</v>
          </cell>
          <cell r="L5467">
            <v>0</v>
          </cell>
          <cell r="M5467">
            <v>0</v>
          </cell>
          <cell r="N5467">
            <v>0</v>
          </cell>
          <cell r="O5467" t="str">
            <v>+++</v>
          </cell>
        </row>
        <row r="5468">
          <cell r="A5468" t="str">
            <v>420.40.55.570-6280.13</v>
          </cell>
          <cell r="B5468" t="str">
            <v>420</v>
          </cell>
          <cell r="C5468" t="str">
            <v>40</v>
          </cell>
          <cell r="D5468" t="str">
            <v>55</v>
          </cell>
          <cell r="E5468" t="str">
            <v>570</v>
          </cell>
          <cell r="F5468" t="str">
            <v>6280.13</v>
          </cell>
          <cell r="G5468" t="str">
            <v>Supplies-Public Works Laboratory</v>
          </cell>
          <cell r="H5468">
            <v>0</v>
          </cell>
          <cell r="I5468">
            <v>0</v>
          </cell>
          <cell r="J5468">
            <v>0</v>
          </cell>
          <cell r="K5468">
            <v>0</v>
          </cell>
          <cell r="L5468">
            <v>0</v>
          </cell>
          <cell r="M5468">
            <v>0</v>
          </cell>
          <cell r="N5468">
            <v>0</v>
          </cell>
          <cell r="O5468" t="str">
            <v>+++</v>
          </cell>
        </row>
        <row r="5469">
          <cell r="A5469" t="str">
            <v>420.40.55.570-6280.14</v>
          </cell>
          <cell r="B5469" t="str">
            <v>420</v>
          </cell>
          <cell r="C5469" t="str">
            <v>40</v>
          </cell>
          <cell r="D5469" t="str">
            <v>55</v>
          </cell>
          <cell r="E5469" t="str">
            <v>570</v>
          </cell>
          <cell r="F5469" t="str">
            <v>6280.14</v>
          </cell>
          <cell r="G5469" t="str">
            <v>Supplies-Public Works Protective Clothing</v>
          </cell>
          <cell r="H5469">
            <v>0</v>
          </cell>
          <cell r="I5469">
            <v>0</v>
          </cell>
          <cell r="J5469">
            <v>0</v>
          </cell>
          <cell r="K5469">
            <v>0</v>
          </cell>
          <cell r="L5469">
            <v>0</v>
          </cell>
          <cell r="M5469">
            <v>0</v>
          </cell>
          <cell r="N5469">
            <v>0</v>
          </cell>
          <cell r="O5469" t="str">
            <v>+++</v>
          </cell>
        </row>
        <row r="5470">
          <cell r="A5470" t="str">
            <v>420.40.55.570-6280.15</v>
          </cell>
          <cell r="B5470" t="str">
            <v>420</v>
          </cell>
          <cell r="C5470" t="str">
            <v>40</v>
          </cell>
          <cell r="D5470" t="str">
            <v>55</v>
          </cell>
          <cell r="E5470" t="str">
            <v>570</v>
          </cell>
          <cell r="F5470" t="str">
            <v>6280.15</v>
          </cell>
          <cell r="G5470" t="str">
            <v>Supplies-Public Works Mechanics Tools</v>
          </cell>
          <cell r="H5470">
            <v>0</v>
          </cell>
          <cell r="I5470">
            <v>0</v>
          </cell>
          <cell r="J5470">
            <v>0</v>
          </cell>
          <cell r="K5470">
            <v>0</v>
          </cell>
          <cell r="L5470">
            <v>0</v>
          </cell>
          <cell r="M5470">
            <v>0</v>
          </cell>
          <cell r="N5470">
            <v>0</v>
          </cell>
          <cell r="O5470" t="str">
            <v>+++</v>
          </cell>
        </row>
        <row r="5471">
          <cell r="A5471" t="str">
            <v>420.40.55.570-6280.16</v>
          </cell>
          <cell r="B5471" t="str">
            <v>420</v>
          </cell>
          <cell r="C5471" t="str">
            <v>40</v>
          </cell>
          <cell r="D5471" t="str">
            <v>55</v>
          </cell>
          <cell r="E5471" t="str">
            <v>570</v>
          </cell>
          <cell r="F5471" t="str">
            <v>6280.16</v>
          </cell>
          <cell r="G5471" t="str">
            <v>Supplies-Public Works UV System Supplies</v>
          </cell>
          <cell r="H5471">
            <v>0</v>
          </cell>
          <cell r="I5471">
            <v>0</v>
          </cell>
          <cell r="J5471">
            <v>0</v>
          </cell>
          <cell r="K5471">
            <v>0</v>
          </cell>
          <cell r="L5471">
            <v>0</v>
          </cell>
          <cell r="M5471">
            <v>0</v>
          </cell>
          <cell r="N5471">
            <v>0</v>
          </cell>
          <cell r="O5471" t="str">
            <v>+++</v>
          </cell>
        </row>
        <row r="5472">
          <cell r="A5472" t="str">
            <v>420.40.55.570-6280.19</v>
          </cell>
          <cell r="B5472" t="str">
            <v>420</v>
          </cell>
          <cell r="C5472" t="str">
            <v>40</v>
          </cell>
          <cell r="D5472" t="str">
            <v>55</v>
          </cell>
          <cell r="E5472" t="str">
            <v>570</v>
          </cell>
          <cell r="F5472" t="str">
            <v>6280.19</v>
          </cell>
          <cell r="G5472" t="str">
            <v>Supplies-Public Works Specialty Maintenance Tools</v>
          </cell>
          <cell r="H5472">
            <v>0</v>
          </cell>
          <cell r="I5472">
            <v>0</v>
          </cell>
          <cell r="J5472">
            <v>0</v>
          </cell>
          <cell r="K5472">
            <v>0</v>
          </cell>
          <cell r="L5472">
            <v>0</v>
          </cell>
          <cell r="M5472">
            <v>0</v>
          </cell>
          <cell r="N5472">
            <v>0</v>
          </cell>
          <cell r="O5472" t="str">
            <v>+++</v>
          </cell>
        </row>
        <row r="5473">
          <cell r="A5473" t="str">
            <v>420.40.55.570-6280.20</v>
          </cell>
          <cell r="B5473" t="str">
            <v>420</v>
          </cell>
          <cell r="C5473" t="str">
            <v>40</v>
          </cell>
          <cell r="D5473" t="str">
            <v>55</v>
          </cell>
          <cell r="E5473" t="str">
            <v>570</v>
          </cell>
          <cell r="F5473" t="str">
            <v>6280.20</v>
          </cell>
          <cell r="G5473" t="str">
            <v>Supplies-Public Works Bin Repair</v>
          </cell>
          <cell r="H5473">
            <v>0</v>
          </cell>
          <cell r="I5473">
            <v>0</v>
          </cell>
          <cell r="J5473">
            <v>0</v>
          </cell>
          <cell r="K5473">
            <v>0</v>
          </cell>
          <cell r="L5473">
            <v>0</v>
          </cell>
          <cell r="M5473">
            <v>0</v>
          </cell>
          <cell r="N5473">
            <v>0</v>
          </cell>
          <cell r="O5473" t="str">
            <v>+++</v>
          </cell>
        </row>
        <row r="5474">
          <cell r="A5474" t="str">
            <v>420.40.55.570-6280.21</v>
          </cell>
          <cell r="B5474" t="str">
            <v>420</v>
          </cell>
          <cell r="C5474" t="str">
            <v>40</v>
          </cell>
          <cell r="D5474" t="str">
            <v>55</v>
          </cell>
          <cell r="E5474" t="str">
            <v>570</v>
          </cell>
          <cell r="F5474" t="str">
            <v>6280.21</v>
          </cell>
          <cell r="G5474" t="str">
            <v>Supplies-Public Works Used Oil Grant</v>
          </cell>
          <cell r="H5474">
            <v>0</v>
          </cell>
          <cell r="I5474">
            <v>0</v>
          </cell>
          <cell r="J5474">
            <v>0</v>
          </cell>
          <cell r="K5474">
            <v>0</v>
          </cell>
          <cell r="L5474">
            <v>0</v>
          </cell>
          <cell r="M5474">
            <v>0</v>
          </cell>
          <cell r="N5474">
            <v>0</v>
          </cell>
          <cell r="O5474" t="str">
            <v>+++</v>
          </cell>
        </row>
        <row r="5475">
          <cell r="A5475" t="str">
            <v>420.40.55.570-6280.22</v>
          </cell>
          <cell r="B5475" t="str">
            <v>420</v>
          </cell>
          <cell r="C5475" t="str">
            <v>40</v>
          </cell>
          <cell r="D5475" t="str">
            <v>55</v>
          </cell>
          <cell r="E5475" t="str">
            <v>570</v>
          </cell>
          <cell r="F5475" t="str">
            <v>6280.22</v>
          </cell>
          <cell r="G5475" t="str">
            <v>Supplies-Public Works Recycled Products</v>
          </cell>
          <cell r="H5475">
            <v>0</v>
          </cell>
          <cell r="I5475">
            <v>0</v>
          </cell>
          <cell r="J5475">
            <v>0</v>
          </cell>
          <cell r="K5475">
            <v>0</v>
          </cell>
          <cell r="L5475">
            <v>0</v>
          </cell>
          <cell r="M5475">
            <v>0</v>
          </cell>
          <cell r="N5475">
            <v>0</v>
          </cell>
          <cell r="O5475" t="str">
            <v>+++</v>
          </cell>
        </row>
        <row r="5476">
          <cell r="A5476" t="str">
            <v>420.40.55.570-6280.23</v>
          </cell>
          <cell r="B5476" t="str">
            <v>420</v>
          </cell>
          <cell r="C5476" t="str">
            <v>40</v>
          </cell>
          <cell r="D5476" t="str">
            <v>55</v>
          </cell>
          <cell r="E5476" t="str">
            <v>570</v>
          </cell>
          <cell r="F5476" t="str">
            <v>6280.23</v>
          </cell>
          <cell r="G5476" t="str">
            <v>Supplies-Public Works Recycling Education Program</v>
          </cell>
          <cell r="H5476">
            <v>0</v>
          </cell>
          <cell r="I5476">
            <v>0</v>
          </cell>
          <cell r="J5476">
            <v>0</v>
          </cell>
          <cell r="K5476">
            <v>0</v>
          </cell>
          <cell r="L5476">
            <v>0</v>
          </cell>
          <cell r="M5476">
            <v>0</v>
          </cell>
          <cell r="N5476">
            <v>0</v>
          </cell>
          <cell r="O5476" t="str">
            <v>+++</v>
          </cell>
        </row>
        <row r="5477">
          <cell r="A5477" t="str">
            <v>420.40.55.570-6280.25</v>
          </cell>
          <cell r="B5477" t="str">
            <v>420</v>
          </cell>
          <cell r="C5477" t="str">
            <v>40</v>
          </cell>
          <cell r="D5477" t="str">
            <v>55</v>
          </cell>
          <cell r="E5477" t="str">
            <v>570</v>
          </cell>
          <cell r="F5477" t="str">
            <v>6280.25</v>
          </cell>
          <cell r="G5477" t="str">
            <v>Supplies-Public Works Collection Containers</v>
          </cell>
          <cell r="H5477">
            <v>0</v>
          </cell>
          <cell r="I5477">
            <v>0</v>
          </cell>
          <cell r="J5477">
            <v>0</v>
          </cell>
          <cell r="K5477">
            <v>0</v>
          </cell>
          <cell r="L5477">
            <v>0</v>
          </cell>
          <cell r="M5477">
            <v>0</v>
          </cell>
          <cell r="N5477">
            <v>0</v>
          </cell>
          <cell r="O5477" t="str">
            <v>+++</v>
          </cell>
        </row>
        <row r="5478">
          <cell r="A5478" t="str">
            <v>420.40.55.570-6280.26</v>
          </cell>
          <cell r="B5478" t="str">
            <v>420</v>
          </cell>
          <cell r="C5478" t="str">
            <v>40</v>
          </cell>
          <cell r="D5478" t="str">
            <v>55</v>
          </cell>
          <cell r="E5478" t="str">
            <v>570</v>
          </cell>
          <cell r="F5478" t="str">
            <v>6280.26</v>
          </cell>
          <cell r="G5478" t="str">
            <v>Supplies-Public Works 3 Cart System Containers</v>
          </cell>
          <cell r="H5478">
            <v>0</v>
          </cell>
          <cell r="I5478">
            <v>0</v>
          </cell>
          <cell r="J5478">
            <v>0</v>
          </cell>
          <cell r="K5478">
            <v>0</v>
          </cell>
          <cell r="L5478">
            <v>0</v>
          </cell>
          <cell r="M5478">
            <v>0</v>
          </cell>
          <cell r="N5478">
            <v>0</v>
          </cell>
          <cell r="O5478" t="str">
            <v>+++</v>
          </cell>
        </row>
        <row r="5479">
          <cell r="A5479" t="str">
            <v>420.40.55.570-6280.27</v>
          </cell>
          <cell r="B5479" t="str">
            <v>420</v>
          </cell>
          <cell r="C5479" t="str">
            <v>40</v>
          </cell>
          <cell r="D5479" t="str">
            <v>55</v>
          </cell>
          <cell r="E5479" t="str">
            <v>570</v>
          </cell>
          <cell r="F5479" t="str">
            <v>6280.27</v>
          </cell>
          <cell r="G5479" t="str">
            <v>Supplies-Public Works SSJID Surface Water</v>
          </cell>
          <cell r="H5479">
            <v>0</v>
          </cell>
          <cell r="I5479">
            <v>0</v>
          </cell>
          <cell r="J5479">
            <v>0</v>
          </cell>
          <cell r="K5479">
            <v>0</v>
          </cell>
          <cell r="L5479">
            <v>0</v>
          </cell>
          <cell r="M5479">
            <v>0</v>
          </cell>
          <cell r="N5479">
            <v>0</v>
          </cell>
          <cell r="O5479" t="str">
            <v>+++</v>
          </cell>
        </row>
        <row r="5480">
          <cell r="A5480" t="str">
            <v>420.40.55.570-6280.28</v>
          </cell>
          <cell r="B5480" t="str">
            <v>420</v>
          </cell>
          <cell r="C5480" t="str">
            <v>40</v>
          </cell>
          <cell r="D5480" t="str">
            <v>55</v>
          </cell>
          <cell r="E5480" t="str">
            <v>570</v>
          </cell>
          <cell r="F5480" t="str">
            <v>6280.28</v>
          </cell>
          <cell r="G5480" t="str">
            <v>Supplies-Public Works Water Treatment Chemicals</v>
          </cell>
          <cell r="H5480">
            <v>0</v>
          </cell>
          <cell r="I5480">
            <v>0</v>
          </cell>
          <cell r="J5480">
            <v>0</v>
          </cell>
          <cell r="K5480">
            <v>0</v>
          </cell>
          <cell r="L5480">
            <v>0</v>
          </cell>
          <cell r="M5480">
            <v>0</v>
          </cell>
          <cell r="N5480">
            <v>0</v>
          </cell>
          <cell r="O5480" t="str">
            <v>+++</v>
          </cell>
        </row>
        <row r="5481">
          <cell r="A5481" t="str">
            <v>420.40.55.570-6280.29</v>
          </cell>
          <cell r="B5481" t="str">
            <v>420</v>
          </cell>
          <cell r="C5481" t="str">
            <v>40</v>
          </cell>
          <cell r="D5481" t="str">
            <v>55</v>
          </cell>
          <cell r="E5481" t="str">
            <v>570</v>
          </cell>
          <cell r="F5481" t="str">
            <v>6280.29</v>
          </cell>
          <cell r="G5481" t="str">
            <v>Supplies-Public Works Water Treatment</v>
          </cell>
          <cell r="H5481">
            <v>0</v>
          </cell>
          <cell r="I5481">
            <v>0</v>
          </cell>
          <cell r="J5481">
            <v>0</v>
          </cell>
          <cell r="K5481">
            <v>0</v>
          </cell>
          <cell r="L5481">
            <v>0</v>
          </cell>
          <cell r="M5481">
            <v>0</v>
          </cell>
          <cell r="N5481">
            <v>0</v>
          </cell>
          <cell r="O5481" t="str">
            <v>+++</v>
          </cell>
        </row>
        <row r="5482">
          <cell r="A5482" t="str">
            <v>420.40.55.570-6280.30</v>
          </cell>
          <cell r="B5482" t="str">
            <v>420</v>
          </cell>
          <cell r="C5482" t="str">
            <v>40</v>
          </cell>
          <cell r="D5482" t="str">
            <v>55</v>
          </cell>
          <cell r="E5482" t="str">
            <v>570</v>
          </cell>
          <cell r="F5482" t="str">
            <v>6280.30</v>
          </cell>
          <cell r="G5482" t="str">
            <v>Supplies-Public Works Automated &amp; Hand Tools</v>
          </cell>
          <cell r="H5482">
            <v>0</v>
          </cell>
          <cell r="I5482">
            <v>0</v>
          </cell>
          <cell r="J5482">
            <v>0</v>
          </cell>
          <cell r="K5482">
            <v>0</v>
          </cell>
          <cell r="L5482">
            <v>0</v>
          </cell>
          <cell r="M5482">
            <v>0</v>
          </cell>
          <cell r="N5482">
            <v>0</v>
          </cell>
          <cell r="O5482" t="str">
            <v>+++</v>
          </cell>
        </row>
        <row r="5483">
          <cell r="A5483" t="str">
            <v>420.40.55.570-6280.31</v>
          </cell>
          <cell r="B5483" t="str">
            <v>420</v>
          </cell>
          <cell r="C5483" t="str">
            <v>40</v>
          </cell>
          <cell r="D5483" t="str">
            <v>55</v>
          </cell>
          <cell r="E5483" t="str">
            <v>570</v>
          </cell>
          <cell r="F5483" t="str">
            <v>6280.31</v>
          </cell>
          <cell r="G5483" t="str">
            <v>Supplies-Public Works Water Conservation</v>
          </cell>
          <cell r="H5483">
            <v>0</v>
          </cell>
          <cell r="I5483">
            <v>0</v>
          </cell>
          <cell r="J5483">
            <v>0</v>
          </cell>
          <cell r="K5483">
            <v>0</v>
          </cell>
          <cell r="L5483">
            <v>0</v>
          </cell>
          <cell r="M5483">
            <v>0</v>
          </cell>
          <cell r="N5483">
            <v>0</v>
          </cell>
          <cell r="O5483" t="str">
            <v>+++</v>
          </cell>
        </row>
        <row r="5484">
          <cell r="A5484" t="str">
            <v>420.40.55.570-6280.32</v>
          </cell>
          <cell r="B5484" t="str">
            <v>420</v>
          </cell>
          <cell r="C5484" t="str">
            <v>40</v>
          </cell>
          <cell r="D5484" t="str">
            <v>55</v>
          </cell>
          <cell r="E5484" t="str">
            <v>570</v>
          </cell>
          <cell r="F5484" t="str">
            <v>6280.32</v>
          </cell>
          <cell r="G5484" t="str">
            <v>Supplies-Public Works Water Distribution System</v>
          </cell>
          <cell r="H5484">
            <v>0</v>
          </cell>
          <cell r="I5484">
            <v>0</v>
          </cell>
          <cell r="J5484">
            <v>0</v>
          </cell>
          <cell r="K5484">
            <v>0</v>
          </cell>
          <cell r="L5484">
            <v>0</v>
          </cell>
          <cell r="M5484">
            <v>0</v>
          </cell>
          <cell r="N5484">
            <v>0</v>
          </cell>
          <cell r="O5484" t="str">
            <v>+++</v>
          </cell>
        </row>
        <row r="5485">
          <cell r="A5485" t="str">
            <v>420.40.55.570-6280.33</v>
          </cell>
          <cell r="B5485" t="str">
            <v>420</v>
          </cell>
          <cell r="C5485" t="str">
            <v>40</v>
          </cell>
          <cell r="D5485" t="str">
            <v>55</v>
          </cell>
          <cell r="E5485" t="str">
            <v>570</v>
          </cell>
          <cell r="F5485" t="str">
            <v>6280.33</v>
          </cell>
          <cell r="G5485" t="str">
            <v>Supplies-Public Works Fire Hydrants</v>
          </cell>
          <cell r="H5485">
            <v>0</v>
          </cell>
          <cell r="I5485">
            <v>0</v>
          </cell>
          <cell r="J5485">
            <v>0</v>
          </cell>
          <cell r="K5485">
            <v>0</v>
          </cell>
          <cell r="L5485">
            <v>0</v>
          </cell>
          <cell r="M5485">
            <v>0</v>
          </cell>
          <cell r="N5485">
            <v>0</v>
          </cell>
          <cell r="O5485" t="str">
            <v>+++</v>
          </cell>
        </row>
        <row r="5486">
          <cell r="A5486" t="str">
            <v>420.40.55.570-6280.34</v>
          </cell>
          <cell r="B5486" t="str">
            <v>420</v>
          </cell>
          <cell r="C5486" t="str">
            <v>40</v>
          </cell>
          <cell r="D5486" t="str">
            <v>55</v>
          </cell>
          <cell r="E5486" t="str">
            <v>570</v>
          </cell>
          <cell r="F5486" t="str">
            <v>6280.34</v>
          </cell>
          <cell r="G5486" t="str">
            <v>Supplies-Public Works Wells &amp; Pumps</v>
          </cell>
          <cell r="H5486">
            <v>0</v>
          </cell>
          <cell r="I5486">
            <v>0</v>
          </cell>
          <cell r="J5486">
            <v>0</v>
          </cell>
          <cell r="K5486">
            <v>0</v>
          </cell>
          <cell r="L5486">
            <v>0</v>
          </cell>
          <cell r="M5486">
            <v>0</v>
          </cell>
          <cell r="N5486">
            <v>0</v>
          </cell>
          <cell r="O5486" t="str">
            <v>+++</v>
          </cell>
        </row>
        <row r="5487">
          <cell r="A5487" t="str">
            <v>420.40.55.570-6280.35</v>
          </cell>
          <cell r="B5487" t="str">
            <v>420</v>
          </cell>
          <cell r="C5487" t="str">
            <v>40</v>
          </cell>
          <cell r="D5487" t="str">
            <v>55</v>
          </cell>
          <cell r="E5487" t="str">
            <v>570</v>
          </cell>
          <cell r="F5487" t="str">
            <v>6280.35</v>
          </cell>
          <cell r="G5487" t="str">
            <v>Supplies-Public Works Water Meters &amp; Boxes</v>
          </cell>
          <cell r="H5487">
            <v>0</v>
          </cell>
          <cell r="I5487">
            <v>0</v>
          </cell>
          <cell r="J5487">
            <v>0</v>
          </cell>
          <cell r="K5487">
            <v>0</v>
          </cell>
          <cell r="L5487">
            <v>0</v>
          </cell>
          <cell r="M5487">
            <v>0</v>
          </cell>
          <cell r="N5487">
            <v>0</v>
          </cell>
          <cell r="O5487" t="str">
            <v>+++</v>
          </cell>
        </row>
        <row r="5488">
          <cell r="A5488" t="str">
            <v>420.40.55.570-6280.36</v>
          </cell>
          <cell r="B5488" t="str">
            <v>420</v>
          </cell>
          <cell r="C5488" t="str">
            <v>40</v>
          </cell>
          <cell r="D5488" t="str">
            <v>55</v>
          </cell>
          <cell r="E5488" t="str">
            <v>570</v>
          </cell>
          <cell r="F5488" t="str">
            <v>6280.36</v>
          </cell>
          <cell r="G5488" t="str">
            <v>Supplies-Public Works Traffic Calming</v>
          </cell>
          <cell r="H5488">
            <v>0</v>
          </cell>
          <cell r="I5488">
            <v>0</v>
          </cell>
          <cell r="J5488">
            <v>0</v>
          </cell>
          <cell r="K5488">
            <v>0</v>
          </cell>
          <cell r="L5488">
            <v>0</v>
          </cell>
          <cell r="M5488">
            <v>0</v>
          </cell>
          <cell r="N5488">
            <v>0</v>
          </cell>
          <cell r="O5488" t="str">
            <v>+++</v>
          </cell>
        </row>
        <row r="5489">
          <cell r="A5489" t="str">
            <v>420.40.55.570-6280.38</v>
          </cell>
          <cell r="B5489" t="str">
            <v>420</v>
          </cell>
          <cell r="C5489" t="str">
            <v>40</v>
          </cell>
          <cell r="D5489" t="str">
            <v>55</v>
          </cell>
          <cell r="E5489" t="str">
            <v>570</v>
          </cell>
          <cell r="F5489" t="str">
            <v>6280.38</v>
          </cell>
          <cell r="G5489" t="str">
            <v>Supplies-Public Works Global Supplies</v>
          </cell>
          <cell r="H5489">
            <v>0</v>
          </cell>
          <cell r="I5489">
            <v>0</v>
          </cell>
          <cell r="J5489">
            <v>0</v>
          </cell>
          <cell r="K5489">
            <v>0</v>
          </cell>
          <cell r="L5489">
            <v>0</v>
          </cell>
          <cell r="M5489">
            <v>0</v>
          </cell>
          <cell r="N5489">
            <v>0</v>
          </cell>
          <cell r="O5489" t="str">
            <v>+++</v>
          </cell>
        </row>
        <row r="5490">
          <cell r="A5490" t="str">
            <v>420.40.55.570-6280.39</v>
          </cell>
          <cell r="B5490" t="str">
            <v>420</v>
          </cell>
          <cell r="C5490" t="str">
            <v>40</v>
          </cell>
          <cell r="D5490" t="str">
            <v>55</v>
          </cell>
          <cell r="E5490" t="str">
            <v>570</v>
          </cell>
          <cell r="F5490" t="str">
            <v>6280.39</v>
          </cell>
          <cell r="G5490" t="str">
            <v>Supplies-Public Works Industrial Waste Pretreatment</v>
          </cell>
          <cell r="H5490">
            <v>0</v>
          </cell>
          <cell r="I5490">
            <v>0</v>
          </cell>
          <cell r="J5490">
            <v>0</v>
          </cell>
          <cell r="K5490">
            <v>0</v>
          </cell>
          <cell r="L5490">
            <v>0</v>
          </cell>
          <cell r="M5490">
            <v>0</v>
          </cell>
          <cell r="N5490">
            <v>0</v>
          </cell>
          <cell r="O5490" t="str">
            <v>+++</v>
          </cell>
        </row>
        <row r="5491">
          <cell r="A5491" t="str">
            <v>420.40.55.570-6280.41</v>
          </cell>
          <cell r="B5491" t="str">
            <v>420</v>
          </cell>
          <cell r="C5491" t="str">
            <v>40</v>
          </cell>
          <cell r="D5491" t="str">
            <v>55</v>
          </cell>
          <cell r="E5491" t="str">
            <v>570</v>
          </cell>
          <cell r="F5491" t="str">
            <v>6280.41</v>
          </cell>
          <cell r="G5491" t="str">
            <v>Supplies-Public Works Bevarage Container Grant</v>
          </cell>
          <cell r="H5491">
            <v>0</v>
          </cell>
          <cell r="I5491">
            <v>0</v>
          </cell>
          <cell r="J5491">
            <v>0</v>
          </cell>
          <cell r="K5491">
            <v>0</v>
          </cell>
          <cell r="L5491">
            <v>0</v>
          </cell>
          <cell r="M5491">
            <v>0</v>
          </cell>
          <cell r="N5491">
            <v>0</v>
          </cell>
          <cell r="O5491" t="str">
            <v>+++</v>
          </cell>
        </row>
        <row r="5492">
          <cell r="A5492" t="str">
            <v>420.40.55.570-6280.42</v>
          </cell>
          <cell r="B5492" t="str">
            <v>420</v>
          </cell>
          <cell r="C5492" t="str">
            <v>40</v>
          </cell>
          <cell r="D5492" t="str">
            <v>55</v>
          </cell>
          <cell r="E5492" t="str">
            <v>570</v>
          </cell>
          <cell r="F5492" t="str">
            <v>6280.42</v>
          </cell>
          <cell r="G5492" t="str">
            <v>Supplies-Public Works Industrial Wastewater</v>
          </cell>
          <cell r="H5492">
            <v>0</v>
          </cell>
          <cell r="I5492">
            <v>0</v>
          </cell>
          <cell r="J5492">
            <v>0</v>
          </cell>
          <cell r="K5492">
            <v>0</v>
          </cell>
          <cell r="L5492">
            <v>0</v>
          </cell>
          <cell r="M5492">
            <v>0</v>
          </cell>
          <cell r="N5492">
            <v>0</v>
          </cell>
          <cell r="O5492" t="str">
            <v>+++</v>
          </cell>
        </row>
        <row r="5493">
          <cell r="A5493" t="str">
            <v>420.40.55.570-6300.01</v>
          </cell>
          <cell r="B5493" t="str">
            <v>420</v>
          </cell>
          <cell r="C5493" t="str">
            <v>40</v>
          </cell>
          <cell r="D5493" t="str">
            <v>55</v>
          </cell>
          <cell r="E5493" t="str">
            <v>570</v>
          </cell>
          <cell r="F5493" t="str">
            <v>6300.01</v>
          </cell>
          <cell r="G5493" t="str">
            <v>Dues &amp; Subscriptions Memberships</v>
          </cell>
          <cell r="H5493">
            <v>0</v>
          </cell>
          <cell r="I5493">
            <v>0</v>
          </cell>
          <cell r="J5493">
            <v>0</v>
          </cell>
          <cell r="K5493">
            <v>0</v>
          </cell>
          <cell r="L5493">
            <v>0</v>
          </cell>
          <cell r="M5493">
            <v>0</v>
          </cell>
          <cell r="N5493">
            <v>0</v>
          </cell>
          <cell r="O5493" t="str">
            <v>+++</v>
          </cell>
        </row>
        <row r="5494">
          <cell r="A5494" t="str">
            <v>420.40.55.570-6300.02</v>
          </cell>
          <cell r="B5494" t="str">
            <v>420</v>
          </cell>
          <cell r="C5494" t="str">
            <v>40</v>
          </cell>
          <cell r="D5494" t="str">
            <v>55</v>
          </cell>
          <cell r="E5494" t="str">
            <v>570</v>
          </cell>
          <cell r="F5494" t="str">
            <v>6300.02</v>
          </cell>
          <cell r="G5494" t="str">
            <v>Dues &amp; Subscriptions Publications</v>
          </cell>
          <cell r="H5494">
            <v>0</v>
          </cell>
          <cell r="I5494">
            <v>0</v>
          </cell>
          <cell r="J5494">
            <v>0</v>
          </cell>
          <cell r="K5494">
            <v>0</v>
          </cell>
          <cell r="L5494">
            <v>0</v>
          </cell>
          <cell r="M5494">
            <v>0</v>
          </cell>
          <cell r="N5494">
            <v>0</v>
          </cell>
          <cell r="O5494" t="str">
            <v>+++</v>
          </cell>
        </row>
        <row r="5495">
          <cell r="A5495" t="str">
            <v>420.40.55.570-6300.03</v>
          </cell>
          <cell r="B5495" t="str">
            <v>420</v>
          </cell>
          <cell r="C5495" t="str">
            <v>40</v>
          </cell>
          <cell r="D5495" t="str">
            <v>55</v>
          </cell>
          <cell r="E5495" t="str">
            <v>570</v>
          </cell>
          <cell r="F5495" t="str">
            <v>6300.03</v>
          </cell>
          <cell r="G5495" t="str">
            <v>Dues &amp; Subscriptions Certifications</v>
          </cell>
          <cell r="H5495">
            <v>0</v>
          </cell>
          <cell r="I5495">
            <v>0</v>
          </cell>
          <cell r="J5495">
            <v>0</v>
          </cell>
          <cell r="K5495">
            <v>0</v>
          </cell>
          <cell r="L5495">
            <v>0</v>
          </cell>
          <cell r="M5495">
            <v>0</v>
          </cell>
          <cell r="N5495">
            <v>0</v>
          </cell>
          <cell r="O5495" t="str">
            <v>+++</v>
          </cell>
        </row>
        <row r="5496">
          <cell r="A5496" t="str">
            <v>420.40.55.570-6350.01</v>
          </cell>
          <cell r="B5496" t="str">
            <v>420</v>
          </cell>
          <cell r="C5496" t="str">
            <v>40</v>
          </cell>
          <cell r="D5496" t="str">
            <v>55</v>
          </cell>
          <cell r="E5496" t="str">
            <v>570</v>
          </cell>
          <cell r="F5496" t="str">
            <v>6350.01</v>
          </cell>
          <cell r="G5496" t="str">
            <v>Maintenance Agreements &amp; Licenses License/Software Maintenance</v>
          </cell>
          <cell r="H5496">
            <v>0</v>
          </cell>
          <cell r="I5496">
            <v>0</v>
          </cell>
          <cell r="J5496">
            <v>0</v>
          </cell>
          <cell r="K5496">
            <v>0</v>
          </cell>
          <cell r="L5496">
            <v>0</v>
          </cell>
          <cell r="M5496">
            <v>0</v>
          </cell>
          <cell r="N5496">
            <v>0</v>
          </cell>
          <cell r="O5496" t="str">
            <v>+++</v>
          </cell>
        </row>
        <row r="5497">
          <cell r="A5497" t="str">
            <v>420.40.55.570-6350.02</v>
          </cell>
          <cell r="B5497" t="str">
            <v>420</v>
          </cell>
          <cell r="C5497" t="str">
            <v>40</v>
          </cell>
          <cell r="D5497" t="str">
            <v>55</v>
          </cell>
          <cell r="E5497" t="str">
            <v>570</v>
          </cell>
          <cell r="F5497" t="str">
            <v>6350.02</v>
          </cell>
          <cell r="G5497" t="str">
            <v>Maintenance Agreements &amp; Licenses Hardware Maintenance</v>
          </cell>
          <cell r="H5497">
            <v>0</v>
          </cell>
          <cell r="I5497">
            <v>0</v>
          </cell>
          <cell r="J5497">
            <v>0</v>
          </cell>
          <cell r="K5497">
            <v>0</v>
          </cell>
          <cell r="L5497">
            <v>0</v>
          </cell>
          <cell r="M5497">
            <v>0</v>
          </cell>
          <cell r="N5497">
            <v>0</v>
          </cell>
          <cell r="O5497" t="str">
            <v>+++</v>
          </cell>
        </row>
        <row r="5498">
          <cell r="A5498" t="str">
            <v>420.40.55.570-6350.03</v>
          </cell>
          <cell r="B5498" t="str">
            <v>420</v>
          </cell>
          <cell r="C5498" t="str">
            <v>40</v>
          </cell>
          <cell r="D5498" t="str">
            <v>55</v>
          </cell>
          <cell r="E5498" t="str">
            <v>570</v>
          </cell>
          <cell r="F5498" t="str">
            <v>6350.03</v>
          </cell>
          <cell r="G5498" t="str">
            <v>Maintenance Agreements &amp; Licenses Maintenance Agreements</v>
          </cell>
          <cell r="H5498">
            <v>0</v>
          </cell>
          <cell r="I5498">
            <v>0</v>
          </cell>
          <cell r="J5498">
            <v>0</v>
          </cell>
          <cell r="K5498">
            <v>0</v>
          </cell>
          <cell r="L5498">
            <v>0</v>
          </cell>
          <cell r="M5498">
            <v>0</v>
          </cell>
          <cell r="N5498">
            <v>0</v>
          </cell>
          <cell r="O5498" t="str">
            <v>+++</v>
          </cell>
        </row>
        <row r="5499">
          <cell r="A5499" t="str">
            <v>420.40.55.570-6350.04</v>
          </cell>
          <cell r="B5499" t="str">
            <v>420</v>
          </cell>
          <cell r="C5499" t="str">
            <v>40</v>
          </cell>
          <cell r="D5499" t="str">
            <v>55</v>
          </cell>
          <cell r="E5499" t="str">
            <v>570</v>
          </cell>
          <cell r="F5499" t="str">
            <v>6350.04</v>
          </cell>
          <cell r="G5499" t="str">
            <v>Maintenance Agreements &amp; Licenses SCADA</v>
          </cell>
          <cell r="H5499">
            <v>0</v>
          </cell>
          <cell r="I5499">
            <v>0</v>
          </cell>
          <cell r="J5499">
            <v>0</v>
          </cell>
          <cell r="K5499">
            <v>0</v>
          </cell>
          <cell r="L5499">
            <v>0</v>
          </cell>
          <cell r="M5499">
            <v>0</v>
          </cell>
          <cell r="N5499">
            <v>0</v>
          </cell>
          <cell r="O5499" t="str">
            <v>+++</v>
          </cell>
        </row>
        <row r="5500">
          <cell r="A5500" t="str">
            <v>420.40.55.570-6350.05</v>
          </cell>
          <cell r="B5500" t="str">
            <v>420</v>
          </cell>
          <cell r="C5500" t="str">
            <v>40</v>
          </cell>
          <cell r="D5500" t="str">
            <v>55</v>
          </cell>
          <cell r="E5500" t="str">
            <v>570</v>
          </cell>
          <cell r="F5500" t="str">
            <v>6350.05</v>
          </cell>
          <cell r="G5500" t="str">
            <v>Maintenance Agreements &amp; Licenses Traffic Control</v>
          </cell>
          <cell r="H5500">
            <v>0</v>
          </cell>
          <cell r="I5500">
            <v>0</v>
          </cell>
          <cell r="J5500">
            <v>0</v>
          </cell>
          <cell r="K5500">
            <v>0</v>
          </cell>
          <cell r="L5500">
            <v>0</v>
          </cell>
          <cell r="M5500">
            <v>0</v>
          </cell>
          <cell r="N5500">
            <v>0</v>
          </cell>
          <cell r="O5500" t="str">
            <v>+++</v>
          </cell>
        </row>
        <row r="5501">
          <cell r="A5501" t="str">
            <v>420.40.55.570-6350.06</v>
          </cell>
          <cell r="B5501" t="str">
            <v>420</v>
          </cell>
          <cell r="C5501" t="str">
            <v>40</v>
          </cell>
          <cell r="D5501" t="str">
            <v>55</v>
          </cell>
          <cell r="E5501" t="str">
            <v>570</v>
          </cell>
          <cell r="F5501" t="str">
            <v>6350.06</v>
          </cell>
          <cell r="G5501" t="str">
            <v>Maintenance Agreements &amp; Licenses Streetlights</v>
          </cell>
          <cell r="H5501">
            <v>0</v>
          </cell>
          <cell r="I5501">
            <v>0</v>
          </cell>
          <cell r="J5501">
            <v>0</v>
          </cell>
          <cell r="K5501">
            <v>0</v>
          </cell>
          <cell r="L5501">
            <v>0</v>
          </cell>
          <cell r="M5501">
            <v>0</v>
          </cell>
          <cell r="N5501">
            <v>0</v>
          </cell>
          <cell r="O5501" t="str">
            <v>+++</v>
          </cell>
        </row>
        <row r="5502">
          <cell r="A5502" t="str">
            <v>420.40.55.570-6375.01</v>
          </cell>
          <cell r="B5502" t="str">
            <v>420</v>
          </cell>
          <cell r="C5502" t="str">
            <v>40</v>
          </cell>
          <cell r="D5502" t="str">
            <v>55</v>
          </cell>
          <cell r="E5502" t="str">
            <v>570</v>
          </cell>
          <cell r="F5502" t="str">
            <v>6375.01</v>
          </cell>
          <cell r="G5502" t="str">
            <v>Operating Fees NPDES Permit Renewal</v>
          </cell>
          <cell r="H5502">
            <v>0</v>
          </cell>
          <cell r="I5502">
            <v>0</v>
          </cell>
          <cell r="J5502">
            <v>0</v>
          </cell>
          <cell r="K5502">
            <v>0</v>
          </cell>
          <cell r="L5502">
            <v>0</v>
          </cell>
          <cell r="M5502">
            <v>0</v>
          </cell>
          <cell r="N5502">
            <v>0</v>
          </cell>
          <cell r="O5502" t="str">
            <v>+++</v>
          </cell>
        </row>
        <row r="5503">
          <cell r="A5503" t="str">
            <v>420.40.55.570-6375.02</v>
          </cell>
          <cell r="B5503" t="str">
            <v>420</v>
          </cell>
          <cell r="C5503" t="str">
            <v>40</v>
          </cell>
          <cell r="D5503" t="str">
            <v>55</v>
          </cell>
          <cell r="E5503" t="str">
            <v>570</v>
          </cell>
          <cell r="F5503" t="str">
            <v>6375.02</v>
          </cell>
          <cell r="G5503" t="str">
            <v>Operating Fees NPDES Permit Compliance</v>
          </cell>
          <cell r="H5503">
            <v>0</v>
          </cell>
          <cell r="I5503">
            <v>0</v>
          </cell>
          <cell r="J5503">
            <v>0</v>
          </cell>
          <cell r="K5503">
            <v>0</v>
          </cell>
          <cell r="L5503">
            <v>0</v>
          </cell>
          <cell r="M5503">
            <v>0</v>
          </cell>
          <cell r="N5503">
            <v>0</v>
          </cell>
          <cell r="O5503" t="str">
            <v>+++</v>
          </cell>
        </row>
        <row r="5504">
          <cell r="A5504" t="str">
            <v>420.40.55.570-6375.03</v>
          </cell>
          <cell r="B5504" t="str">
            <v>420</v>
          </cell>
          <cell r="C5504" t="str">
            <v>40</v>
          </cell>
          <cell r="D5504" t="str">
            <v>55</v>
          </cell>
          <cell r="E5504" t="str">
            <v>570</v>
          </cell>
          <cell r="F5504" t="str">
            <v>6375.03</v>
          </cell>
          <cell r="G5504" t="str">
            <v>Operating Fees SSJID Drainage</v>
          </cell>
          <cell r="H5504">
            <v>0</v>
          </cell>
          <cell r="I5504">
            <v>0</v>
          </cell>
          <cell r="J5504">
            <v>0</v>
          </cell>
          <cell r="K5504">
            <v>0</v>
          </cell>
          <cell r="L5504">
            <v>0</v>
          </cell>
          <cell r="M5504">
            <v>0</v>
          </cell>
          <cell r="N5504">
            <v>0</v>
          </cell>
          <cell r="O5504" t="str">
            <v>+++</v>
          </cell>
        </row>
        <row r="5505">
          <cell r="A5505" t="str">
            <v>420.40.55.570-6375.04</v>
          </cell>
          <cell r="B5505" t="str">
            <v>420</v>
          </cell>
          <cell r="C5505" t="str">
            <v>40</v>
          </cell>
          <cell r="D5505" t="str">
            <v>55</v>
          </cell>
          <cell r="E5505" t="str">
            <v>570</v>
          </cell>
          <cell r="F5505" t="str">
            <v>6375.04</v>
          </cell>
          <cell r="G5505" t="str">
            <v>Operating Fees Operating Permits</v>
          </cell>
          <cell r="H5505">
            <v>0</v>
          </cell>
          <cell r="I5505">
            <v>0</v>
          </cell>
          <cell r="J5505">
            <v>0</v>
          </cell>
          <cell r="K5505">
            <v>0</v>
          </cell>
          <cell r="L5505">
            <v>0</v>
          </cell>
          <cell r="M5505">
            <v>0</v>
          </cell>
          <cell r="N5505">
            <v>0</v>
          </cell>
          <cell r="O5505" t="str">
            <v>+++</v>
          </cell>
        </row>
        <row r="5506">
          <cell r="A5506" t="str">
            <v>420.40.55.570-6375.05</v>
          </cell>
          <cell r="B5506" t="str">
            <v>420</v>
          </cell>
          <cell r="C5506" t="str">
            <v>40</v>
          </cell>
          <cell r="D5506" t="str">
            <v>55</v>
          </cell>
          <cell r="E5506" t="str">
            <v>570</v>
          </cell>
          <cell r="F5506" t="str">
            <v>6375.05</v>
          </cell>
          <cell r="G5506" t="str">
            <v>Operating Fees Annual Waste Discharger</v>
          </cell>
          <cell r="H5506">
            <v>0</v>
          </cell>
          <cell r="I5506">
            <v>0</v>
          </cell>
          <cell r="J5506">
            <v>0</v>
          </cell>
          <cell r="K5506">
            <v>0</v>
          </cell>
          <cell r="L5506">
            <v>0</v>
          </cell>
          <cell r="M5506">
            <v>0</v>
          </cell>
          <cell r="N5506">
            <v>0</v>
          </cell>
          <cell r="O5506" t="str">
            <v>+++</v>
          </cell>
        </row>
        <row r="5507">
          <cell r="A5507" t="str">
            <v>420.40.55.570-6375.07</v>
          </cell>
          <cell r="B5507" t="str">
            <v>420</v>
          </cell>
          <cell r="C5507" t="str">
            <v>40</v>
          </cell>
          <cell r="D5507" t="str">
            <v>55</v>
          </cell>
          <cell r="E5507" t="str">
            <v>570</v>
          </cell>
          <cell r="F5507" t="str">
            <v>6375.07</v>
          </cell>
          <cell r="G5507" t="str">
            <v>Operating Fees Permit</v>
          </cell>
          <cell r="H5507">
            <v>0</v>
          </cell>
          <cell r="I5507">
            <v>0</v>
          </cell>
          <cell r="J5507">
            <v>0</v>
          </cell>
          <cell r="K5507">
            <v>0</v>
          </cell>
          <cell r="L5507">
            <v>0</v>
          </cell>
          <cell r="M5507">
            <v>0</v>
          </cell>
          <cell r="N5507">
            <v>0</v>
          </cell>
          <cell r="O5507" t="str">
            <v>+++</v>
          </cell>
        </row>
        <row r="5508">
          <cell r="A5508" t="str">
            <v>420.40.55.570-6375.08</v>
          </cell>
          <cell r="B5508" t="str">
            <v>420</v>
          </cell>
          <cell r="C5508" t="str">
            <v>40</v>
          </cell>
          <cell r="D5508" t="str">
            <v>55</v>
          </cell>
          <cell r="E5508" t="str">
            <v>570</v>
          </cell>
          <cell r="F5508" t="str">
            <v>6375.08</v>
          </cell>
          <cell r="G5508" t="str">
            <v>Operating Fees Operating Permits Reg</v>
          </cell>
          <cell r="H5508">
            <v>0</v>
          </cell>
          <cell r="I5508">
            <v>0</v>
          </cell>
          <cell r="J5508">
            <v>0</v>
          </cell>
          <cell r="K5508">
            <v>0</v>
          </cell>
          <cell r="L5508">
            <v>0</v>
          </cell>
          <cell r="M5508">
            <v>0</v>
          </cell>
          <cell r="N5508">
            <v>0</v>
          </cell>
          <cell r="O5508" t="str">
            <v>+++</v>
          </cell>
        </row>
        <row r="5509">
          <cell r="A5509" t="str">
            <v>420.40.55.570-6375.09</v>
          </cell>
          <cell r="B5509" t="str">
            <v>420</v>
          </cell>
          <cell r="C5509" t="str">
            <v>40</v>
          </cell>
          <cell r="D5509" t="str">
            <v>55</v>
          </cell>
          <cell r="E5509" t="str">
            <v>570</v>
          </cell>
          <cell r="F5509" t="str">
            <v>6375.09</v>
          </cell>
          <cell r="G5509" t="str">
            <v>Operating Fees Dumping</v>
          </cell>
          <cell r="H5509">
            <v>0</v>
          </cell>
          <cell r="I5509">
            <v>0</v>
          </cell>
          <cell r="J5509">
            <v>0</v>
          </cell>
          <cell r="K5509">
            <v>0</v>
          </cell>
          <cell r="L5509">
            <v>0</v>
          </cell>
          <cell r="M5509">
            <v>0</v>
          </cell>
          <cell r="N5509">
            <v>0</v>
          </cell>
          <cell r="O5509" t="str">
            <v>+++</v>
          </cell>
        </row>
        <row r="5510">
          <cell r="A5510" t="str">
            <v>420.40.55.570-6375.10</v>
          </cell>
          <cell r="B5510" t="str">
            <v>420</v>
          </cell>
          <cell r="C5510" t="str">
            <v>40</v>
          </cell>
          <cell r="D5510" t="str">
            <v>55</v>
          </cell>
          <cell r="E5510" t="str">
            <v>570</v>
          </cell>
          <cell r="F5510" t="str">
            <v>6375.10</v>
          </cell>
          <cell r="G5510" t="str">
            <v>Operating Fees Sludge Disposal</v>
          </cell>
          <cell r="H5510">
            <v>0</v>
          </cell>
          <cell r="I5510">
            <v>0</v>
          </cell>
          <cell r="J5510">
            <v>0</v>
          </cell>
          <cell r="K5510">
            <v>0</v>
          </cell>
          <cell r="L5510">
            <v>0</v>
          </cell>
          <cell r="M5510">
            <v>0</v>
          </cell>
          <cell r="N5510">
            <v>0</v>
          </cell>
          <cell r="O5510" t="str">
            <v>+++</v>
          </cell>
        </row>
        <row r="5511">
          <cell r="A5511" t="str">
            <v>420.40.55.570-6375.11</v>
          </cell>
          <cell r="B5511" t="str">
            <v>420</v>
          </cell>
          <cell r="C5511" t="str">
            <v>40</v>
          </cell>
          <cell r="D5511" t="str">
            <v>55</v>
          </cell>
          <cell r="E5511" t="str">
            <v>570</v>
          </cell>
          <cell r="F5511" t="str">
            <v>6375.11</v>
          </cell>
          <cell r="G5511" t="str">
            <v>Operating Fees Compost Tipping</v>
          </cell>
          <cell r="H5511">
            <v>0</v>
          </cell>
          <cell r="I5511">
            <v>0</v>
          </cell>
          <cell r="J5511">
            <v>0</v>
          </cell>
          <cell r="K5511">
            <v>0</v>
          </cell>
          <cell r="L5511">
            <v>0</v>
          </cell>
          <cell r="M5511">
            <v>0</v>
          </cell>
          <cell r="N5511">
            <v>0</v>
          </cell>
          <cell r="O5511" t="str">
            <v>+++</v>
          </cell>
        </row>
        <row r="5512">
          <cell r="A5512" t="str">
            <v>420.40.55.570-6375.12</v>
          </cell>
          <cell r="B5512" t="str">
            <v>420</v>
          </cell>
          <cell r="C5512" t="str">
            <v>40</v>
          </cell>
          <cell r="D5512" t="str">
            <v>55</v>
          </cell>
          <cell r="E5512" t="str">
            <v>570</v>
          </cell>
          <cell r="F5512" t="str">
            <v>6375.12</v>
          </cell>
          <cell r="G5512" t="str">
            <v>Operating Fees Curbside Recycling</v>
          </cell>
          <cell r="H5512">
            <v>0</v>
          </cell>
          <cell r="I5512">
            <v>0</v>
          </cell>
          <cell r="J5512">
            <v>0</v>
          </cell>
          <cell r="K5512">
            <v>0</v>
          </cell>
          <cell r="L5512">
            <v>0</v>
          </cell>
          <cell r="M5512">
            <v>0</v>
          </cell>
          <cell r="N5512">
            <v>0</v>
          </cell>
          <cell r="O5512" t="str">
            <v>+++</v>
          </cell>
        </row>
        <row r="5513">
          <cell r="A5513" t="str">
            <v>420.40.55.570-6375.15</v>
          </cell>
          <cell r="B5513" t="str">
            <v>420</v>
          </cell>
          <cell r="C5513" t="str">
            <v>40</v>
          </cell>
          <cell r="D5513" t="str">
            <v>55</v>
          </cell>
          <cell r="E5513" t="str">
            <v>570</v>
          </cell>
          <cell r="F5513" t="str">
            <v>6375.15</v>
          </cell>
          <cell r="G5513" t="str">
            <v>Operating Fees Concrete/Asphalt Tipping</v>
          </cell>
          <cell r="H5513">
            <v>0</v>
          </cell>
          <cell r="I5513">
            <v>0</v>
          </cell>
          <cell r="J5513">
            <v>0</v>
          </cell>
          <cell r="K5513">
            <v>0</v>
          </cell>
          <cell r="L5513">
            <v>0</v>
          </cell>
          <cell r="M5513">
            <v>0</v>
          </cell>
          <cell r="N5513">
            <v>0</v>
          </cell>
          <cell r="O5513" t="str">
            <v>+++</v>
          </cell>
        </row>
        <row r="5514">
          <cell r="A5514" t="str">
            <v>420.40.55.570-6375.16</v>
          </cell>
          <cell r="B5514" t="str">
            <v>420</v>
          </cell>
          <cell r="C5514" t="str">
            <v>40</v>
          </cell>
          <cell r="D5514" t="str">
            <v>55</v>
          </cell>
          <cell r="E5514" t="str">
            <v>570</v>
          </cell>
          <cell r="F5514" t="str">
            <v>6375.16</v>
          </cell>
          <cell r="G5514" t="str">
            <v>Operating Fees Universal Waste Recycling</v>
          </cell>
          <cell r="H5514">
            <v>0</v>
          </cell>
          <cell r="I5514">
            <v>0</v>
          </cell>
          <cell r="J5514">
            <v>0</v>
          </cell>
          <cell r="K5514">
            <v>0</v>
          </cell>
          <cell r="L5514">
            <v>0</v>
          </cell>
          <cell r="M5514">
            <v>0</v>
          </cell>
          <cell r="N5514">
            <v>0</v>
          </cell>
          <cell r="O5514" t="str">
            <v>+++</v>
          </cell>
        </row>
        <row r="5515">
          <cell r="A5515" t="str">
            <v>420.40.55.570-6375.18</v>
          </cell>
          <cell r="B5515" t="str">
            <v>420</v>
          </cell>
          <cell r="C5515" t="str">
            <v>40</v>
          </cell>
          <cell r="D5515" t="str">
            <v>55</v>
          </cell>
          <cell r="E5515" t="str">
            <v>570</v>
          </cell>
          <cell r="F5515" t="str">
            <v>6375.18</v>
          </cell>
          <cell r="G5515" t="str">
            <v>Operating Fees Used Oil Recycling</v>
          </cell>
          <cell r="H5515">
            <v>0</v>
          </cell>
          <cell r="I5515">
            <v>0</v>
          </cell>
          <cell r="J5515">
            <v>0</v>
          </cell>
          <cell r="K5515">
            <v>0</v>
          </cell>
          <cell r="L5515">
            <v>0</v>
          </cell>
          <cell r="M5515">
            <v>0</v>
          </cell>
          <cell r="N5515">
            <v>0</v>
          </cell>
          <cell r="O5515" t="str">
            <v>+++</v>
          </cell>
        </row>
        <row r="5516">
          <cell r="A5516" t="str">
            <v>420.40.55.570-6375.19</v>
          </cell>
          <cell r="B5516" t="str">
            <v>420</v>
          </cell>
          <cell r="C5516" t="str">
            <v>40</v>
          </cell>
          <cell r="D5516" t="str">
            <v>55</v>
          </cell>
          <cell r="E5516" t="str">
            <v>570</v>
          </cell>
          <cell r="F5516" t="str">
            <v>6375.19</v>
          </cell>
          <cell r="G5516" t="str">
            <v>Operating Fees Highway Signal</v>
          </cell>
          <cell r="H5516">
            <v>0</v>
          </cell>
          <cell r="I5516">
            <v>0</v>
          </cell>
          <cell r="J5516">
            <v>0</v>
          </cell>
          <cell r="K5516">
            <v>0</v>
          </cell>
          <cell r="L5516">
            <v>0</v>
          </cell>
          <cell r="M5516">
            <v>0</v>
          </cell>
          <cell r="N5516">
            <v>0</v>
          </cell>
          <cell r="O5516" t="str">
            <v>+++</v>
          </cell>
        </row>
        <row r="5517">
          <cell r="A5517" t="str">
            <v>420.40.55.570-6375.20</v>
          </cell>
          <cell r="B5517" t="str">
            <v>420</v>
          </cell>
          <cell r="C5517" t="str">
            <v>40</v>
          </cell>
          <cell r="D5517" t="str">
            <v>55</v>
          </cell>
          <cell r="E5517" t="str">
            <v>570</v>
          </cell>
          <cell r="F5517" t="str">
            <v>6375.20</v>
          </cell>
          <cell r="G5517" t="str">
            <v>Operating Fees Fines and Penalties</v>
          </cell>
          <cell r="H5517">
            <v>0</v>
          </cell>
          <cell r="I5517">
            <v>0</v>
          </cell>
          <cell r="J5517">
            <v>0</v>
          </cell>
          <cell r="K5517">
            <v>0</v>
          </cell>
          <cell r="L5517">
            <v>0</v>
          </cell>
          <cell r="M5517">
            <v>0</v>
          </cell>
          <cell r="N5517">
            <v>0</v>
          </cell>
          <cell r="O5517" t="str">
            <v>+++</v>
          </cell>
        </row>
        <row r="5518">
          <cell r="A5518" t="str">
            <v>420.40.55.570-6400.01</v>
          </cell>
          <cell r="B5518" t="str">
            <v>420</v>
          </cell>
          <cell r="C5518" t="str">
            <v>40</v>
          </cell>
          <cell r="D5518" t="str">
            <v>55</v>
          </cell>
          <cell r="E5518" t="str">
            <v>570</v>
          </cell>
          <cell r="F5518" t="str">
            <v>6400.01</v>
          </cell>
          <cell r="G5518" t="str">
            <v>Repairs &amp; Maintenance Building</v>
          </cell>
          <cell r="H5518">
            <v>0</v>
          </cell>
          <cell r="I5518">
            <v>0</v>
          </cell>
          <cell r="J5518">
            <v>0</v>
          </cell>
          <cell r="K5518">
            <v>0</v>
          </cell>
          <cell r="L5518">
            <v>0</v>
          </cell>
          <cell r="M5518">
            <v>0</v>
          </cell>
          <cell r="N5518">
            <v>0</v>
          </cell>
          <cell r="O5518" t="str">
            <v>+++</v>
          </cell>
        </row>
        <row r="5519">
          <cell r="A5519" t="str">
            <v>420.40.55.570-6400.02</v>
          </cell>
          <cell r="B5519" t="str">
            <v>420</v>
          </cell>
          <cell r="C5519" t="str">
            <v>40</v>
          </cell>
          <cell r="D5519" t="str">
            <v>55</v>
          </cell>
          <cell r="E5519" t="str">
            <v>570</v>
          </cell>
          <cell r="F5519" t="str">
            <v>6400.02</v>
          </cell>
          <cell r="G5519" t="str">
            <v>Repairs &amp; Maintenance Minor Equipment/Other</v>
          </cell>
          <cell r="H5519">
            <v>0</v>
          </cell>
          <cell r="I5519">
            <v>0</v>
          </cell>
          <cell r="J5519">
            <v>0</v>
          </cell>
          <cell r="K5519">
            <v>0</v>
          </cell>
          <cell r="L5519">
            <v>0</v>
          </cell>
          <cell r="M5519">
            <v>0</v>
          </cell>
          <cell r="N5519">
            <v>0</v>
          </cell>
          <cell r="O5519" t="str">
            <v>+++</v>
          </cell>
        </row>
        <row r="5520">
          <cell r="A5520" t="str">
            <v>420.40.55.570-6400.03</v>
          </cell>
          <cell r="B5520" t="str">
            <v>420</v>
          </cell>
          <cell r="C5520" t="str">
            <v>40</v>
          </cell>
          <cell r="D5520" t="str">
            <v>55</v>
          </cell>
          <cell r="E5520" t="str">
            <v>570</v>
          </cell>
          <cell r="F5520" t="str">
            <v>6400.03</v>
          </cell>
          <cell r="G5520" t="str">
            <v>Repairs &amp; Maintenance Major Repair &amp; Contingency</v>
          </cell>
          <cell r="H5520">
            <v>0</v>
          </cell>
          <cell r="I5520">
            <v>0</v>
          </cell>
          <cell r="J5520">
            <v>0</v>
          </cell>
          <cell r="K5520">
            <v>0</v>
          </cell>
          <cell r="L5520">
            <v>0</v>
          </cell>
          <cell r="M5520">
            <v>0</v>
          </cell>
          <cell r="N5520">
            <v>0</v>
          </cell>
          <cell r="O5520" t="str">
            <v>+++</v>
          </cell>
        </row>
        <row r="5521">
          <cell r="A5521" t="str">
            <v>420.40.55.570-6400.04</v>
          </cell>
          <cell r="B5521" t="str">
            <v>420</v>
          </cell>
          <cell r="C5521" t="str">
            <v>40</v>
          </cell>
          <cell r="D5521" t="str">
            <v>55</v>
          </cell>
          <cell r="E5521" t="str">
            <v>570</v>
          </cell>
          <cell r="F5521" t="str">
            <v>6400.04</v>
          </cell>
          <cell r="G5521" t="str">
            <v>Repairs &amp; Maintenance Equipment Rental</v>
          </cell>
          <cell r="H5521">
            <v>0</v>
          </cell>
          <cell r="I5521">
            <v>0</v>
          </cell>
          <cell r="J5521">
            <v>0</v>
          </cell>
          <cell r="K5521">
            <v>0</v>
          </cell>
          <cell r="L5521">
            <v>0</v>
          </cell>
          <cell r="M5521">
            <v>0</v>
          </cell>
          <cell r="N5521">
            <v>0</v>
          </cell>
          <cell r="O5521" t="str">
            <v>+++</v>
          </cell>
        </row>
        <row r="5522">
          <cell r="A5522" t="str">
            <v>420.40.55.570-6400.05</v>
          </cell>
          <cell r="B5522" t="str">
            <v>420</v>
          </cell>
          <cell r="C5522" t="str">
            <v>40</v>
          </cell>
          <cell r="D5522" t="str">
            <v>55</v>
          </cell>
          <cell r="E5522" t="str">
            <v>570</v>
          </cell>
          <cell r="F5522" t="str">
            <v>6400.05</v>
          </cell>
          <cell r="G5522" t="str">
            <v>Repairs &amp; Maintenance Vehicle</v>
          </cell>
          <cell r="H5522">
            <v>0</v>
          </cell>
          <cell r="I5522">
            <v>0</v>
          </cell>
          <cell r="J5522">
            <v>0</v>
          </cell>
          <cell r="K5522">
            <v>0</v>
          </cell>
          <cell r="L5522">
            <v>0</v>
          </cell>
          <cell r="M5522">
            <v>0</v>
          </cell>
          <cell r="N5522">
            <v>0</v>
          </cell>
          <cell r="O5522" t="str">
            <v>+++</v>
          </cell>
        </row>
        <row r="5523">
          <cell r="A5523" t="str">
            <v>420.40.55.570-6400.07</v>
          </cell>
          <cell r="B5523" t="str">
            <v>420</v>
          </cell>
          <cell r="C5523" t="str">
            <v>40</v>
          </cell>
          <cell r="D5523" t="str">
            <v>55</v>
          </cell>
          <cell r="E5523" t="str">
            <v>570</v>
          </cell>
          <cell r="F5523" t="str">
            <v>6400.07</v>
          </cell>
          <cell r="G5523" t="str">
            <v>Repairs &amp; Maintenance Radio Communication</v>
          </cell>
          <cell r="H5523">
            <v>0</v>
          </cell>
          <cell r="I5523">
            <v>0</v>
          </cell>
          <cell r="J5523">
            <v>0</v>
          </cell>
          <cell r="K5523">
            <v>0</v>
          </cell>
          <cell r="L5523">
            <v>0</v>
          </cell>
          <cell r="M5523">
            <v>0</v>
          </cell>
          <cell r="N5523">
            <v>0</v>
          </cell>
          <cell r="O5523" t="str">
            <v>+++</v>
          </cell>
        </row>
        <row r="5524">
          <cell r="A5524" t="str">
            <v>420.40.55.570-6400.09</v>
          </cell>
          <cell r="B5524" t="str">
            <v>420</v>
          </cell>
          <cell r="C5524" t="str">
            <v>40</v>
          </cell>
          <cell r="D5524" t="str">
            <v>55</v>
          </cell>
          <cell r="E5524" t="str">
            <v>570</v>
          </cell>
          <cell r="F5524" t="str">
            <v>6400.09</v>
          </cell>
          <cell r="G5524" t="str">
            <v>Repairs &amp; Maintenance Well</v>
          </cell>
          <cell r="H5524">
            <v>0</v>
          </cell>
          <cell r="I5524">
            <v>0</v>
          </cell>
          <cell r="J5524">
            <v>0</v>
          </cell>
          <cell r="K5524">
            <v>0</v>
          </cell>
          <cell r="L5524">
            <v>0</v>
          </cell>
          <cell r="M5524">
            <v>0</v>
          </cell>
          <cell r="N5524">
            <v>0</v>
          </cell>
          <cell r="O5524" t="str">
            <v>+++</v>
          </cell>
        </row>
        <row r="5525">
          <cell r="A5525" t="str">
            <v>420.40.55.570-6400.10</v>
          </cell>
          <cell r="B5525" t="str">
            <v>420</v>
          </cell>
          <cell r="C5525" t="str">
            <v>40</v>
          </cell>
          <cell r="D5525" t="str">
            <v>55</v>
          </cell>
          <cell r="E5525" t="str">
            <v>570</v>
          </cell>
          <cell r="F5525" t="str">
            <v>6400.10</v>
          </cell>
          <cell r="G5525" t="str">
            <v>Repairs &amp; Maintenance Pavement</v>
          </cell>
          <cell r="H5525">
            <v>0</v>
          </cell>
          <cell r="I5525">
            <v>0</v>
          </cell>
          <cell r="J5525">
            <v>0</v>
          </cell>
          <cell r="K5525">
            <v>0</v>
          </cell>
          <cell r="L5525">
            <v>0</v>
          </cell>
          <cell r="M5525">
            <v>0</v>
          </cell>
          <cell r="N5525">
            <v>0</v>
          </cell>
          <cell r="O5525" t="str">
            <v>+++</v>
          </cell>
        </row>
        <row r="5526">
          <cell r="A5526" t="str">
            <v>420.40.55.570-6400.12</v>
          </cell>
          <cell r="B5526" t="str">
            <v>420</v>
          </cell>
          <cell r="C5526" t="str">
            <v>40</v>
          </cell>
          <cell r="D5526" t="str">
            <v>55</v>
          </cell>
          <cell r="E5526" t="str">
            <v>570</v>
          </cell>
          <cell r="F5526" t="str">
            <v>6400.12</v>
          </cell>
          <cell r="G5526" t="str">
            <v>Repairs &amp; Maintenance Pump</v>
          </cell>
          <cell r="H5526">
            <v>0</v>
          </cell>
          <cell r="I5526">
            <v>0</v>
          </cell>
          <cell r="J5526">
            <v>0</v>
          </cell>
          <cell r="K5526">
            <v>0</v>
          </cell>
          <cell r="L5526">
            <v>0</v>
          </cell>
          <cell r="M5526">
            <v>0</v>
          </cell>
          <cell r="N5526">
            <v>0</v>
          </cell>
          <cell r="O5526" t="str">
            <v>+++</v>
          </cell>
        </row>
        <row r="5527">
          <cell r="A5527" t="str">
            <v>420.40.55.570-6400.13</v>
          </cell>
          <cell r="B5527" t="str">
            <v>420</v>
          </cell>
          <cell r="C5527" t="str">
            <v>40</v>
          </cell>
          <cell r="D5527" t="str">
            <v>55</v>
          </cell>
          <cell r="E5527" t="str">
            <v>570</v>
          </cell>
          <cell r="F5527" t="str">
            <v>6400.13</v>
          </cell>
          <cell r="G5527" t="str">
            <v>Repairs &amp; Maintenance Storm Drain</v>
          </cell>
          <cell r="H5527">
            <v>0</v>
          </cell>
          <cell r="I5527">
            <v>0</v>
          </cell>
          <cell r="J5527">
            <v>0</v>
          </cell>
          <cell r="K5527">
            <v>0</v>
          </cell>
          <cell r="L5527">
            <v>0</v>
          </cell>
          <cell r="M5527">
            <v>0</v>
          </cell>
          <cell r="N5527">
            <v>0</v>
          </cell>
          <cell r="O5527" t="str">
            <v>+++</v>
          </cell>
        </row>
        <row r="5528">
          <cell r="A5528" t="str">
            <v>420.40.55.570-6400.19</v>
          </cell>
          <cell r="B5528" t="str">
            <v>420</v>
          </cell>
          <cell r="C5528" t="str">
            <v>40</v>
          </cell>
          <cell r="D5528" t="str">
            <v>55</v>
          </cell>
          <cell r="E5528" t="str">
            <v>570</v>
          </cell>
          <cell r="F5528" t="str">
            <v>6400.19</v>
          </cell>
          <cell r="G5528" t="str">
            <v>Repairs &amp; Maintenance Testing/Certifications</v>
          </cell>
          <cell r="H5528">
            <v>0</v>
          </cell>
          <cell r="I5528">
            <v>0</v>
          </cell>
          <cell r="J5528">
            <v>0</v>
          </cell>
          <cell r="K5528">
            <v>0</v>
          </cell>
          <cell r="L5528">
            <v>0</v>
          </cell>
          <cell r="M5528">
            <v>0</v>
          </cell>
          <cell r="N5528">
            <v>0</v>
          </cell>
          <cell r="O5528" t="str">
            <v>+++</v>
          </cell>
        </row>
        <row r="5529">
          <cell r="A5529" t="str">
            <v>420.40.55.570-6400.20</v>
          </cell>
          <cell r="B5529" t="str">
            <v>420</v>
          </cell>
          <cell r="C5529" t="str">
            <v>40</v>
          </cell>
          <cell r="D5529" t="str">
            <v>55</v>
          </cell>
          <cell r="E5529" t="str">
            <v>570</v>
          </cell>
          <cell r="F5529" t="str">
            <v>6400.20</v>
          </cell>
          <cell r="G5529" t="str">
            <v>Repairs &amp; Maintenance Property Maintenance</v>
          </cell>
          <cell r="H5529">
            <v>0</v>
          </cell>
          <cell r="I5529">
            <v>0</v>
          </cell>
          <cell r="J5529">
            <v>0</v>
          </cell>
          <cell r="K5529">
            <v>0</v>
          </cell>
          <cell r="L5529">
            <v>0</v>
          </cell>
          <cell r="M5529">
            <v>0</v>
          </cell>
          <cell r="N5529">
            <v>0</v>
          </cell>
          <cell r="O5529" t="str">
            <v>+++</v>
          </cell>
        </row>
        <row r="5530">
          <cell r="A5530" t="str">
            <v>420.40.55.570-6400.21</v>
          </cell>
          <cell r="B5530" t="str">
            <v>420</v>
          </cell>
          <cell r="C5530" t="str">
            <v>40</v>
          </cell>
          <cell r="D5530" t="str">
            <v>55</v>
          </cell>
          <cell r="E5530" t="str">
            <v>570</v>
          </cell>
          <cell r="F5530" t="str">
            <v>6400.21</v>
          </cell>
          <cell r="G5530" t="str">
            <v>Repairs &amp; Maintenance Soundwall/Barriers</v>
          </cell>
          <cell r="H5530">
            <v>0</v>
          </cell>
          <cell r="I5530">
            <v>0</v>
          </cell>
          <cell r="J5530">
            <v>0</v>
          </cell>
          <cell r="K5530">
            <v>0</v>
          </cell>
          <cell r="L5530">
            <v>0</v>
          </cell>
          <cell r="M5530">
            <v>0</v>
          </cell>
          <cell r="N5530">
            <v>0</v>
          </cell>
          <cell r="O5530" t="str">
            <v>+++</v>
          </cell>
        </row>
        <row r="5531">
          <cell r="A5531" t="str">
            <v>420.40.55.570-6400.22</v>
          </cell>
          <cell r="B5531" t="str">
            <v>420</v>
          </cell>
          <cell r="C5531" t="str">
            <v>40</v>
          </cell>
          <cell r="D5531" t="str">
            <v>55</v>
          </cell>
          <cell r="E5531" t="str">
            <v>570</v>
          </cell>
          <cell r="F5531" t="str">
            <v>6400.22</v>
          </cell>
          <cell r="G5531" t="str">
            <v>Repairs &amp; Maintenance Curb Gutter Sidewalk</v>
          </cell>
          <cell r="H5531">
            <v>0</v>
          </cell>
          <cell r="I5531">
            <v>0</v>
          </cell>
          <cell r="J5531">
            <v>0</v>
          </cell>
          <cell r="K5531">
            <v>0</v>
          </cell>
          <cell r="L5531">
            <v>0</v>
          </cell>
          <cell r="M5531">
            <v>0</v>
          </cell>
          <cell r="N5531">
            <v>0</v>
          </cell>
          <cell r="O5531" t="str">
            <v>+++</v>
          </cell>
        </row>
        <row r="5532">
          <cell r="A5532" t="str">
            <v>420.40.55.570-6400.23</v>
          </cell>
          <cell r="B5532" t="str">
            <v>420</v>
          </cell>
          <cell r="C5532" t="str">
            <v>40</v>
          </cell>
          <cell r="D5532" t="str">
            <v>55</v>
          </cell>
          <cell r="E5532" t="str">
            <v>570</v>
          </cell>
          <cell r="F5532" t="str">
            <v>6400.23</v>
          </cell>
          <cell r="G5532" t="str">
            <v>Repairs &amp; Maintenance Bin Repair</v>
          </cell>
          <cell r="H5532">
            <v>0</v>
          </cell>
          <cell r="I5532">
            <v>0</v>
          </cell>
          <cell r="J5532">
            <v>0</v>
          </cell>
          <cell r="K5532">
            <v>0</v>
          </cell>
          <cell r="L5532">
            <v>0</v>
          </cell>
          <cell r="M5532">
            <v>0</v>
          </cell>
          <cell r="N5532">
            <v>0</v>
          </cell>
          <cell r="O5532" t="str">
            <v>+++</v>
          </cell>
        </row>
        <row r="5533">
          <cell r="A5533" t="str">
            <v>420.40.55.570-6410.02</v>
          </cell>
          <cell r="B5533" t="str">
            <v>420</v>
          </cell>
          <cell r="C5533" t="str">
            <v>40</v>
          </cell>
          <cell r="D5533" t="str">
            <v>55</v>
          </cell>
          <cell r="E5533" t="str">
            <v>570</v>
          </cell>
          <cell r="F5533" t="str">
            <v>6410.02</v>
          </cell>
          <cell r="G5533" t="str">
            <v>Repairs &amp; Maintenance-Transportation Slurry/Overlay</v>
          </cell>
          <cell r="H5533">
            <v>0</v>
          </cell>
          <cell r="I5533">
            <v>0</v>
          </cell>
          <cell r="J5533">
            <v>0</v>
          </cell>
          <cell r="K5533">
            <v>0</v>
          </cell>
          <cell r="L5533">
            <v>0</v>
          </cell>
          <cell r="M5533">
            <v>0</v>
          </cell>
          <cell r="N5533">
            <v>0</v>
          </cell>
          <cell r="O5533" t="str">
            <v>+++</v>
          </cell>
        </row>
        <row r="5534">
          <cell r="A5534" t="str">
            <v>420.40.55.570-6500.04</v>
          </cell>
          <cell r="B5534" t="str">
            <v>420</v>
          </cell>
          <cell r="C5534" t="str">
            <v>40</v>
          </cell>
          <cell r="D5534" t="str">
            <v>55</v>
          </cell>
          <cell r="E5534" t="str">
            <v>570</v>
          </cell>
          <cell r="F5534" t="str">
            <v>6500.04</v>
          </cell>
          <cell r="G5534" t="str">
            <v>Claims &amp; Insurance Insurance Premiums</v>
          </cell>
          <cell r="H5534">
            <v>0</v>
          </cell>
          <cell r="I5534">
            <v>0</v>
          </cell>
          <cell r="J5534">
            <v>0</v>
          </cell>
          <cell r="K5534">
            <v>0</v>
          </cell>
          <cell r="L5534">
            <v>0</v>
          </cell>
          <cell r="M5534">
            <v>0</v>
          </cell>
          <cell r="N5534">
            <v>0</v>
          </cell>
          <cell r="O5534" t="str">
            <v>+++</v>
          </cell>
        </row>
        <row r="5535">
          <cell r="A5535" t="str">
            <v>420.40.55.570-6600.01</v>
          </cell>
          <cell r="B5535" t="str">
            <v>420</v>
          </cell>
          <cell r="C5535" t="str">
            <v>40</v>
          </cell>
          <cell r="D5535" t="str">
            <v>55</v>
          </cell>
          <cell r="E5535" t="str">
            <v>570</v>
          </cell>
          <cell r="F5535" t="str">
            <v>6600.01</v>
          </cell>
          <cell r="G5535" t="str">
            <v>Administrative Expenses Meetings</v>
          </cell>
          <cell r="H5535">
            <v>0</v>
          </cell>
          <cell r="I5535">
            <v>0</v>
          </cell>
          <cell r="J5535">
            <v>0</v>
          </cell>
          <cell r="K5535">
            <v>0</v>
          </cell>
          <cell r="L5535">
            <v>0</v>
          </cell>
          <cell r="M5535">
            <v>0</v>
          </cell>
          <cell r="N5535">
            <v>0</v>
          </cell>
          <cell r="O5535" t="str">
            <v>+++</v>
          </cell>
        </row>
        <row r="5536">
          <cell r="A5536" t="str">
            <v>420.40.55.570-6600.03</v>
          </cell>
          <cell r="B5536" t="str">
            <v>420</v>
          </cell>
          <cell r="C5536" t="str">
            <v>40</v>
          </cell>
          <cell r="D5536" t="str">
            <v>55</v>
          </cell>
          <cell r="E5536" t="str">
            <v>570</v>
          </cell>
          <cell r="F5536" t="str">
            <v>6600.03</v>
          </cell>
          <cell r="G5536" t="str">
            <v>Administrative Expenses Mileage Reimbursement</v>
          </cell>
          <cell r="H5536">
            <v>0</v>
          </cell>
          <cell r="I5536">
            <v>0</v>
          </cell>
          <cell r="J5536">
            <v>0</v>
          </cell>
          <cell r="K5536">
            <v>0</v>
          </cell>
          <cell r="L5536">
            <v>0</v>
          </cell>
          <cell r="M5536">
            <v>0</v>
          </cell>
          <cell r="N5536">
            <v>0</v>
          </cell>
          <cell r="O5536" t="str">
            <v>+++</v>
          </cell>
        </row>
        <row r="5537">
          <cell r="A5537" t="str">
            <v>420.40.55.570-6600.04</v>
          </cell>
          <cell r="B5537" t="str">
            <v>420</v>
          </cell>
          <cell r="C5537" t="str">
            <v>40</v>
          </cell>
          <cell r="D5537" t="str">
            <v>55</v>
          </cell>
          <cell r="E5537" t="str">
            <v>570</v>
          </cell>
          <cell r="F5537" t="str">
            <v>6600.04</v>
          </cell>
          <cell r="G5537" t="str">
            <v>Administrative Expenses Training/Conferences</v>
          </cell>
          <cell r="H5537">
            <v>0</v>
          </cell>
          <cell r="I5537">
            <v>0</v>
          </cell>
          <cell r="J5537">
            <v>0</v>
          </cell>
          <cell r="K5537">
            <v>0</v>
          </cell>
          <cell r="L5537">
            <v>0</v>
          </cell>
          <cell r="M5537">
            <v>0</v>
          </cell>
          <cell r="N5537">
            <v>0</v>
          </cell>
          <cell r="O5537" t="str">
            <v>+++</v>
          </cell>
        </row>
        <row r="5538">
          <cell r="A5538" t="str">
            <v>420.40.55.570-6600.05</v>
          </cell>
          <cell r="B5538" t="str">
            <v>420</v>
          </cell>
          <cell r="C5538" t="str">
            <v>40</v>
          </cell>
          <cell r="D5538" t="str">
            <v>55</v>
          </cell>
          <cell r="E5538" t="str">
            <v>570</v>
          </cell>
          <cell r="F5538" t="str">
            <v>6600.05</v>
          </cell>
          <cell r="G5538" t="str">
            <v>Administrative Expenses Public/Legal Advertisement</v>
          </cell>
          <cell r="H5538">
            <v>0</v>
          </cell>
          <cell r="I5538">
            <v>0</v>
          </cell>
          <cell r="J5538">
            <v>0</v>
          </cell>
          <cell r="K5538">
            <v>0</v>
          </cell>
          <cell r="L5538">
            <v>0</v>
          </cell>
          <cell r="M5538">
            <v>0</v>
          </cell>
          <cell r="N5538">
            <v>0</v>
          </cell>
          <cell r="O5538" t="str">
            <v>+++</v>
          </cell>
        </row>
        <row r="5539">
          <cell r="A5539" t="str">
            <v>420.40.55.570-6600.06</v>
          </cell>
          <cell r="B5539" t="str">
            <v>420</v>
          </cell>
          <cell r="C5539" t="str">
            <v>40</v>
          </cell>
          <cell r="D5539" t="str">
            <v>55</v>
          </cell>
          <cell r="E5539" t="str">
            <v>570</v>
          </cell>
          <cell r="F5539" t="str">
            <v>6600.06</v>
          </cell>
          <cell r="G5539" t="str">
            <v>Administrative Expenses Property/Building Rental</v>
          </cell>
          <cell r="H5539">
            <v>0</v>
          </cell>
          <cell r="I5539">
            <v>0</v>
          </cell>
          <cell r="J5539">
            <v>0</v>
          </cell>
          <cell r="K5539">
            <v>0</v>
          </cell>
          <cell r="L5539">
            <v>0</v>
          </cell>
          <cell r="M5539">
            <v>0</v>
          </cell>
          <cell r="N5539">
            <v>0</v>
          </cell>
          <cell r="O5539" t="str">
            <v>+++</v>
          </cell>
        </row>
        <row r="5540">
          <cell r="A5540" t="str">
            <v>420.40.55.570-6600.07</v>
          </cell>
          <cell r="B5540" t="str">
            <v>420</v>
          </cell>
          <cell r="C5540" t="str">
            <v>40</v>
          </cell>
          <cell r="D5540" t="str">
            <v>55</v>
          </cell>
          <cell r="E5540" t="str">
            <v>570</v>
          </cell>
          <cell r="F5540" t="str">
            <v>6600.07</v>
          </cell>
          <cell r="G5540" t="str">
            <v>Administrative Expenses Employee Recruitment</v>
          </cell>
          <cell r="H5540">
            <v>0</v>
          </cell>
          <cell r="I5540">
            <v>0</v>
          </cell>
          <cell r="J5540">
            <v>0</v>
          </cell>
          <cell r="K5540">
            <v>0</v>
          </cell>
          <cell r="L5540">
            <v>0</v>
          </cell>
          <cell r="M5540">
            <v>0</v>
          </cell>
          <cell r="N5540">
            <v>0</v>
          </cell>
          <cell r="O5540" t="str">
            <v>+++</v>
          </cell>
        </row>
        <row r="5541">
          <cell r="A5541" t="str">
            <v>420.40.55.570-6600.16</v>
          </cell>
          <cell r="B5541" t="str">
            <v>420</v>
          </cell>
          <cell r="C5541" t="str">
            <v>40</v>
          </cell>
          <cell r="D5541" t="str">
            <v>55</v>
          </cell>
          <cell r="E5541" t="str">
            <v>570</v>
          </cell>
          <cell r="F5541" t="str">
            <v>6600.16</v>
          </cell>
          <cell r="G5541" t="str">
            <v>Administrative Expenses Property Tax Assessments</v>
          </cell>
          <cell r="H5541">
            <v>0</v>
          </cell>
          <cell r="I5541">
            <v>0</v>
          </cell>
          <cell r="J5541">
            <v>0</v>
          </cell>
          <cell r="K5541">
            <v>0</v>
          </cell>
          <cell r="L5541">
            <v>0</v>
          </cell>
          <cell r="M5541">
            <v>0</v>
          </cell>
          <cell r="N5541">
            <v>0</v>
          </cell>
          <cell r="O5541" t="str">
            <v>+++</v>
          </cell>
        </row>
        <row r="5542">
          <cell r="A5542" t="str">
            <v>420.40.55.570-6600.23</v>
          </cell>
          <cell r="B5542" t="str">
            <v>420</v>
          </cell>
          <cell r="C5542" t="str">
            <v>40</v>
          </cell>
          <cell r="D5542" t="str">
            <v>55</v>
          </cell>
          <cell r="E5542" t="str">
            <v>570</v>
          </cell>
          <cell r="F5542" t="str">
            <v>6600.23</v>
          </cell>
          <cell r="G5542" t="str">
            <v>Administrative Expenses Public Education</v>
          </cell>
          <cell r="H5542">
            <v>0</v>
          </cell>
          <cell r="I5542">
            <v>0</v>
          </cell>
          <cell r="J5542">
            <v>0</v>
          </cell>
          <cell r="K5542">
            <v>0</v>
          </cell>
          <cell r="L5542">
            <v>0</v>
          </cell>
          <cell r="M5542">
            <v>0</v>
          </cell>
          <cell r="N5542">
            <v>0</v>
          </cell>
          <cell r="O5542" t="str">
            <v>+++</v>
          </cell>
        </row>
        <row r="5543">
          <cell r="A5543" t="str">
            <v>420.40.55.570-6600.25</v>
          </cell>
          <cell r="B5543" t="str">
            <v>420</v>
          </cell>
          <cell r="C5543" t="str">
            <v>40</v>
          </cell>
          <cell r="D5543" t="str">
            <v>55</v>
          </cell>
          <cell r="E5543" t="str">
            <v>570</v>
          </cell>
          <cell r="F5543" t="str">
            <v>6600.25</v>
          </cell>
          <cell r="G5543" t="str">
            <v>Administrative Expenses Support Services-Indirect Labor</v>
          </cell>
          <cell r="H5543">
            <v>0</v>
          </cell>
          <cell r="I5543">
            <v>0</v>
          </cell>
          <cell r="J5543">
            <v>0</v>
          </cell>
          <cell r="K5543">
            <v>0</v>
          </cell>
          <cell r="L5543">
            <v>0</v>
          </cell>
          <cell r="M5543">
            <v>0</v>
          </cell>
          <cell r="N5543">
            <v>0</v>
          </cell>
          <cell r="O5543" t="str">
            <v>+++</v>
          </cell>
        </row>
        <row r="5544">
          <cell r="A5544" t="str">
            <v>420.40.55.570-6600.26</v>
          </cell>
          <cell r="B5544" t="str">
            <v>420</v>
          </cell>
          <cell r="C5544" t="str">
            <v>40</v>
          </cell>
          <cell r="D5544" t="str">
            <v>55</v>
          </cell>
          <cell r="E5544" t="str">
            <v>570</v>
          </cell>
          <cell r="F5544" t="str">
            <v>6600.26</v>
          </cell>
          <cell r="G5544" t="str">
            <v>Administrative Expenses Support Services-IT</v>
          </cell>
          <cell r="H5544">
            <v>0</v>
          </cell>
          <cell r="I5544">
            <v>0</v>
          </cell>
          <cell r="J5544">
            <v>0</v>
          </cell>
          <cell r="K5544">
            <v>0</v>
          </cell>
          <cell r="L5544">
            <v>0</v>
          </cell>
          <cell r="M5544">
            <v>0</v>
          </cell>
          <cell r="N5544">
            <v>0</v>
          </cell>
          <cell r="O5544" t="str">
            <v>+++</v>
          </cell>
        </row>
        <row r="5545">
          <cell r="A5545" t="str">
            <v>420.40.55.570-6600.32</v>
          </cell>
          <cell r="B5545" t="str">
            <v>420</v>
          </cell>
          <cell r="C5545" t="str">
            <v>40</v>
          </cell>
          <cell r="D5545" t="str">
            <v>55</v>
          </cell>
          <cell r="E5545" t="str">
            <v>570</v>
          </cell>
          <cell r="F5545" t="str">
            <v>6600.32</v>
          </cell>
          <cell r="G5545" t="str">
            <v>Administrative Expenses Vehicle Fund Contribution</v>
          </cell>
          <cell r="H5545">
            <v>0</v>
          </cell>
          <cell r="I5545">
            <v>0</v>
          </cell>
          <cell r="J5545">
            <v>0</v>
          </cell>
          <cell r="K5545">
            <v>0</v>
          </cell>
          <cell r="L5545">
            <v>0</v>
          </cell>
          <cell r="M5545">
            <v>0</v>
          </cell>
          <cell r="N5545">
            <v>0</v>
          </cell>
          <cell r="O5545" t="str">
            <v>+++</v>
          </cell>
        </row>
        <row r="5546">
          <cell r="A5546" t="str">
            <v>420.40.55.570-6600.36</v>
          </cell>
          <cell r="B5546" t="str">
            <v>420</v>
          </cell>
          <cell r="C5546" t="str">
            <v>40</v>
          </cell>
          <cell r="D5546" t="str">
            <v>55</v>
          </cell>
          <cell r="E5546" t="str">
            <v>570</v>
          </cell>
          <cell r="F5546" t="str">
            <v>6600.36</v>
          </cell>
          <cell r="G5546" t="str">
            <v>Administrative Expenses IT Fund Contribution</v>
          </cell>
          <cell r="H5546">
            <v>0</v>
          </cell>
          <cell r="I5546">
            <v>0</v>
          </cell>
          <cell r="J5546">
            <v>0</v>
          </cell>
          <cell r="K5546">
            <v>0</v>
          </cell>
          <cell r="L5546">
            <v>0</v>
          </cell>
          <cell r="M5546">
            <v>0</v>
          </cell>
          <cell r="N5546">
            <v>0</v>
          </cell>
          <cell r="O5546" t="str">
            <v>+++</v>
          </cell>
        </row>
        <row r="5547">
          <cell r="A5547" t="str">
            <v>420.40.55.570-6600.41</v>
          </cell>
          <cell r="B5547" t="str">
            <v>420</v>
          </cell>
          <cell r="C5547" t="str">
            <v>40</v>
          </cell>
          <cell r="D5547" t="str">
            <v>55</v>
          </cell>
          <cell r="E5547" t="str">
            <v>570</v>
          </cell>
          <cell r="F5547" t="str">
            <v>6600.41</v>
          </cell>
          <cell r="G5547" t="str">
            <v>Administrative Expenses Community Clean-up</v>
          </cell>
          <cell r="H5547">
            <v>0</v>
          </cell>
          <cell r="I5547">
            <v>0</v>
          </cell>
          <cell r="J5547">
            <v>0</v>
          </cell>
          <cell r="K5547">
            <v>0</v>
          </cell>
          <cell r="L5547">
            <v>0</v>
          </cell>
          <cell r="M5547">
            <v>0</v>
          </cell>
          <cell r="N5547">
            <v>0</v>
          </cell>
          <cell r="O5547" t="str">
            <v>+++</v>
          </cell>
        </row>
        <row r="5548">
          <cell r="A5548" t="str">
            <v>420.40.55.570-7000.02</v>
          </cell>
          <cell r="B5548" t="str">
            <v>420</v>
          </cell>
          <cell r="C5548" t="str">
            <v>40</v>
          </cell>
          <cell r="D5548" t="str">
            <v>55</v>
          </cell>
          <cell r="E5548" t="str">
            <v>570</v>
          </cell>
          <cell r="F5548" t="str">
            <v>7000.02</v>
          </cell>
          <cell r="G5548" t="str">
            <v>Capital Outlay Vehicles-Major</v>
          </cell>
          <cell r="H5548">
            <v>0</v>
          </cell>
          <cell r="I5548">
            <v>0</v>
          </cell>
          <cell r="J5548">
            <v>0</v>
          </cell>
          <cell r="K5548">
            <v>0</v>
          </cell>
          <cell r="L5548">
            <v>0</v>
          </cell>
          <cell r="M5548">
            <v>0</v>
          </cell>
          <cell r="N5548">
            <v>0</v>
          </cell>
          <cell r="O5548" t="str">
            <v>+++</v>
          </cell>
        </row>
        <row r="5549">
          <cell r="A5549" t="str">
            <v>420.40.55.570-7000.03</v>
          </cell>
          <cell r="B5549" t="str">
            <v>420</v>
          </cell>
          <cell r="C5549" t="str">
            <v>40</v>
          </cell>
          <cell r="D5549" t="str">
            <v>55</v>
          </cell>
          <cell r="E5549" t="str">
            <v>570</v>
          </cell>
          <cell r="F5549" t="str">
            <v>7000.03</v>
          </cell>
          <cell r="G5549" t="str">
            <v>Capital Outlay Operations Equip-Minor</v>
          </cell>
          <cell r="H5549">
            <v>0</v>
          </cell>
          <cell r="I5549">
            <v>0</v>
          </cell>
          <cell r="J5549">
            <v>0</v>
          </cell>
          <cell r="K5549">
            <v>0</v>
          </cell>
          <cell r="L5549">
            <v>0</v>
          </cell>
          <cell r="M5549">
            <v>0</v>
          </cell>
          <cell r="N5549">
            <v>0</v>
          </cell>
          <cell r="O5549" t="str">
            <v>+++</v>
          </cell>
        </row>
        <row r="5550">
          <cell r="A5550" t="str">
            <v>420.40.55.570-7000.99</v>
          </cell>
          <cell r="B5550" t="str">
            <v>420</v>
          </cell>
          <cell r="C5550" t="str">
            <v>40</v>
          </cell>
          <cell r="D5550" t="str">
            <v>55</v>
          </cell>
          <cell r="E5550" t="str">
            <v>570</v>
          </cell>
          <cell r="F5550" t="str">
            <v>7000.99</v>
          </cell>
          <cell r="G5550" t="str">
            <v>Capital Outlay General</v>
          </cell>
          <cell r="H5550">
            <v>0</v>
          </cell>
          <cell r="I5550">
            <v>0</v>
          </cell>
          <cell r="J5550">
            <v>0</v>
          </cell>
          <cell r="K5550">
            <v>0</v>
          </cell>
          <cell r="L5550">
            <v>0</v>
          </cell>
          <cell r="M5550">
            <v>0</v>
          </cell>
          <cell r="N5550">
            <v>0</v>
          </cell>
          <cell r="O5550" t="str">
            <v>+++</v>
          </cell>
        </row>
        <row r="5551">
          <cell r="A5551" t="str">
            <v>420.40.60.520-5100.00</v>
          </cell>
          <cell r="B5551" t="str">
            <v>420</v>
          </cell>
          <cell r="C5551" t="str">
            <v>40</v>
          </cell>
          <cell r="D5551" t="str">
            <v>60</v>
          </cell>
          <cell r="E5551" t="str">
            <v>520</v>
          </cell>
          <cell r="F5551" t="str">
            <v>5100.00</v>
          </cell>
          <cell r="G5551" t="str">
            <v>Benefits PERS Pool Liability</v>
          </cell>
          <cell r="H5551">
            <v>0</v>
          </cell>
          <cell r="I5551">
            <v>0</v>
          </cell>
          <cell r="J5551">
            <v>0</v>
          </cell>
          <cell r="K5551">
            <v>0</v>
          </cell>
          <cell r="L5551">
            <v>0</v>
          </cell>
          <cell r="M5551">
            <v>0</v>
          </cell>
          <cell r="N5551">
            <v>0</v>
          </cell>
          <cell r="O5551" t="str">
            <v>+++</v>
          </cell>
        </row>
        <row r="5552">
          <cell r="A5552" t="str">
            <v>420.40.60.520-6400.05</v>
          </cell>
          <cell r="B5552" t="str">
            <v>420</v>
          </cell>
          <cell r="C5552" t="str">
            <v>40</v>
          </cell>
          <cell r="D5552" t="str">
            <v>60</v>
          </cell>
          <cell r="E5552" t="str">
            <v>520</v>
          </cell>
          <cell r="F5552" t="str">
            <v>6400.05</v>
          </cell>
          <cell r="G5552" t="str">
            <v>Repairs &amp; Maintenance Vehicle</v>
          </cell>
          <cell r="H5552">
            <v>20000</v>
          </cell>
          <cell r="I5552">
            <v>0</v>
          </cell>
          <cell r="J5552">
            <v>20000</v>
          </cell>
          <cell r="K5552">
            <v>0</v>
          </cell>
          <cell r="L5552">
            <v>3540.75</v>
          </cell>
          <cell r="M5552">
            <v>3506.35</v>
          </cell>
          <cell r="N5552">
            <v>12952.9</v>
          </cell>
          <cell r="O5552">
            <v>0.35</v>
          </cell>
        </row>
        <row r="5553">
          <cell r="A5553" t="str">
            <v>420.40.60.520-7000.03</v>
          </cell>
          <cell r="B5553" t="str">
            <v>420</v>
          </cell>
          <cell r="C5553" t="str">
            <v>40</v>
          </cell>
          <cell r="D5553" t="str">
            <v>60</v>
          </cell>
          <cell r="E5553" t="str">
            <v>520</v>
          </cell>
          <cell r="F5553" t="str">
            <v>7000.03</v>
          </cell>
          <cell r="G5553" t="str">
            <v>Capital Outlay Operations Equip-Minor</v>
          </cell>
          <cell r="H5553">
            <v>756</v>
          </cell>
          <cell r="I5553">
            <v>0</v>
          </cell>
          <cell r="J5553">
            <v>756</v>
          </cell>
          <cell r="K5553">
            <v>0</v>
          </cell>
          <cell r="L5553">
            <v>0</v>
          </cell>
          <cell r="M5553">
            <v>0</v>
          </cell>
          <cell r="N5553">
            <v>756</v>
          </cell>
          <cell r="O5553">
            <v>0</v>
          </cell>
        </row>
        <row r="5554">
          <cell r="A5554" t="str">
            <v>420.40.60.530-5100.00</v>
          </cell>
          <cell r="B5554" t="str">
            <v>420</v>
          </cell>
          <cell r="C5554" t="str">
            <v>40</v>
          </cell>
          <cell r="D5554" t="str">
            <v>60</v>
          </cell>
          <cell r="E5554" t="str">
            <v>530</v>
          </cell>
          <cell r="F5554" t="str">
            <v>5100.00</v>
          </cell>
          <cell r="G5554" t="str">
            <v>Benefits PERS Pool Liability</v>
          </cell>
          <cell r="H5554">
            <v>0</v>
          </cell>
          <cell r="I5554">
            <v>0</v>
          </cell>
          <cell r="J5554">
            <v>0</v>
          </cell>
          <cell r="K5554">
            <v>0</v>
          </cell>
          <cell r="L5554">
            <v>0</v>
          </cell>
          <cell r="M5554">
            <v>0</v>
          </cell>
          <cell r="N5554">
            <v>0</v>
          </cell>
          <cell r="O5554" t="str">
            <v>+++</v>
          </cell>
        </row>
        <row r="5555">
          <cell r="A5555" t="str">
            <v>420.40.60.530-6400.05</v>
          </cell>
          <cell r="B5555" t="str">
            <v>420</v>
          </cell>
          <cell r="C5555" t="str">
            <v>40</v>
          </cell>
          <cell r="D5555" t="str">
            <v>60</v>
          </cell>
          <cell r="E5555" t="str">
            <v>530</v>
          </cell>
          <cell r="F5555" t="str">
            <v>6400.05</v>
          </cell>
          <cell r="G5555" t="str">
            <v>Repairs &amp; Maintenance Vehicle</v>
          </cell>
          <cell r="H5555">
            <v>9000</v>
          </cell>
          <cell r="I5555">
            <v>0</v>
          </cell>
          <cell r="J5555">
            <v>9000</v>
          </cell>
          <cell r="K5555">
            <v>0</v>
          </cell>
          <cell r="L5555">
            <v>0</v>
          </cell>
          <cell r="M5555">
            <v>370.91</v>
          </cell>
          <cell r="N5555">
            <v>8629.09</v>
          </cell>
          <cell r="O5555">
            <v>0.04</v>
          </cell>
        </row>
        <row r="5556">
          <cell r="A5556" t="str">
            <v>420.40.70.015-5000.99</v>
          </cell>
          <cell r="B5556" t="str">
            <v>420</v>
          </cell>
          <cell r="C5556" t="str">
            <v>40</v>
          </cell>
          <cell r="D5556" t="str">
            <v>70</v>
          </cell>
          <cell r="E5556" t="str">
            <v>015</v>
          </cell>
          <cell r="F5556" t="str">
            <v>5000.99</v>
          </cell>
          <cell r="G5556" t="str">
            <v>Salaries New Personnel Requests</v>
          </cell>
          <cell r="H5556">
            <v>0</v>
          </cell>
          <cell r="I5556">
            <v>0</v>
          </cell>
          <cell r="J5556">
            <v>0</v>
          </cell>
          <cell r="K5556">
            <v>0</v>
          </cell>
          <cell r="L5556">
            <v>0</v>
          </cell>
          <cell r="M5556">
            <v>0</v>
          </cell>
          <cell r="N5556">
            <v>0</v>
          </cell>
          <cell r="O5556" t="str">
            <v>+++</v>
          </cell>
        </row>
        <row r="5557">
          <cell r="A5557" t="str">
            <v>420.40.70.015-5100.00</v>
          </cell>
          <cell r="B5557" t="str">
            <v>420</v>
          </cell>
          <cell r="C5557" t="str">
            <v>40</v>
          </cell>
          <cell r="D5557" t="str">
            <v>70</v>
          </cell>
          <cell r="E5557" t="str">
            <v>015</v>
          </cell>
          <cell r="F5557" t="str">
            <v>5100.00</v>
          </cell>
          <cell r="G5557" t="str">
            <v>Benefits PERS Pool Liability</v>
          </cell>
          <cell r="H5557">
            <v>0</v>
          </cell>
          <cell r="I5557">
            <v>0</v>
          </cell>
          <cell r="J5557">
            <v>0</v>
          </cell>
          <cell r="K5557">
            <v>0</v>
          </cell>
          <cell r="L5557">
            <v>0</v>
          </cell>
          <cell r="M5557">
            <v>0</v>
          </cell>
          <cell r="N5557">
            <v>0</v>
          </cell>
          <cell r="O5557" t="str">
            <v>+++</v>
          </cell>
        </row>
        <row r="5558">
          <cell r="A5558" t="str">
            <v>420.40.70.015-6500.04</v>
          </cell>
          <cell r="B5558" t="str">
            <v>420</v>
          </cell>
          <cell r="C5558" t="str">
            <v>40</v>
          </cell>
          <cell r="D5558" t="str">
            <v>70</v>
          </cell>
          <cell r="E5558" t="str">
            <v>015</v>
          </cell>
          <cell r="F5558" t="str">
            <v>6500.04</v>
          </cell>
          <cell r="G5558" t="str">
            <v>Claims &amp; Insurance Insurance Premiums</v>
          </cell>
          <cell r="H5558">
            <v>0</v>
          </cell>
          <cell r="I5558">
            <v>0</v>
          </cell>
          <cell r="J5558">
            <v>0</v>
          </cell>
          <cell r="K5558">
            <v>0</v>
          </cell>
          <cell r="L5558">
            <v>0</v>
          </cell>
          <cell r="M5558">
            <v>0</v>
          </cell>
          <cell r="N5558">
            <v>0</v>
          </cell>
          <cell r="O5558" t="str">
            <v>+++</v>
          </cell>
        </row>
        <row r="5559">
          <cell r="A5559" t="str">
            <v>420.40.70.570-5000.01</v>
          </cell>
          <cell r="B5559" t="str">
            <v>420</v>
          </cell>
          <cell r="C5559" t="str">
            <v>40</v>
          </cell>
          <cell r="D5559" t="str">
            <v>70</v>
          </cell>
          <cell r="E5559" t="str">
            <v>570</v>
          </cell>
          <cell r="F5559" t="str">
            <v>5000.01</v>
          </cell>
          <cell r="G5559" t="str">
            <v>Salaries Regular</v>
          </cell>
          <cell r="H5559">
            <v>527267</v>
          </cell>
          <cell r="I5559">
            <v>0</v>
          </cell>
          <cell r="J5559">
            <v>527267</v>
          </cell>
          <cell r="K5559">
            <v>0</v>
          </cell>
          <cell r="L5559">
            <v>0</v>
          </cell>
          <cell r="M5559">
            <v>100111.52</v>
          </cell>
          <cell r="N5559">
            <v>427155.48</v>
          </cell>
          <cell r="O5559">
            <v>0.19</v>
          </cell>
        </row>
        <row r="5560">
          <cell r="A5560" t="str">
            <v>420.40.70.570-5000.02</v>
          </cell>
          <cell r="B5560" t="str">
            <v>420</v>
          </cell>
          <cell r="C5560" t="str">
            <v>40</v>
          </cell>
          <cell r="D5560" t="str">
            <v>70</v>
          </cell>
          <cell r="E5560" t="str">
            <v>570</v>
          </cell>
          <cell r="F5560" t="str">
            <v>5000.02</v>
          </cell>
          <cell r="G5560" t="str">
            <v>Salaries Part Time</v>
          </cell>
          <cell r="H5560">
            <v>0</v>
          </cell>
          <cell r="I5560">
            <v>0</v>
          </cell>
          <cell r="J5560">
            <v>0</v>
          </cell>
          <cell r="K5560">
            <v>0</v>
          </cell>
          <cell r="L5560">
            <v>0</v>
          </cell>
          <cell r="M5560">
            <v>0</v>
          </cell>
          <cell r="N5560">
            <v>0</v>
          </cell>
          <cell r="O5560" t="str">
            <v>+++</v>
          </cell>
        </row>
        <row r="5561">
          <cell r="A5561" t="str">
            <v>420.40.70.570-5000.03</v>
          </cell>
          <cell r="B5561" t="str">
            <v>420</v>
          </cell>
          <cell r="C5561" t="str">
            <v>40</v>
          </cell>
          <cell r="D5561" t="str">
            <v>70</v>
          </cell>
          <cell r="E5561" t="str">
            <v>570</v>
          </cell>
          <cell r="F5561" t="str">
            <v>5000.03</v>
          </cell>
          <cell r="G5561" t="str">
            <v>Salaries Overtime</v>
          </cell>
          <cell r="H5561">
            <v>20600</v>
          </cell>
          <cell r="I5561">
            <v>0</v>
          </cell>
          <cell r="J5561">
            <v>20600</v>
          </cell>
          <cell r="K5561">
            <v>0</v>
          </cell>
          <cell r="L5561">
            <v>0</v>
          </cell>
          <cell r="M5561">
            <v>1452.94</v>
          </cell>
          <cell r="N5561">
            <v>19147.060000000001</v>
          </cell>
          <cell r="O5561">
            <v>7.0000000000000007E-2</v>
          </cell>
        </row>
        <row r="5562">
          <cell r="A5562" t="str">
            <v>420.40.70.570-5000.04</v>
          </cell>
          <cell r="B5562" t="str">
            <v>420</v>
          </cell>
          <cell r="C5562" t="str">
            <v>40</v>
          </cell>
          <cell r="D5562" t="str">
            <v>70</v>
          </cell>
          <cell r="E5562" t="str">
            <v>570</v>
          </cell>
          <cell r="F5562" t="str">
            <v>5000.04</v>
          </cell>
          <cell r="G5562" t="str">
            <v>Salaries Holiday Pay</v>
          </cell>
          <cell r="H5562">
            <v>0</v>
          </cell>
          <cell r="I5562">
            <v>0</v>
          </cell>
          <cell r="J5562">
            <v>0</v>
          </cell>
          <cell r="K5562">
            <v>0</v>
          </cell>
          <cell r="L5562">
            <v>0</v>
          </cell>
          <cell r="M5562">
            <v>0</v>
          </cell>
          <cell r="N5562">
            <v>0</v>
          </cell>
          <cell r="O5562" t="str">
            <v>+++</v>
          </cell>
        </row>
        <row r="5563">
          <cell r="A5563" t="str">
            <v>420.40.70.570-5000.06</v>
          </cell>
          <cell r="B5563" t="str">
            <v>420</v>
          </cell>
          <cell r="C5563" t="str">
            <v>40</v>
          </cell>
          <cell r="D5563" t="str">
            <v>70</v>
          </cell>
          <cell r="E5563" t="str">
            <v>570</v>
          </cell>
          <cell r="F5563" t="str">
            <v>5000.06</v>
          </cell>
          <cell r="G5563" t="str">
            <v>Salaries Out of Class</v>
          </cell>
          <cell r="H5563">
            <v>230</v>
          </cell>
          <cell r="I5563">
            <v>0</v>
          </cell>
          <cell r="J5563">
            <v>230</v>
          </cell>
          <cell r="K5563">
            <v>0</v>
          </cell>
          <cell r="L5563">
            <v>0</v>
          </cell>
          <cell r="M5563">
            <v>988.98</v>
          </cell>
          <cell r="N5563">
            <v>-758.98</v>
          </cell>
          <cell r="O5563">
            <v>4.3</v>
          </cell>
        </row>
        <row r="5564">
          <cell r="A5564" t="str">
            <v>420.40.70.570-5000.07</v>
          </cell>
          <cell r="B5564" t="str">
            <v>420</v>
          </cell>
          <cell r="C5564" t="str">
            <v>40</v>
          </cell>
          <cell r="D5564" t="str">
            <v>70</v>
          </cell>
          <cell r="E5564" t="str">
            <v>570</v>
          </cell>
          <cell r="F5564" t="str">
            <v>5000.07</v>
          </cell>
          <cell r="G5564" t="str">
            <v>Salaries Admin Leave Pay</v>
          </cell>
          <cell r="H5564">
            <v>4058</v>
          </cell>
          <cell r="I5564">
            <v>0</v>
          </cell>
          <cell r="J5564">
            <v>4058</v>
          </cell>
          <cell r="K5564">
            <v>0</v>
          </cell>
          <cell r="L5564">
            <v>0</v>
          </cell>
          <cell r="M5564">
            <v>0</v>
          </cell>
          <cell r="N5564">
            <v>4058</v>
          </cell>
          <cell r="O5564">
            <v>0</v>
          </cell>
        </row>
        <row r="5565">
          <cell r="A5565" t="str">
            <v>420.40.70.570-5000.08</v>
          </cell>
          <cell r="B5565" t="str">
            <v>420</v>
          </cell>
          <cell r="C5565" t="str">
            <v>40</v>
          </cell>
          <cell r="D5565" t="str">
            <v>70</v>
          </cell>
          <cell r="E5565" t="str">
            <v>570</v>
          </cell>
          <cell r="F5565" t="str">
            <v>5000.08</v>
          </cell>
          <cell r="G5565" t="str">
            <v>Salaries Longevity Pay</v>
          </cell>
          <cell r="H5565">
            <v>5619</v>
          </cell>
          <cell r="I5565">
            <v>0</v>
          </cell>
          <cell r="J5565">
            <v>5619</v>
          </cell>
          <cell r="K5565">
            <v>0</v>
          </cell>
          <cell r="L5565">
            <v>0</v>
          </cell>
          <cell r="M5565">
            <v>2577.7600000000002</v>
          </cell>
          <cell r="N5565">
            <v>3041.24</v>
          </cell>
          <cell r="O5565">
            <v>0.46</v>
          </cell>
        </row>
        <row r="5566">
          <cell r="A5566" t="str">
            <v>420.40.70.570-5000.10</v>
          </cell>
          <cell r="B5566" t="str">
            <v>420</v>
          </cell>
          <cell r="C5566" t="str">
            <v>40</v>
          </cell>
          <cell r="D5566" t="str">
            <v>70</v>
          </cell>
          <cell r="E5566" t="str">
            <v>570</v>
          </cell>
          <cell r="F5566" t="str">
            <v>5000.10</v>
          </cell>
          <cell r="G5566" t="str">
            <v>Salaries Furloughs</v>
          </cell>
          <cell r="H5566">
            <v>0</v>
          </cell>
          <cell r="I5566">
            <v>0</v>
          </cell>
          <cell r="J5566">
            <v>0</v>
          </cell>
          <cell r="K5566">
            <v>0</v>
          </cell>
          <cell r="L5566">
            <v>0</v>
          </cell>
          <cell r="M5566">
            <v>0</v>
          </cell>
          <cell r="N5566">
            <v>0</v>
          </cell>
          <cell r="O5566" t="str">
            <v>+++</v>
          </cell>
        </row>
        <row r="5567">
          <cell r="A5567" t="str">
            <v>420.40.70.570-5000.11</v>
          </cell>
          <cell r="B5567" t="str">
            <v>420</v>
          </cell>
          <cell r="C5567" t="str">
            <v>40</v>
          </cell>
          <cell r="D5567" t="str">
            <v>70</v>
          </cell>
          <cell r="E5567" t="str">
            <v>570</v>
          </cell>
          <cell r="F5567" t="str">
            <v>5000.11</v>
          </cell>
          <cell r="G5567" t="str">
            <v>Salaries Worker's Comp</v>
          </cell>
          <cell r="H5567">
            <v>0</v>
          </cell>
          <cell r="I5567">
            <v>0</v>
          </cell>
          <cell r="J5567">
            <v>0</v>
          </cell>
          <cell r="K5567">
            <v>0</v>
          </cell>
          <cell r="L5567">
            <v>0</v>
          </cell>
          <cell r="M5567">
            <v>0</v>
          </cell>
          <cell r="N5567">
            <v>0</v>
          </cell>
          <cell r="O5567" t="str">
            <v>+++</v>
          </cell>
        </row>
        <row r="5568">
          <cell r="A5568" t="str">
            <v>420.40.70.570-5000.12</v>
          </cell>
          <cell r="B5568" t="str">
            <v>420</v>
          </cell>
          <cell r="C5568" t="str">
            <v>40</v>
          </cell>
          <cell r="D5568" t="str">
            <v>70</v>
          </cell>
          <cell r="E5568" t="str">
            <v>570</v>
          </cell>
          <cell r="F5568" t="str">
            <v>5000.12</v>
          </cell>
          <cell r="G5568" t="str">
            <v>Salaries Compensated Absences</v>
          </cell>
          <cell r="H5568">
            <v>0</v>
          </cell>
          <cell r="I5568">
            <v>0</v>
          </cell>
          <cell r="J5568">
            <v>0</v>
          </cell>
          <cell r="K5568">
            <v>0</v>
          </cell>
          <cell r="L5568">
            <v>0</v>
          </cell>
          <cell r="M5568">
            <v>0</v>
          </cell>
          <cell r="N5568">
            <v>0</v>
          </cell>
          <cell r="O5568" t="str">
            <v>+++</v>
          </cell>
        </row>
        <row r="5569">
          <cell r="A5569" t="str">
            <v>420.40.70.570-5000.99</v>
          </cell>
          <cell r="B5569" t="str">
            <v>420</v>
          </cell>
          <cell r="C5569" t="str">
            <v>40</v>
          </cell>
          <cell r="D5569" t="str">
            <v>70</v>
          </cell>
          <cell r="E5569" t="str">
            <v>570</v>
          </cell>
          <cell r="F5569" t="str">
            <v>5000.99</v>
          </cell>
          <cell r="G5569" t="str">
            <v>Salaries New Personnel Requests</v>
          </cell>
          <cell r="H5569">
            <v>0</v>
          </cell>
          <cell r="I5569">
            <v>0</v>
          </cell>
          <cell r="J5569">
            <v>0</v>
          </cell>
          <cell r="K5569">
            <v>0</v>
          </cell>
          <cell r="L5569">
            <v>0</v>
          </cell>
          <cell r="M5569">
            <v>0</v>
          </cell>
          <cell r="N5569">
            <v>0</v>
          </cell>
          <cell r="O5569" t="str">
            <v>+++</v>
          </cell>
        </row>
        <row r="5570">
          <cell r="A5570" t="str">
            <v>420.40.70.570-5100.00</v>
          </cell>
          <cell r="B5570" t="str">
            <v>420</v>
          </cell>
          <cell r="C5570" t="str">
            <v>40</v>
          </cell>
          <cell r="D5570" t="str">
            <v>70</v>
          </cell>
          <cell r="E5570" t="str">
            <v>570</v>
          </cell>
          <cell r="F5570" t="str">
            <v>5100.00</v>
          </cell>
          <cell r="G5570" t="str">
            <v>Benefits PERS Pool Liability</v>
          </cell>
          <cell r="H5570">
            <v>92500</v>
          </cell>
          <cell r="I5570">
            <v>0</v>
          </cell>
          <cell r="J5570">
            <v>92500</v>
          </cell>
          <cell r="K5570">
            <v>0</v>
          </cell>
          <cell r="L5570">
            <v>0</v>
          </cell>
          <cell r="M5570">
            <v>20363.8</v>
          </cell>
          <cell r="N5570">
            <v>72136.2</v>
          </cell>
          <cell r="O5570">
            <v>0.22</v>
          </cell>
        </row>
        <row r="5571">
          <cell r="A5571" t="str">
            <v>420.40.70.570-5100.01</v>
          </cell>
          <cell r="B5571" t="str">
            <v>420</v>
          </cell>
          <cell r="C5571" t="str">
            <v>40</v>
          </cell>
          <cell r="D5571" t="str">
            <v>70</v>
          </cell>
          <cell r="E5571" t="str">
            <v>570</v>
          </cell>
          <cell r="F5571" t="str">
            <v>5100.01</v>
          </cell>
          <cell r="G5571" t="str">
            <v>Benefits Retirement</v>
          </cell>
          <cell r="H5571">
            <v>49200</v>
          </cell>
          <cell r="I5571">
            <v>0</v>
          </cell>
          <cell r="J5571">
            <v>49200</v>
          </cell>
          <cell r="K5571">
            <v>0</v>
          </cell>
          <cell r="L5571">
            <v>0</v>
          </cell>
          <cell r="M5571">
            <v>11312.53</v>
          </cell>
          <cell r="N5571">
            <v>37887.47</v>
          </cell>
          <cell r="O5571">
            <v>0.23</v>
          </cell>
        </row>
        <row r="5572">
          <cell r="A5572" t="str">
            <v>420.40.70.570-5100.02</v>
          </cell>
          <cell r="B5572" t="str">
            <v>420</v>
          </cell>
          <cell r="C5572" t="str">
            <v>40</v>
          </cell>
          <cell r="D5572" t="str">
            <v>70</v>
          </cell>
          <cell r="E5572" t="str">
            <v>570</v>
          </cell>
          <cell r="F5572" t="str">
            <v>5100.02</v>
          </cell>
          <cell r="G5572" t="str">
            <v>Benefits Health Insurance</v>
          </cell>
          <cell r="H5572">
            <v>90245</v>
          </cell>
          <cell r="I5572">
            <v>0</v>
          </cell>
          <cell r="J5572">
            <v>90245</v>
          </cell>
          <cell r="K5572">
            <v>0</v>
          </cell>
          <cell r="L5572">
            <v>0</v>
          </cell>
          <cell r="M5572">
            <v>15345.48</v>
          </cell>
          <cell r="N5572">
            <v>74899.520000000004</v>
          </cell>
          <cell r="O5572">
            <v>0.17</v>
          </cell>
        </row>
        <row r="5573">
          <cell r="A5573" t="str">
            <v>420.40.70.570-5100.03</v>
          </cell>
          <cell r="B5573" t="str">
            <v>420</v>
          </cell>
          <cell r="C5573" t="str">
            <v>40</v>
          </cell>
          <cell r="D5573" t="str">
            <v>70</v>
          </cell>
          <cell r="E5573" t="str">
            <v>570</v>
          </cell>
          <cell r="F5573" t="str">
            <v>5100.03</v>
          </cell>
          <cell r="G5573" t="str">
            <v>Benefits Dental Insurance</v>
          </cell>
          <cell r="H5573">
            <v>9410</v>
          </cell>
          <cell r="I5573">
            <v>0</v>
          </cell>
          <cell r="J5573">
            <v>9410</v>
          </cell>
          <cell r="K5573">
            <v>0</v>
          </cell>
          <cell r="L5573">
            <v>0</v>
          </cell>
          <cell r="M5573">
            <v>1801.55</v>
          </cell>
          <cell r="N5573">
            <v>7608.45</v>
          </cell>
          <cell r="O5573">
            <v>0.19</v>
          </cell>
        </row>
        <row r="5574">
          <cell r="A5574" t="str">
            <v>420.40.70.570-5100.04</v>
          </cell>
          <cell r="B5574" t="str">
            <v>420</v>
          </cell>
          <cell r="C5574" t="str">
            <v>40</v>
          </cell>
          <cell r="D5574" t="str">
            <v>70</v>
          </cell>
          <cell r="E5574" t="str">
            <v>570</v>
          </cell>
          <cell r="F5574" t="str">
            <v>5100.04</v>
          </cell>
          <cell r="G5574" t="str">
            <v>Benefits Vision Insurance</v>
          </cell>
          <cell r="H5574">
            <v>1505</v>
          </cell>
          <cell r="I5574">
            <v>0</v>
          </cell>
          <cell r="J5574">
            <v>1505</v>
          </cell>
          <cell r="K5574">
            <v>0</v>
          </cell>
          <cell r="L5574">
            <v>0</v>
          </cell>
          <cell r="M5574">
            <v>301.39</v>
          </cell>
          <cell r="N5574">
            <v>1203.6099999999999</v>
          </cell>
          <cell r="O5574">
            <v>0.2</v>
          </cell>
        </row>
        <row r="5575">
          <cell r="A5575" t="str">
            <v>420.40.70.570-5100.05</v>
          </cell>
          <cell r="B5575" t="str">
            <v>420</v>
          </cell>
          <cell r="C5575" t="str">
            <v>40</v>
          </cell>
          <cell r="D5575" t="str">
            <v>70</v>
          </cell>
          <cell r="E5575" t="str">
            <v>570</v>
          </cell>
          <cell r="F5575" t="str">
            <v>5100.05</v>
          </cell>
          <cell r="G5575" t="str">
            <v>Benefits Life Insurance</v>
          </cell>
          <cell r="H5575">
            <v>930</v>
          </cell>
          <cell r="I5575">
            <v>0</v>
          </cell>
          <cell r="J5575">
            <v>930</v>
          </cell>
          <cell r="K5575">
            <v>0</v>
          </cell>
          <cell r="L5575">
            <v>0</v>
          </cell>
          <cell r="M5575">
            <v>139.44999999999999</v>
          </cell>
          <cell r="N5575">
            <v>790.55</v>
          </cell>
          <cell r="O5575">
            <v>0.15</v>
          </cell>
        </row>
        <row r="5576">
          <cell r="A5576" t="str">
            <v>420.40.70.570-5100.06</v>
          </cell>
          <cell r="B5576" t="str">
            <v>420</v>
          </cell>
          <cell r="C5576" t="str">
            <v>40</v>
          </cell>
          <cell r="D5576" t="str">
            <v>70</v>
          </cell>
          <cell r="E5576" t="str">
            <v>570</v>
          </cell>
          <cell r="F5576" t="str">
            <v>5100.06</v>
          </cell>
          <cell r="G5576" t="str">
            <v>Benefits Worker's Comp</v>
          </cell>
          <cell r="H5576">
            <v>15590</v>
          </cell>
          <cell r="I5576">
            <v>0</v>
          </cell>
          <cell r="J5576">
            <v>15590</v>
          </cell>
          <cell r="K5576">
            <v>0</v>
          </cell>
          <cell r="L5576">
            <v>0</v>
          </cell>
          <cell r="M5576">
            <v>0</v>
          </cell>
          <cell r="N5576">
            <v>15590</v>
          </cell>
          <cell r="O5576">
            <v>0</v>
          </cell>
        </row>
        <row r="5577">
          <cell r="A5577" t="str">
            <v>420.40.70.570-5100.07</v>
          </cell>
          <cell r="B5577" t="str">
            <v>420</v>
          </cell>
          <cell r="C5577" t="str">
            <v>40</v>
          </cell>
          <cell r="D5577" t="str">
            <v>70</v>
          </cell>
          <cell r="E5577" t="str">
            <v>570</v>
          </cell>
          <cell r="F5577" t="str">
            <v>5100.07</v>
          </cell>
          <cell r="G5577" t="str">
            <v>Benefits Long Term Disability</v>
          </cell>
          <cell r="H5577">
            <v>2930</v>
          </cell>
          <cell r="I5577">
            <v>0</v>
          </cell>
          <cell r="J5577">
            <v>2930</v>
          </cell>
          <cell r="K5577">
            <v>0</v>
          </cell>
          <cell r="L5577">
            <v>0</v>
          </cell>
          <cell r="M5577">
            <v>450.65</v>
          </cell>
          <cell r="N5577">
            <v>2479.35</v>
          </cell>
          <cell r="O5577">
            <v>0.15</v>
          </cell>
        </row>
        <row r="5578">
          <cell r="A5578" t="str">
            <v>420.40.70.570-5100.08</v>
          </cell>
          <cell r="B5578" t="str">
            <v>420</v>
          </cell>
          <cell r="C5578" t="str">
            <v>40</v>
          </cell>
          <cell r="D5578" t="str">
            <v>70</v>
          </cell>
          <cell r="E5578" t="str">
            <v>570</v>
          </cell>
          <cell r="F5578" t="str">
            <v>5100.08</v>
          </cell>
          <cell r="G5578" t="str">
            <v>Benefits Deferred Compensation</v>
          </cell>
          <cell r="H5578">
            <v>22250</v>
          </cell>
          <cell r="I5578">
            <v>0</v>
          </cell>
          <cell r="J5578">
            <v>22250</v>
          </cell>
          <cell r="K5578">
            <v>0</v>
          </cell>
          <cell r="L5578">
            <v>0</v>
          </cell>
          <cell r="M5578">
            <v>5272.08</v>
          </cell>
          <cell r="N5578">
            <v>16977.919999999998</v>
          </cell>
          <cell r="O5578">
            <v>0.24</v>
          </cell>
        </row>
        <row r="5579">
          <cell r="A5579" t="str">
            <v>420.40.70.570-5100.09</v>
          </cell>
          <cell r="B5579" t="str">
            <v>420</v>
          </cell>
          <cell r="C5579" t="str">
            <v>40</v>
          </cell>
          <cell r="D5579" t="str">
            <v>70</v>
          </cell>
          <cell r="E5579" t="str">
            <v>570</v>
          </cell>
          <cell r="F5579" t="str">
            <v>5100.09</v>
          </cell>
          <cell r="G5579" t="str">
            <v>Benefits Unemployment Insurance</v>
          </cell>
          <cell r="H5579">
            <v>0</v>
          </cell>
          <cell r="I5579">
            <v>0</v>
          </cell>
          <cell r="J5579">
            <v>0</v>
          </cell>
          <cell r="K5579">
            <v>0</v>
          </cell>
          <cell r="L5579">
            <v>0</v>
          </cell>
          <cell r="M5579">
            <v>-211.72</v>
          </cell>
          <cell r="N5579">
            <v>211.72</v>
          </cell>
          <cell r="O5579" t="str">
            <v>+++</v>
          </cell>
        </row>
        <row r="5580">
          <cell r="A5580" t="str">
            <v>420.40.70.570-5100.10</v>
          </cell>
          <cell r="B5580" t="str">
            <v>420</v>
          </cell>
          <cell r="C5580" t="str">
            <v>40</v>
          </cell>
          <cell r="D5580" t="str">
            <v>70</v>
          </cell>
          <cell r="E5580" t="str">
            <v>570</v>
          </cell>
          <cell r="F5580" t="str">
            <v>5100.10</v>
          </cell>
          <cell r="G5580" t="str">
            <v>Benefits Uniform Allowance</v>
          </cell>
          <cell r="H5580">
            <v>3056</v>
          </cell>
          <cell r="I5580">
            <v>0</v>
          </cell>
          <cell r="J5580">
            <v>3056</v>
          </cell>
          <cell r="K5580">
            <v>0</v>
          </cell>
          <cell r="L5580">
            <v>0</v>
          </cell>
          <cell r="M5580">
            <v>0</v>
          </cell>
          <cell r="N5580">
            <v>3056</v>
          </cell>
          <cell r="O5580">
            <v>0</v>
          </cell>
        </row>
        <row r="5581">
          <cell r="A5581" t="str">
            <v>420.40.70.570-5100.11</v>
          </cell>
          <cell r="B5581" t="str">
            <v>420</v>
          </cell>
          <cell r="C5581" t="str">
            <v>40</v>
          </cell>
          <cell r="D5581" t="str">
            <v>70</v>
          </cell>
          <cell r="E5581" t="str">
            <v>570</v>
          </cell>
          <cell r="F5581" t="str">
            <v>5100.11</v>
          </cell>
          <cell r="G5581" t="str">
            <v>Benefits Medicare</v>
          </cell>
          <cell r="H5581">
            <v>8635</v>
          </cell>
          <cell r="I5581">
            <v>0</v>
          </cell>
          <cell r="J5581">
            <v>8635</v>
          </cell>
          <cell r="K5581">
            <v>0</v>
          </cell>
          <cell r="L5581">
            <v>0</v>
          </cell>
          <cell r="M5581">
            <v>1430.09</v>
          </cell>
          <cell r="N5581">
            <v>7204.91</v>
          </cell>
          <cell r="O5581">
            <v>0.17</v>
          </cell>
        </row>
        <row r="5582">
          <cell r="A5582" t="str">
            <v>420.40.70.570-5100.12</v>
          </cell>
          <cell r="B5582" t="str">
            <v>420</v>
          </cell>
          <cell r="C5582" t="str">
            <v>40</v>
          </cell>
          <cell r="D5582" t="str">
            <v>70</v>
          </cell>
          <cell r="E5582" t="str">
            <v>570</v>
          </cell>
          <cell r="F5582" t="str">
            <v>5100.12</v>
          </cell>
          <cell r="G5582" t="str">
            <v>Benefits Annual Physical Exam</v>
          </cell>
          <cell r="H5582">
            <v>900</v>
          </cell>
          <cell r="I5582">
            <v>0</v>
          </cell>
          <cell r="J5582">
            <v>900</v>
          </cell>
          <cell r="K5582">
            <v>0</v>
          </cell>
          <cell r="L5582">
            <v>0</v>
          </cell>
          <cell r="M5582">
            <v>170</v>
          </cell>
          <cell r="N5582">
            <v>730</v>
          </cell>
          <cell r="O5582">
            <v>0.19</v>
          </cell>
        </row>
        <row r="5583">
          <cell r="A5583" t="str">
            <v>420.40.70.570-5100.15</v>
          </cell>
          <cell r="B5583" t="str">
            <v>420</v>
          </cell>
          <cell r="C5583" t="str">
            <v>40</v>
          </cell>
          <cell r="D5583" t="str">
            <v>70</v>
          </cell>
          <cell r="E5583" t="str">
            <v>570</v>
          </cell>
          <cell r="F5583" t="str">
            <v>5100.15</v>
          </cell>
          <cell r="G5583" t="str">
            <v>Benefits Cell Phone Allowance</v>
          </cell>
          <cell r="H5583">
            <v>835</v>
          </cell>
          <cell r="I5583">
            <v>0</v>
          </cell>
          <cell r="J5583">
            <v>835</v>
          </cell>
          <cell r="K5583">
            <v>0</v>
          </cell>
          <cell r="L5583">
            <v>0</v>
          </cell>
          <cell r="M5583">
            <v>146.88</v>
          </cell>
          <cell r="N5583">
            <v>688.12</v>
          </cell>
          <cell r="O5583">
            <v>0.18</v>
          </cell>
        </row>
        <row r="5584">
          <cell r="A5584" t="str">
            <v>420.40.70.570-5100.17</v>
          </cell>
          <cell r="B5584" t="str">
            <v>420</v>
          </cell>
          <cell r="C5584" t="str">
            <v>40</v>
          </cell>
          <cell r="D5584" t="str">
            <v>70</v>
          </cell>
          <cell r="E5584" t="str">
            <v>570</v>
          </cell>
          <cell r="F5584" t="str">
            <v>5100.17</v>
          </cell>
          <cell r="G5584" t="str">
            <v>Benefits Other Post Employment Benefits</v>
          </cell>
          <cell r="H5584">
            <v>30980</v>
          </cell>
          <cell r="I5584">
            <v>0</v>
          </cell>
          <cell r="J5584">
            <v>30980</v>
          </cell>
          <cell r="K5584">
            <v>0</v>
          </cell>
          <cell r="L5584">
            <v>0</v>
          </cell>
          <cell r="M5584">
            <v>5167.6499999999996</v>
          </cell>
          <cell r="N5584">
            <v>25812.35</v>
          </cell>
          <cell r="O5584">
            <v>0.17</v>
          </cell>
        </row>
        <row r="5585">
          <cell r="A5585" t="str">
            <v>420.40.70.570-6000.01</v>
          </cell>
          <cell r="B5585" t="str">
            <v>420</v>
          </cell>
          <cell r="C5585" t="str">
            <v>40</v>
          </cell>
          <cell r="D5585" t="str">
            <v>70</v>
          </cell>
          <cell r="E5585" t="str">
            <v>570</v>
          </cell>
          <cell r="F5585" t="str">
            <v>6000.01</v>
          </cell>
          <cell r="G5585" t="str">
            <v>Professional Services General</v>
          </cell>
          <cell r="H5585">
            <v>4800</v>
          </cell>
          <cell r="I5585">
            <v>0</v>
          </cell>
          <cell r="J5585">
            <v>4800</v>
          </cell>
          <cell r="K5585">
            <v>0</v>
          </cell>
          <cell r="L5585">
            <v>4800</v>
          </cell>
          <cell r="M5585">
            <v>0</v>
          </cell>
          <cell r="N5585">
            <v>0</v>
          </cell>
          <cell r="O5585">
            <v>1</v>
          </cell>
        </row>
        <row r="5586">
          <cell r="A5586" t="str">
            <v>420.40.70.570-6000.09</v>
          </cell>
          <cell r="B5586" t="str">
            <v>420</v>
          </cell>
          <cell r="C5586" t="str">
            <v>40</v>
          </cell>
          <cell r="D5586" t="str">
            <v>70</v>
          </cell>
          <cell r="E5586" t="str">
            <v>570</v>
          </cell>
          <cell r="F5586" t="str">
            <v>6000.09</v>
          </cell>
          <cell r="G5586" t="str">
            <v>Professional Services Uniform</v>
          </cell>
          <cell r="H5586">
            <v>3700</v>
          </cell>
          <cell r="I5586">
            <v>0</v>
          </cell>
          <cell r="J5586">
            <v>3700</v>
          </cell>
          <cell r="K5586">
            <v>0</v>
          </cell>
          <cell r="L5586">
            <v>0</v>
          </cell>
          <cell r="M5586">
            <v>468.82</v>
          </cell>
          <cell r="N5586">
            <v>3231.18</v>
          </cell>
          <cell r="O5586">
            <v>0.13</v>
          </cell>
        </row>
        <row r="5587">
          <cell r="A5587" t="str">
            <v>420.40.70.570-6000.12</v>
          </cell>
          <cell r="B5587" t="str">
            <v>420</v>
          </cell>
          <cell r="C5587" t="str">
            <v>40</v>
          </cell>
          <cell r="D5587" t="str">
            <v>70</v>
          </cell>
          <cell r="E5587" t="str">
            <v>570</v>
          </cell>
          <cell r="F5587" t="str">
            <v>6000.12</v>
          </cell>
          <cell r="G5587" t="str">
            <v>Professional Services Contract Services</v>
          </cell>
          <cell r="H5587">
            <v>60000</v>
          </cell>
          <cell r="I5587">
            <v>0</v>
          </cell>
          <cell r="J5587">
            <v>60000</v>
          </cell>
          <cell r="K5587">
            <v>0</v>
          </cell>
          <cell r="L5587">
            <v>0</v>
          </cell>
          <cell r="M5587">
            <v>13833.93</v>
          </cell>
          <cell r="N5587">
            <v>46166.07</v>
          </cell>
          <cell r="O5587">
            <v>0.23</v>
          </cell>
        </row>
        <row r="5588">
          <cell r="A5588" t="str">
            <v>420.40.70.570-6100.01</v>
          </cell>
          <cell r="B5588" t="str">
            <v>420</v>
          </cell>
          <cell r="C5588" t="str">
            <v>40</v>
          </cell>
          <cell r="D5588" t="str">
            <v>70</v>
          </cell>
          <cell r="E5588" t="str">
            <v>570</v>
          </cell>
          <cell r="F5588" t="str">
            <v>6100.01</v>
          </cell>
          <cell r="G5588" t="str">
            <v>Utilities Electric</v>
          </cell>
          <cell r="H5588">
            <v>0</v>
          </cell>
          <cell r="I5588">
            <v>0</v>
          </cell>
          <cell r="J5588">
            <v>0</v>
          </cell>
          <cell r="K5588">
            <v>0</v>
          </cell>
          <cell r="L5588">
            <v>0</v>
          </cell>
          <cell r="M5588">
            <v>0</v>
          </cell>
          <cell r="N5588">
            <v>0</v>
          </cell>
          <cell r="O5588" t="str">
            <v>+++</v>
          </cell>
        </row>
        <row r="5589">
          <cell r="A5589" t="str">
            <v>420.40.70.570-6200.02</v>
          </cell>
          <cell r="B5589" t="str">
            <v>420</v>
          </cell>
          <cell r="C5589" t="str">
            <v>40</v>
          </cell>
          <cell r="D5589" t="str">
            <v>70</v>
          </cell>
          <cell r="E5589" t="str">
            <v>570</v>
          </cell>
          <cell r="F5589" t="str">
            <v>6200.02</v>
          </cell>
          <cell r="G5589" t="str">
            <v>Supplies Special Department</v>
          </cell>
          <cell r="H5589">
            <v>26600</v>
          </cell>
          <cell r="I5589">
            <v>0</v>
          </cell>
          <cell r="J5589">
            <v>26600</v>
          </cell>
          <cell r="K5589">
            <v>0</v>
          </cell>
          <cell r="L5589">
            <v>0</v>
          </cell>
          <cell r="M5589">
            <v>3604.66</v>
          </cell>
          <cell r="N5589">
            <v>22995.34</v>
          </cell>
          <cell r="O5589">
            <v>0.14000000000000001</v>
          </cell>
        </row>
        <row r="5590">
          <cell r="A5590" t="str">
            <v>420.40.70.570-6200.03</v>
          </cell>
          <cell r="B5590" t="str">
            <v>420</v>
          </cell>
          <cell r="C5590" t="str">
            <v>40</v>
          </cell>
          <cell r="D5590" t="str">
            <v>70</v>
          </cell>
          <cell r="E5590" t="str">
            <v>570</v>
          </cell>
          <cell r="F5590" t="str">
            <v>6200.03</v>
          </cell>
          <cell r="G5590" t="str">
            <v>Supplies Copier Maintenance &amp; Supplies</v>
          </cell>
          <cell r="H5590">
            <v>300</v>
          </cell>
          <cell r="I5590">
            <v>0</v>
          </cell>
          <cell r="J5590">
            <v>300</v>
          </cell>
          <cell r="K5590">
            <v>0</v>
          </cell>
          <cell r="L5590">
            <v>0</v>
          </cell>
          <cell r="M5590">
            <v>0</v>
          </cell>
          <cell r="N5590">
            <v>300</v>
          </cell>
          <cell r="O5590">
            <v>0</v>
          </cell>
        </row>
        <row r="5591">
          <cell r="A5591" t="str">
            <v>420.40.70.570-6200.05</v>
          </cell>
          <cell r="B5591" t="str">
            <v>420</v>
          </cell>
          <cell r="C5591" t="str">
            <v>40</v>
          </cell>
          <cell r="D5591" t="str">
            <v>70</v>
          </cell>
          <cell r="E5591" t="str">
            <v>570</v>
          </cell>
          <cell r="F5591" t="str">
            <v>6200.05</v>
          </cell>
          <cell r="G5591" t="str">
            <v>Supplies Gasoline</v>
          </cell>
          <cell r="H5591">
            <v>30500</v>
          </cell>
          <cell r="I5591">
            <v>0</v>
          </cell>
          <cell r="J5591">
            <v>30500</v>
          </cell>
          <cell r="K5591">
            <v>0</v>
          </cell>
          <cell r="L5591">
            <v>0</v>
          </cell>
          <cell r="M5591">
            <v>0</v>
          </cell>
          <cell r="N5591">
            <v>30500</v>
          </cell>
          <cell r="O5591">
            <v>0</v>
          </cell>
        </row>
        <row r="5592">
          <cell r="A5592" t="str">
            <v>420.40.70.570-6200.06</v>
          </cell>
          <cell r="B5592" t="str">
            <v>420</v>
          </cell>
          <cell r="C5592" t="str">
            <v>40</v>
          </cell>
          <cell r="D5592" t="str">
            <v>70</v>
          </cell>
          <cell r="E5592" t="str">
            <v>570</v>
          </cell>
          <cell r="F5592" t="str">
            <v>6200.06</v>
          </cell>
          <cell r="G5592" t="str">
            <v>Supplies Propane</v>
          </cell>
          <cell r="H5592">
            <v>2000</v>
          </cell>
          <cell r="I5592">
            <v>0</v>
          </cell>
          <cell r="J5592">
            <v>2000</v>
          </cell>
          <cell r="K5592">
            <v>0</v>
          </cell>
          <cell r="L5592">
            <v>0</v>
          </cell>
          <cell r="M5592">
            <v>231.98</v>
          </cell>
          <cell r="N5592">
            <v>1768.02</v>
          </cell>
          <cell r="O5592">
            <v>0.12</v>
          </cell>
        </row>
        <row r="5593">
          <cell r="A5593" t="str">
            <v>420.40.70.570-6200.07</v>
          </cell>
          <cell r="B5593" t="str">
            <v>420</v>
          </cell>
          <cell r="C5593" t="str">
            <v>40</v>
          </cell>
          <cell r="D5593" t="str">
            <v>70</v>
          </cell>
          <cell r="E5593" t="str">
            <v>570</v>
          </cell>
          <cell r="F5593" t="str">
            <v>6200.07</v>
          </cell>
          <cell r="G5593" t="str">
            <v>Supplies Radio Communication &amp; Maint</v>
          </cell>
          <cell r="H5593">
            <v>0</v>
          </cell>
          <cell r="I5593">
            <v>0</v>
          </cell>
          <cell r="J5593">
            <v>0</v>
          </cell>
          <cell r="K5593">
            <v>0</v>
          </cell>
          <cell r="L5593">
            <v>0</v>
          </cell>
          <cell r="M5593">
            <v>0</v>
          </cell>
          <cell r="N5593">
            <v>0</v>
          </cell>
          <cell r="O5593" t="str">
            <v>+++</v>
          </cell>
        </row>
        <row r="5594">
          <cell r="A5594" t="str">
            <v>420.40.70.570-6200.08</v>
          </cell>
          <cell r="B5594" t="str">
            <v>420</v>
          </cell>
          <cell r="C5594" t="str">
            <v>40</v>
          </cell>
          <cell r="D5594" t="str">
            <v>70</v>
          </cell>
          <cell r="E5594" t="str">
            <v>570</v>
          </cell>
          <cell r="F5594" t="str">
            <v>6200.08</v>
          </cell>
          <cell r="G5594" t="str">
            <v>Supplies Uniforms</v>
          </cell>
          <cell r="H5594">
            <v>0</v>
          </cell>
          <cell r="I5594">
            <v>0</v>
          </cell>
          <cell r="J5594">
            <v>0</v>
          </cell>
          <cell r="K5594">
            <v>0</v>
          </cell>
          <cell r="L5594">
            <v>0</v>
          </cell>
          <cell r="M5594">
            <v>0</v>
          </cell>
          <cell r="N5594">
            <v>0</v>
          </cell>
          <cell r="O5594" t="str">
            <v>+++</v>
          </cell>
        </row>
        <row r="5595">
          <cell r="A5595" t="str">
            <v>420.40.70.570-6280.01</v>
          </cell>
          <cell r="B5595" t="str">
            <v>420</v>
          </cell>
          <cell r="C5595" t="str">
            <v>40</v>
          </cell>
          <cell r="D5595" t="str">
            <v>70</v>
          </cell>
          <cell r="E5595" t="str">
            <v>570</v>
          </cell>
          <cell r="F5595" t="str">
            <v>6280.01</v>
          </cell>
          <cell r="G5595" t="str">
            <v>Supplies-Public Works Street Maintenance</v>
          </cell>
          <cell r="H5595">
            <v>0</v>
          </cell>
          <cell r="I5595">
            <v>0</v>
          </cell>
          <cell r="J5595">
            <v>0</v>
          </cell>
          <cell r="K5595">
            <v>0</v>
          </cell>
          <cell r="L5595">
            <v>0</v>
          </cell>
          <cell r="M5595">
            <v>0</v>
          </cell>
          <cell r="N5595">
            <v>0</v>
          </cell>
          <cell r="O5595" t="str">
            <v>+++</v>
          </cell>
        </row>
        <row r="5596">
          <cell r="A5596" t="str">
            <v>420.40.70.570-6280.02</v>
          </cell>
          <cell r="B5596" t="str">
            <v>420</v>
          </cell>
          <cell r="C5596" t="str">
            <v>40</v>
          </cell>
          <cell r="D5596" t="str">
            <v>70</v>
          </cell>
          <cell r="E5596" t="str">
            <v>570</v>
          </cell>
          <cell r="F5596" t="str">
            <v>6280.02</v>
          </cell>
          <cell r="G5596" t="str">
            <v>Supplies-Public Works Pavement Repair</v>
          </cell>
          <cell r="H5596">
            <v>0</v>
          </cell>
          <cell r="I5596">
            <v>0</v>
          </cell>
          <cell r="J5596">
            <v>0</v>
          </cell>
          <cell r="K5596">
            <v>0</v>
          </cell>
          <cell r="L5596">
            <v>0</v>
          </cell>
          <cell r="M5596">
            <v>0</v>
          </cell>
          <cell r="N5596">
            <v>0</v>
          </cell>
          <cell r="O5596" t="str">
            <v>+++</v>
          </cell>
        </row>
        <row r="5597">
          <cell r="A5597" t="str">
            <v>420.40.70.570-6280.05</v>
          </cell>
          <cell r="B5597" t="str">
            <v>420</v>
          </cell>
          <cell r="C5597" t="str">
            <v>40</v>
          </cell>
          <cell r="D5597" t="str">
            <v>70</v>
          </cell>
          <cell r="E5597" t="str">
            <v>570</v>
          </cell>
          <cell r="F5597" t="str">
            <v>6280.05</v>
          </cell>
          <cell r="G5597" t="str">
            <v>Supplies-Public Works Traffic Signs</v>
          </cell>
          <cell r="H5597">
            <v>46000</v>
          </cell>
          <cell r="I5597">
            <v>0</v>
          </cell>
          <cell r="J5597">
            <v>46000</v>
          </cell>
          <cell r="K5597">
            <v>0</v>
          </cell>
          <cell r="L5597">
            <v>0</v>
          </cell>
          <cell r="M5597">
            <v>25372.47</v>
          </cell>
          <cell r="N5597">
            <v>20627.53</v>
          </cell>
          <cell r="O5597">
            <v>0.55000000000000004</v>
          </cell>
        </row>
        <row r="5598">
          <cell r="A5598" t="str">
            <v>420.40.70.570-6280.06</v>
          </cell>
          <cell r="B5598" t="str">
            <v>420</v>
          </cell>
          <cell r="C5598" t="str">
            <v>40</v>
          </cell>
          <cell r="D5598" t="str">
            <v>70</v>
          </cell>
          <cell r="E5598" t="str">
            <v>570</v>
          </cell>
          <cell r="F5598" t="str">
            <v>6280.06</v>
          </cell>
          <cell r="G5598" t="str">
            <v>Supplies-Public Works ROW Maintenance</v>
          </cell>
          <cell r="H5598">
            <v>0</v>
          </cell>
          <cell r="I5598">
            <v>0</v>
          </cell>
          <cell r="J5598">
            <v>0</v>
          </cell>
          <cell r="K5598">
            <v>0</v>
          </cell>
          <cell r="L5598">
            <v>0</v>
          </cell>
          <cell r="M5598">
            <v>0</v>
          </cell>
          <cell r="N5598">
            <v>0</v>
          </cell>
          <cell r="O5598" t="str">
            <v>+++</v>
          </cell>
        </row>
        <row r="5599">
          <cell r="A5599" t="str">
            <v>420.40.70.570-6300.03</v>
          </cell>
          <cell r="B5599" t="str">
            <v>420</v>
          </cell>
          <cell r="C5599" t="str">
            <v>40</v>
          </cell>
          <cell r="D5599" t="str">
            <v>70</v>
          </cell>
          <cell r="E5599" t="str">
            <v>570</v>
          </cell>
          <cell r="F5599" t="str">
            <v>6300.03</v>
          </cell>
          <cell r="G5599" t="str">
            <v>Dues &amp; Subscriptions Certifications</v>
          </cell>
          <cell r="H5599">
            <v>300</v>
          </cell>
          <cell r="I5599">
            <v>0</v>
          </cell>
          <cell r="J5599">
            <v>300</v>
          </cell>
          <cell r="K5599">
            <v>0</v>
          </cell>
          <cell r="L5599">
            <v>0</v>
          </cell>
          <cell r="M5599">
            <v>-156</v>
          </cell>
          <cell r="N5599">
            <v>456</v>
          </cell>
          <cell r="O5599">
            <v>-0.52</v>
          </cell>
        </row>
        <row r="5600">
          <cell r="A5600" t="str">
            <v>420.40.70.570-6350.05</v>
          </cell>
          <cell r="B5600" t="str">
            <v>420</v>
          </cell>
          <cell r="C5600" t="str">
            <v>40</v>
          </cell>
          <cell r="D5600" t="str">
            <v>70</v>
          </cell>
          <cell r="E5600" t="str">
            <v>570</v>
          </cell>
          <cell r="F5600" t="str">
            <v>6350.05</v>
          </cell>
          <cell r="G5600" t="str">
            <v>Maintenance Agreements &amp; Licenses Traffic Control</v>
          </cell>
          <cell r="H5600">
            <v>0</v>
          </cell>
          <cell r="I5600">
            <v>0</v>
          </cell>
          <cell r="J5600">
            <v>0</v>
          </cell>
          <cell r="K5600">
            <v>0</v>
          </cell>
          <cell r="L5600">
            <v>0</v>
          </cell>
          <cell r="M5600">
            <v>0</v>
          </cell>
          <cell r="N5600">
            <v>0</v>
          </cell>
          <cell r="O5600" t="str">
            <v>+++</v>
          </cell>
        </row>
        <row r="5601">
          <cell r="A5601" t="str">
            <v>420.40.70.570-6375.19</v>
          </cell>
          <cell r="B5601" t="str">
            <v>420</v>
          </cell>
          <cell r="C5601" t="str">
            <v>40</v>
          </cell>
          <cell r="D5601" t="str">
            <v>70</v>
          </cell>
          <cell r="E5601" t="str">
            <v>570</v>
          </cell>
          <cell r="F5601" t="str">
            <v>6375.19</v>
          </cell>
          <cell r="G5601" t="str">
            <v>Operating Fees Highway Signal</v>
          </cell>
          <cell r="H5601">
            <v>0</v>
          </cell>
          <cell r="I5601">
            <v>0</v>
          </cell>
          <cell r="J5601">
            <v>0</v>
          </cell>
          <cell r="K5601">
            <v>0</v>
          </cell>
          <cell r="L5601">
            <v>0</v>
          </cell>
          <cell r="M5601">
            <v>0</v>
          </cell>
          <cell r="N5601">
            <v>0</v>
          </cell>
          <cell r="O5601" t="str">
            <v>+++</v>
          </cell>
        </row>
        <row r="5602">
          <cell r="A5602" t="str">
            <v>420.40.70.570-6400.02</v>
          </cell>
          <cell r="B5602" t="str">
            <v>420</v>
          </cell>
          <cell r="C5602" t="str">
            <v>40</v>
          </cell>
          <cell r="D5602" t="str">
            <v>70</v>
          </cell>
          <cell r="E5602" t="str">
            <v>570</v>
          </cell>
          <cell r="F5602" t="str">
            <v>6400.02</v>
          </cell>
          <cell r="G5602" t="str">
            <v>Repairs &amp; Maintenance Minor Equipment/Other</v>
          </cell>
          <cell r="H5602">
            <v>0</v>
          </cell>
          <cell r="I5602">
            <v>0</v>
          </cell>
          <cell r="J5602">
            <v>0</v>
          </cell>
          <cell r="K5602">
            <v>0</v>
          </cell>
          <cell r="L5602">
            <v>0</v>
          </cell>
          <cell r="M5602">
            <v>0</v>
          </cell>
          <cell r="N5602">
            <v>0</v>
          </cell>
          <cell r="O5602" t="str">
            <v>+++</v>
          </cell>
        </row>
        <row r="5603">
          <cell r="A5603" t="str">
            <v>420.40.70.570-6400.04</v>
          </cell>
          <cell r="B5603" t="str">
            <v>420</v>
          </cell>
          <cell r="C5603" t="str">
            <v>40</v>
          </cell>
          <cell r="D5603" t="str">
            <v>70</v>
          </cell>
          <cell r="E5603" t="str">
            <v>570</v>
          </cell>
          <cell r="F5603" t="str">
            <v>6400.04</v>
          </cell>
          <cell r="G5603" t="str">
            <v>Repairs &amp; Maintenance Equipment Rental</v>
          </cell>
          <cell r="H5603">
            <v>6000</v>
          </cell>
          <cell r="I5603">
            <v>0</v>
          </cell>
          <cell r="J5603">
            <v>6000</v>
          </cell>
          <cell r="K5603">
            <v>0</v>
          </cell>
          <cell r="L5603">
            <v>0</v>
          </cell>
          <cell r="M5603">
            <v>0</v>
          </cell>
          <cell r="N5603">
            <v>6000</v>
          </cell>
          <cell r="O5603">
            <v>0</v>
          </cell>
        </row>
        <row r="5604">
          <cell r="A5604" t="str">
            <v>420.40.70.570-6400.05</v>
          </cell>
          <cell r="B5604" t="str">
            <v>420</v>
          </cell>
          <cell r="C5604" t="str">
            <v>40</v>
          </cell>
          <cell r="D5604" t="str">
            <v>70</v>
          </cell>
          <cell r="E5604" t="str">
            <v>570</v>
          </cell>
          <cell r="F5604" t="str">
            <v>6400.05</v>
          </cell>
          <cell r="G5604" t="str">
            <v>Repairs &amp; Maintenance Vehicle</v>
          </cell>
          <cell r="H5604">
            <v>0</v>
          </cell>
          <cell r="I5604">
            <v>0</v>
          </cell>
          <cell r="J5604">
            <v>0</v>
          </cell>
          <cell r="K5604">
            <v>0</v>
          </cell>
          <cell r="L5604">
            <v>0</v>
          </cell>
          <cell r="M5604">
            <v>0</v>
          </cell>
          <cell r="N5604">
            <v>0</v>
          </cell>
          <cell r="O5604" t="str">
            <v>+++</v>
          </cell>
        </row>
        <row r="5605">
          <cell r="A5605" t="str">
            <v>420.40.70.570-6400.06</v>
          </cell>
          <cell r="B5605" t="str">
            <v>420</v>
          </cell>
          <cell r="C5605" t="str">
            <v>40</v>
          </cell>
          <cell r="D5605" t="str">
            <v>70</v>
          </cell>
          <cell r="E5605" t="str">
            <v>570</v>
          </cell>
          <cell r="F5605" t="str">
            <v>6400.06</v>
          </cell>
          <cell r="G5605" t="str">
            <v>Repairs &amp; Maintenance Smog Retrofit</v>
          </cell>
          <cell r="H5605">
            <v>0</v>
          </cell>
          <cell r="I5605">
            <v>0</v>
          </cell>
          <cell r="J5605">
            <v>0</v>
          </cell>
          <cell r="K5605">
            <v>0</v>
          </cell>
          <cell r="L5605">
            <v>0</v>
          </cell>
          <cell r="M5605">
            <v>0</v>
          </cell>
          <cell r="N5605">
            <v>0</v>
          </cell>
          <cell r="O5605" t="str">
            <v>+++</v>
          </cell>
        </row>
        <row r="5606">
          <cell r="A5606" t="str">
            <v>420.40.70.570-6400.07</v>
          </cell>
          <cell r="B5606" t="str">
            <v>420</v>
          </cell>
          <cell r="C5606" t="str">
            <v>40</v>
          </cell>
          <cell r="D5606" t="str">
            <v>70</v>
          </cell>
          <cell r="E5606" t="str">
            <v>570</v>
          </cell>
          <cell r="F5606" t="str">
            <v>6400.07</v>
          </cell>
          <cell r="G5606" t="str">
            <v>Repairs &amp; Maintenance Radio Communication</v>
          </cell>
          <cell r="H5606">
            <v>0</v>
          </cell>
          <cell r="I5606">
            <v>0</v>
          </cell>
          <cell r="J5606">
            <v>0</v>
          </cell>
          <cell r="K5606">
            <v>0</v>
          </cell>
          <cell r="L5606">
            <v>0</v>
          </cell>
          <cell r="M5606">
            <v>0</v>
          </cell>
          <cell r="N5606">
            <v>0</v>
          </cell>
          <cell r="O5606" t="str">
            <v>+++</v>
          </cell>
        </row>
        <row r="5607">
          <cell r="A5607" t="str">
            <v>420.40.70.570-6400.10</v>
          </cell>
          <cell r="B5607" t="str">
            <v>420</v>
          </cell>
          <cell r="C5607" t="str">
            <v>40</v>
          </cell>
          <cell r="D5607" t="str">
            <v>70</v>
          </cell>
          <cell r="E5607" t="str">
            <v>570</v>
          </cell>
          <cell r="F5607" t="str">
            <v>6400.10</v>
          </cell>
          <cell r="G5607" t="str">
            <v>Repairs &amp; Maintenance Pavement</v>
          </cell>
          <cell r="H5607">
            <v>75000</v>
          </cell>
          <cell r="I5607">
            <v>0</v>
          </cell>
          <cell r="J5607">
            <v>75000</v>
          </cell>
          <cell r="K5607">
            <v>0</v>
          </cell>
          <cell r="L5607">
            <v>0</v>
          </cell>
          <cell r="M5607">
            <v>7900.37</v>
          </cell>
          <cell r="N5607">
            <v>67099.63</v>
          </cell>
          <cell r="O5607">
            <v>0.11</v>
          </cell>
        </row>
        <row r="5608">
          <cell r="A5608" t="str">
            <v>420.40.70.570-6400.18</v>
          </cell>
          <cell r="B5608" t="str">
            <v>420</v>
          </cell>
          <cell r="C5608" t="str">
            <v>40</v>
          </cell>
          <cell r="D5608" t="str">
            <v>70</v>
          </cell>
          <cell r="E5608" t="str">
            <v>570</v>
          </cell>
          <cell r="F5608" t="str">
            <v>6400.18</v>
          </cell>
          <cell r="G5608" t="str">
            <v>Repairs &amp; Maintenance Streetlight</v>
          </cell>
          <cell r="H5608">
            <v>0</v>
          </cell>
          <cell r="I5608">
            <v>0</v>
          </cell>
          <cell r="J5608">
            <v>0</v>
          </cell>
          <cell r="K5608">
            <v>0</v>
          </cell>
          <cell r="L5608">
            <v>0</v>
          </cell>
          <cell r="M5608">
            <v>0</v>
          </cell>
          <cell r="N5608">
            <v>0</v>
          </cell>
          <cell r="O5608" t="str">
            <v>+++</v>
          </cell>
        </row>
        <row r="5609">
          <cell r="A5609" t="str">
            <v>420.40.70.570-6400.21</v>
          </cell>
          <cell r="B5609" t="str">
            <v>420</v>
          </cell>
          <cell r="C5609" t="str">
            <v>40</v>
          </cell>
          <cell r="D5609" t="str">
            <v>70</v>
          </cell>
          <cell r="E5609" t="str">
            <v>570</v>
          </cell>
          <cell r="F5609" t="str">
            <v>6400.21</v>
          </cell>
          <cell r="G5609" t="str">
            <v>Repairs &amp; Maintenance Soundwall/Barriers</v>
          </cell>
          <cell r="H5609">
            <v>35000</v>
          </cell>
          <cell r="I5609">
            <v>0</v>
          </cell>
          <cell r="J5609">
            <v>35000</v>
          </cell>
          <cell r="K5609">
            <v>0</v>
          </cell>
          <cell r="L5609">
            <v>0</v>
          </cell>
          <cell r="M5609">
            <v>7345</v>
          </cell>
          <cell r="N5609">
            <v>27655</v>
          </cell>
          <cell r="O5609">
            <v>0.21</v>
          </cell>
        </row>
        <row r="5610">
          <cell r="A5610" t="str">
            <v>420.40.70.570-6410.02</v>
          </cell>
          <cell r="B5610" t="str">
            <v>420</v>
          </cell>
          <cell r="C5610" t="str">
            <v>40</v>
          </cell>
          <cell r="D5610" t="str">
            <v>70</v>
          </cell>
          <cell r="E5610" t="str">
            <v>570</v>
          </cell>
          <cell r="F5610" t="str">
            <v>6410.02</v>
          </cell>
          <cell r="G5610" t="str">
            <v>Repairs &amp; Maintenance-Transportation Slurry/Overlay</v>
          </cell>
          <cell r="H5610">
            <v>0</v>
          </cell>
          <cell r="I5610">
            <v>0</v>
          </cell>
          <cell r="J5610">
            <v>0</v>
          </cell>
          <cell r="K5610">
            <v>0</v>
          </cell>
          <cell r="L5610">
            <v>0</v>
          </cell>
          <cell r="M5610">
            <v>0</v>
          </cell>
          <cell r="N5610">
            <v>0</v>
          </cell>
          <cell r="O5610" t="str">
            <v>+++</v>
          </cell>
        </row>
        <row r="5611">
          <cell r="A5611" t="str">
            <v>420.40.70.570-6410.07</v>
          </cell>
          <cell r="B5611" t="str">
            <v>420</v>
          </cell>
          <cell r="C5611" t="str">
            <v>40</v>
          </cell>
          <cell r="D5611" t="str">
            <v>70</v>
          </cell>
          <cell r="E5611" t="str">
            <v>570</v>
          </cell>
          <cell r="F5611" t="str">
            <v>6410.07</v>
          </cell>
          <cell r="G5611" t="str">
            <v>Repairs &amp; Maintenance-Transportation Soundwall</v>
          </cell>
          <cell r="H5611">
            <v>0</v>
          </cell>
          <cell r="I5611">
            <v>0</v>
          </cell>
          <cell r="J5611">
            <v>0</v>
          </cell>
          <cell r="K5611">
            <v>0</v>
          </cell>
          <cell r="L5611">
            <v>0</v>
          </cell>
          <cell r="M5611">
            <v>0</v>
          </cell>
          <cell r="N5611">
            <v>0</v>
          </cell>
          <cell r="O5611" t="str">
            <v>+++</v>
          </cell>
        </row>
        <row r="5612">
          <cell r="A5612" t="str">
            <v>420.40.70.570-6410.08</v>
          </cell>
          <cell r="B5612" t="str">
            <v>420</v>
          </cell>
          <cell r="C5612" t="str">
            <v>40</v>
          </cell>
          <cell r="D5612" t="str">
            <v>70</v>
          </cell>
          <cell r="E5612" t="str">
            <v>570</v>
          </cell>
          <cell r="F5612" t="str">
            <v>6410.08</v>
          </cell>
          <cell r="G5612" t="str">
            <v>Repairs &amp; Maintenance-Transportation Streetlights</v>
          </cell>
          <cell r="H5612">
            <v>0</v>
          </cell>
          <cell r="I5612">
            <v>0</v>
          </cell>
          <cell r="J5612">
            <v>0</v>
          </cell>
          <cell r="K5612">
            <v>0</v>
          </cell>
          <cell r="L5612">
            <v>0</v>
          </cell>
          <cell r="M5612">
            <v>0</v>
          </cell>
          <cell r="N5612">
            <v>0</v>
          </cell>
          <cell r="O5612" t="str">
            <v>+++</v>
          </cell>
        </row>
        <row r="5613">
          <cell r="A5613" t="str">
            <v>420.40.70.570-6500.04</v>
          </cell>
          <cell r="B5613" t="str">
            <v>420</v>
          </cell>
          <cell r="C5613" t="str">
            <v>40</v>
          </cell>
          <cell r="D5613" t="str">
            <v>70</v>
          </cell>
          <cell r="E5613" t="str">
            <v>570</v>
          </cell>
          <cell r="F5613" t="str">
            <v>6500.04</v>
          </cell>
          <cell r="G5613" t="str">
            <v>Claims &amp; Insurance Insurance Premiums</v>
          </cell>
          <cell r="H5613">
            <v>34110</v>
          </cell>
          <cell r="I5613">
            <v>0</v>
          </cell>
          <cell r="J5613">
            <v>34110</v>
          </cell>
          <cell r="K5613">
            <v>0</v>
          </cell>
          <cell r="L5613">
            <v>0</v>
          </cell>
          <cell r="M5613">
            <v>0</v>
          </cell>
          <cell r="N5613">
            <v>34110</v>
          </cell>
          <cell r="O5613">
            <v>0</v>
          </cell>
        </row>
        <row r="5614">
          <cell r="A5614" t="str">
            <v>420.40.70.570-6600.04</v>
          </cell>
          <cell r="B5614" t="str">
            <v>420</v>
          </cell>
          <cell r="C5614" t="str">
            <v>40</v>
          </cell>
          <cell r="D5614" t="str">
            <v>70</v>
          </cell>
          <cell r="E5614" t="str">
            <v>570</v>
          </cell>
          <cell r="F5614" t="str">
            <v>6600.04</v>
          </cell>
          <cell r="G5614" t="str">
            <v>Administrative Expenses Training/Conferences</v>
          </cell>
          <cell r="H5614">
            <v>0</v>
          </cell>
          <cell r="I5614">
            <v>0</v>
          </cell>
          <cell r="J5614">
            <v>0</v>
          </cell>
          <cell r="K5614">
            <v>0</v>
          </cell>
          <cell r="L5614">
            <v>0</v>
          </cell>
          <cell r="M5614">
            <v>0</v>
          </cell>
          <cell r="N5614">
            <v>0</v>
          </cell>
          <cell r="O5614" t="str">
            <v>+++</v>
          </cell>
        </row>
        <row r="5615">
          <cell r="A5615" t="str">
            <v>420.40.70.570-6600.07</v>
          </cell>
          <cell r="B5615" t="str">
            <v>420</v>
          </cell>
          <cell r="C5615" t="str">
            <v>40</v>
          </cell>
          <cell r="D5615" t="str">
            <v>70</v>
          </cell>
          <cell r="E5615" t="str">
            <v>570</v>
          </cell>
          <cell r="F5615" t="str">
            <v>6600.07</v>
          </cell>
          <cell r="G5615" t="str">
            <v>Administrative Expenses Employee Recruitment</v>
          </cell>
          <cell r="H5615">
            <v>950</v>
          </cell>
          <cell r="I5615">
            <v>0</v>
          </cell>
          <cell r="J5615">
            <v>950</v>
          </cell>
          <cell r="K5615">
            <v>0</v>
          </cell>
          <cell r="L5615">
            <v>0</v>
          </cell>
          <cell r="M5615">
            <v>12.07</v>
          </cell>
          <cell r="N5615">
            <v>937.93</v>
          </cell>
          <cell r="O5615">
            <v>0.01</v>
          </cell>
        </row>
        <row r="5616">
          <cell r="A5616" t="str">
            <v>420.40.70.570-6600.26</v>
          </cell>
          <cell r="B5616" t="str">
            <v>420</v>
          </cell>
          <cell r="C5616" t="str">
            <v>40</v>
          </cell>
          <cell r="D5616" t="str">
            <v>70</v>
          </cell>
          <cell r="E5616" t="str">
            <v>570</v>
          </cell>
          <cell r="F5616" t="str">
            <v>6600.26</v>
          </cell>
          <cell r="G5616" t="str">
            <v>Administrative Expenses Support Services-IT</v>
          </cell>
          <cell r="H5616">
            <v>34270</v>
          </cell>
          <cell r="I5616">
            <v>0</v>
          </cell>
          <cell r="J5616">
            <v>34270</v>
          </cell>
          <cell r="K5616">
            <v>0</v>
          </cell>
          <cell r="L5616">
            <v>0</v>
          </cell>
          <cell r="M5616">
            <v>0</v>
          </cell>
          <cell r="N5616">
            <v>34270</v>
          </cell>
          <cell r="O5616">
            <v>0</v>
          </cell>
        </row>
        <row r="5617">
          <cell r="A5617" t="str">
            <v>420.40.70.570-6600.28</v>
          </cell>
          <cell r="B5617" t="str">
            <v>420</v>
          </cell>
          <cell r="C5617" t="str">
            <v>40</v>
          </cell>
          <cell r="D5617" t="str">
            <v>70</v>
          </cell>
          <cell r="E5617" t="str">
            <v>570</v>
          </cell>
          <cell r="F5617" t="str">
            <v>6600.28</v>
          </cell>
          <cell r="G5617" t="str">
            <v>Administrative Expenses Equipment Fund Contribution</v>
          </cell>
          <cell r="H5617">
            <v>0</v>
          </cell>
          <cell r="I5617">
            <v>0</v>
          </cell>
          <cell r="J5617">
            <v>0</v>
          </cell>
          <cell r="K5617">
            <v>0</v>
          </cell>
          <cell r="L5617">
            <v>0</v>
          </cell>
          <cell r="M5617">
            <v>0</v>
          </cell>
          <cell r="N5617">
            <v>0</v>
          </cell>
          <cell r="O5617" t="str">
            <v>+++</v>
          </cell>
        </row>
        <row r="5618">
          <cell r="A5618" t="str">
            <v>420.40.70.570-6600.32</v>
          </cell>
          <cell r="B5618" t="str">
            <v>420</v>
          </cell>
          <cell r="C5618" t="str">
            <v>40</v>
          </cell>
          <cell r="D5618" t="str">
            <v>70</v>
          </cell>
          <cell r="E5618" t="str">
            <v>570</v>
          </cell>
          <cell r="F5618" t="str">
            <v>6600.32</v>
          </cell>
          <cell r="G5618" t="str">
            <v>Administrative Expenses Vehicle Fund Contribution</v>
          </cell>
          <cell r="H5618">
            <v>0</v>
          </cell>
          <cell r="I5618">
            <v>0</v>
          </cell>
          <cell r="J5618">
            <v>0</v>
          </cell>
          <cell r="K5618">
            <v>0</v>
          </cell>
          <cell r="L5618">
            <v>0</v>
          </cell>
          <cell r="M5618">
            <v>0</v>
          </cell>
          <cell r="N5618">
            <v>0</v>
          </cell>
          <cell r="O5618" t="str">
            <v>+++</v>
          </cell>
        </row>
        <row r="5619">
          <cell r="A5619" t="str">
            <v>420.40.70.570-6600.36</v>
          </cell>
          <cell r="B5619" t="str">
            <v>420</v>
          </cell>
          <cell r="C5619" t="str">
            <v>40</v>
          </cell>
          <cell r="D5619" t="str">
            <v>70</v>
          </cell>
          <cell r="E5619" t="str">
            <v>570</v>
          </cell>
          <cell r="F5619" t="str">
            <v>6600.36</v>
          </cell>
          <cell r="G5619" t="str">
            <v>Administrative Expenses IT Fund Contribution</v>
          </cell>
          <cell r="H5619">
            <v>29200</v>
          </cell>
          <cell r="I5619">
            <v>0</v>
          </cell>
          <cell r="J5619">
            <v>29200</v>
          </cell>
          <cell r="K5619">
            <v>0</v>
          </cell>
          <cell r="L5619">
            <v>0</v>
          </cell>
          <cell r="M5619">
            <v>0</v>
          </cell>
          <cell r="N5619">
            <v>29200</v>
          </cell>
          <cell r="O5619">
            <v>0</v>
          </cell>
        </row>
        <row r="5620">
          <cell r="A5620" t="str">
            <v>420.40.70.570-7000.03</v>
          </cell>
          <cell r="B5620" t="str">
            <v>420</v>
          </cell>
          <cell r="C5620" t="str">
            <v>40</v>
          </cell>
          <cell r="D5620" t="str">
            <v>70</v>
          </cell>
          <cell r="E5620" t="str">
            <v>570</v>
          </cell>
          <cell r="F5620" t="str">
            <v>7000.03</v>
          </cell>
          <cell r="G5620" t="str">
            <v>Capital Outlay Operations Equip-Minor</v>
          </cell>
          <cell r="H5620">
            <v>0</v>
          </cell>
          <cell r="I5620">
            <v>0</v>
          </cell>
          <cell r="J5620">
            <v>0</v>
          </cell>
          <cell r="K5620">
            <v>0</v>
          </cell>
          <cell r="L5620">
            <v>0</v>
          </cell>
          <cell r="M5620">
            <v>0</v>
          </cell>
          <cell r="N5620">
            <v>0</v>
          </cell>
          <cell r="O5620" t="str">
            <v>+++</v>
          </cell>
        </row>
        <row r="5621">
          <cell r="A5621" t="str">
            <v>420.40.70.580-5000.01</v>
          </cell>
          <cell r="B5621" t="str">
            <v>420</v>
          </cell>
          <cell r="C5621" t="str">
            <v>40</v>
          </cell>
          <cell r="D5621" t="str">
            <v>70</v>
          </cell>
          <cell r="E5621" t="str">
            <v>580</v>
          </cell>
          <cell r="F5621" t="str">
            <v>5000.01</v>
          </cell>
          <cell r="G5621" t="str">
            <v>Salaries Regular</v>
          </cell>
          <cell r="H5621">
            <v>182573</v>
          </cell>
          <cell r="I5621">
            <v>0</v>
          </cell>
          <cell r="J5621">
            <v>182573</v>
          </cell>
          <cell r="K5621">
            <v>0</v>
          </cell>
          <cell r="L5621">
            <v>0</v>
          </cell>
          <cell r="M5621">
            <v>38956.199999999997</v>
          </cell>
          <cell r="N5621">
            <v>143616.79999999999</v>
          </cell>
          <cell r="O5621">
            <v>0.21</v>
          </cell>
        </row>
        <row r="5622">
          <cell r="A5622" t="str">
            <v>420.40.70.580-5000.02</v>
          </cell>
          <cell r="B5622" t="str">
            <v>420</v>
          </cell>
          <cell r="C5622" t="str">
            <v>40</v>
          </cell>
          <cell r="D5622" t="str">
            <v>70</v>
          </cell>
          <cell r="E5622" t="str">
            <v>580</v>
          </cell>
          <cell r="F5622" t="str">
            <v>5000.02</v>
          </cell>
          <cell r="G5622" t="str">
            <v>Salaries Part Time</v>
          </cell>
          <cell r="H5622">
            <v>0</v>
          </cell>
          <cell r="I5622">
            <v>0</v>
          </cell>
          <cell r="J5622">
            <v>0</v>
          </cell>
          <cell r="K5622">
            <v>0</v>
          </cell>
          <cell r="L5622">
            <v>0</v>
          </cell>
          <cell r="M5622">
            <v>0</v>
          </cell>
          <cell r="N5622">
            <v>0</v>
          </cell>
          <cell r="O5622" t="str">
            <v>+++</v>
          </cell>
        </row>
        <row r="5623">
          <cell r="A5623" t="str">
            <v>420.40.70.580-5000.03</v>
          </cell>
          <cell r="B5623" t="str">
            <v>420</v>
          </cell>
          <cell r="C5623" t="str">
            <v>40</v>
          </cell>
          <cell r="D5623" t="str">
            <v>70</v>
          </cell>
          <cell r="E5623" t="str">
            <v>580</v>
          </cell>
          <cell r="F5623" t="str">
            <v>5000.03</v>
          </cell>
          <cell r="G5623" t="str">
            <v>Salaries Overtime</v>
          </cell>
          <cell r="H5623">
            <v>7725</v>
          </cell>
          <cell r="I5623">
            <v>0</v>
          </cell>
          <cell r="J5623">
            <v>7725</v>
          </cell>
          <cell r="K5623">
            <v>0</v>
          </cell>
          <cell r="L5623">
            <v>0</v>
          </cell>
          <cell r="M5623">
            <v>455.43</v>
          </cell>
          <cell r="N5623">
            <v>7269.57</v>
          </cell>
          <cell r="O5623">
            <v>0.06</v>
          </cell>
        </row>
        <row r="5624">
          <cell r="A5624" t="str">
            <v>420.40.70.580-5000.04</v>
          </cell>
          <cell r="B5624" t="str">
            <v>420</v>
          </cell>
          <cell r="C5624" t="str">
            <v>40</v>
          </cell>
          <cell r="D5624" t="str">
            <v>70</v>
          </cell>
          <cell r="E5624" t="str">
            <v>580</v>
          </cell>
          <cell r="F5624" t="str">
            <v>5000.04</v>
          </cell>
          <cell r="G5624" t="str">
            <v>Salaries Holiday Pay</v>
          </cell>
          <cell r="H5624">
            <v>0</v>
          </cell>
          <cell r="I5624">
            <v>0</v>
          </cell>
          <cell r="J5624">
            <v>0</v>
          </cell>
          <cell r="K5624">
            <v>0</v>
          </cell>
          <cell r="L5624">
            <v>0</v>
          </cell>
          <cell r="M5624">
            <v>0</v>
          </cell>
          <cell r="N5624">
            <v>0</v>
          </cell>
          <cell r="O5624" t="str">
            <v>+++</v>
          </cell>
        </row>
        <row r="5625">
          <cell r="A5625" t="str">
            <v>420.40.70.580-5000.06</v>
          </cell>
          <cell r="B5625" t="str">
            <v>420</v>
          </cell>
          <cell r="C5625" t="str">
            <v>40</v>
          </cell>
          <cell r="D5625" t="str">
            <v>70</v>
          </cell>
          <cell r="E5625" t="str">
            <v>580</v>
          </cell>
          <cell r="F5625" t="str">
            <v>5000.06</v>
          </cell>
          <cell r="G5625" t="str">
            <v>Salaries Out of Class</v>
          </cell>
          <cell r="H5625">
            <v>150</v>
          </cell>
          <cell r="I5625">
            <v>0</v>
          </cell>
          <cell r="J5625">
            <v>150</v>
          </cell>
          <cell r="K5625">
            <v>0</v>
          </cell>
          <cell r="L5625">
            <v>0</v>
          </cell>
          <cell r="M5625">
            <v>440.34</v>
          </cell>
          <cell r="N5625">
            <v>-290.33999999999997</v>
          </cell>
          <cell r="O5625">
            <v>2.94</v>
          </cell>
        </row>
        <row r="5626">
          <cell r="A5626" t="str">
            <v>420.40.70.580-5000.07</v>
          </cell>
          <cell r="B5626" t="str">
            <v>420</v>
          </cell>
          <cell r="C5626" t="str">
            <v>40</v>
          </cell>
          <cell r="D5626" t="str">
            <v>70</v>
          </cell>
          <cell r="E5626" t="str">
            <v>580</v>
          </cell>
          <cell r="F5626" t="str">
            <v>5000.07</v>
          </cell>
          <cell r="G5626" t="str">
            <v>Salaries Admin Leave Pay</v>
          </cell>
          <cell r="H5626">
            <v>438</v>
          </cell>
          <cell r="I5626">
            <v>0</v>
          </cell>
          <cell r="J5626">
            <v>438</v>
          </cell>
          <cell r="K5626">
            <v>0</v>
          </cell>
          <cell r="L5626">
            <v>0</v>
          </cell>
          <cell r="M5626">
            <v>0</v>
          </cell>
          <cell r="N5626">
            <v>438</v>
          </cell>
          <cell r="O5626">
            <v>0</v>
          </cell>
        </row>
        <row r="5627">
          <cell r="A5627" t="str">
            <v>420.40.70.580-5000.08</v>
          </cell>
          <cell r="B5627" t="str">
            <v>420</v>
          </cell>
          <cell r="C5627" t="str">
            <v>40</v>
          </cell>
          <cell r="D5627" t="str">
            <v>70</v>
          </cell>
          <cell r="E5627" t="str">
            <v>580</v>
          </cell>
          <cell r="F5627" t="str">
            <v>5000.08</v>
          </cell>
          <cell r="G5627" t="str">
            <v>Salaries Longevity Pay</v>
          </cell>
          <cell r="H5627">
            <v>1679</v>
          </cell>
          <cell r="I5627">
            <v>0</v>
          </cell>
          <cell r="J5627">
            <v>1679</v>
          </cell>
          <cell r="K5627">
            <v>0</v>
          </cell>
          <cell r="L5627">
            <v>0</v>
          </cell>
          <cell r="M5627">
            <v>718.5</v>
          </cell>
          <cell r="N5627">
            <v>960.5</v>
          </cell>
          <cell r="O5627">
            <v>0.43</v>
          </cell>
        </row>
        <row r="5628">
          <cell r="A5628" t="str">
            <v>420.40.70.580-5000.10</v>
          </cell>
          <cell r="B5628" t="str">
            <v>420</v>
          </cell>
          <cell r="C5628" t="str">
            <v>40</v>
          </cell>
          <cell r="D5628" t="str">
            <v>70</v>
          </cell>
          <cell r="E5628" t="str">
            <v>580</v>
          </cell>
          <cell r="F5628" t="str">
            <v>5000.10</v>
          </cell>
          <cell r="G5628" t="str">
            <v>Salaries Furloughs</v>
          </cell>
          <cell r="H5628">
            <v>0</v>
          </cell>
          <cell r="I5628">
            <v>0</v>
          </cell>
          <cell r="J5628">
            <v>0</v>
          </cell>
          <cell r="K5628">
            <v>0</v>
          </cell>
          <cell r="L5628">
            <v>0</v>
          </cell>
          <cell r="M5628">
            <v>0</v>
          </cell>
          <cell r="N5628">
            <v>0</v>
          </cell>
          <cell r="O5628" t="str">
            <v>+++</v>
          </cell>
        </row>
        <row r="5629">
          <cell r="A5629" t="str">
            <v>420.40.70.580-5000.11</v>
          </cell>
          <cell r="B5629" t="str">
            <v>420</v>
          </cell>
          <cell r="C5629" t="str">
            <v>40</v>
          </cell>
          <cell r="D5629" t="str">
            <v>70</v>
          </cell>
          <cell r="E5629" t="str">
            <v>580</v>
          </cell>
          <cell r="F5629" t="str">
            <v>5000.11</v>
          </cell>
          <cell r="G5629" t="str">
            <v>Salaries Worker's Comp</v>
          </cell>
          <cell r="H5629">
            <v>0</v>
          </cell>
          <cell r="I5629">
            <v>0</v>
          </cell>
          <cell r="J5629">
            <v>0</v>
          </cell>
          <cell r="K5629">
            <v>0</v>
          </cell>
          <cell r="L5629">
            <v>0</v>
          </cell>
          <cell r="M5629">
            <v>0</v>
          </cell>
          <cell r="N5629">
            <v>0</v>
          </cell>
          <cell r="O5629" t="str">
            <v>+++</v>
          </cell>
        </row>
        <row r="5630">
          <cell r="A5630" t="str">
            <v>420.40.70.580-5000.12</v>
          </cell>
          <cell r="B5630" t="str">
            <v>420</v>
          </cell>
          <cell r="C5630" t="str">
            <v>40</v>
          </cell>
          <cell r="D5630" t="str">
            <v>70</v>
          </cell>
          <cell r="E5630" t="str">
            <v>580</v>
          </cell>
          <cell r="F5630" t="str">
            <v>5000.12</v>
          </cell>
          <cell r="G5630" t="str">
            <v>Salaries Compensated Absences</v>
          </cell>
          <cell r="H5630">
            <v>0</v>
          </cell>
          <cell r="I5630">
            <v>0</v>
          </cell>
          <cell r="J5630">
            <v>0</v>
          </cell>
          <cell r="K5630">
            <v>0</v>
          </cell>
          <cell r="L5630">
            <v>0</v>
          </cell>
          <cell r="M5630">
            <v>0</v>
          </cell>
          <cell r="N5630">
            <v>0</v>
          </cell>
          <cell r="O5630" t="str">
            <v>+++</v>
          </cell>
        </row>
        <row r="5631">
          <cell r="A5631" t="str">
            <v>420.40.70.580-5100.00</v>
          </cell>
          <cell r="B5631" t="str">
            <v>420</v>
          </cell>
          <cell r="C5631" t="str">
            <v>40</v>
          </cell>
          <cell r="D5631" t="str">
            <v>70</v>
          </cell>
          <cell r="E5631" t="str">
            <v>580</v>
          </cell>
          <cell r="F5631" t="str">
            <v>5100.00</v>
          </cell>
          <cell r="G5631" t="str">
            <v>Benefits PERS Pool Liability</v>
          </cell>
          <cell r="H5631">
            <v>32160</v>
          </cell>
          <cell r="I5631">
            <v>0</v>
          </cell>
          <cell r="J5631">
            <v>32160</v>
          </cell>
          <cell r="K5631">
            <v>0</v>
          </cell>
          <cell r="L5631">
            <v>0</v>
          </cell>
          <cell r="M5631">
            <v>8017.39</v>
          </cell>
          <cell r="N5631">
            <v>24142.61</v>
          </cell>
          <cell r="O5631">
            <v>0.25</v>
          </cell>
        </row>
        <row r="5632">
          <cell r="A5632" t="str">
            <v>420.40.70.580-5100.01</v>
          </cell>
          <cell r="B5632" t="str">
            <v>420</v>
          </cell>
          <cell r="C5632" t="str">
            <v>40</v>
          </cell>
          <cell r="D5632" t="str">
            <v>70</v>
          </cell>
          <cell r="E5632" t="str">
            <v>580</v>
          </cell>
          <cell r="F5632" t="str">
            <v>5100.01</v>
          </cell>
          <cell r="G5632" t="str">
            <v>Benefits Retirement</v>
          </cell>
          <cell r="H5632">
            <v>18015</v>
          </cell>
          <cell r="I5632">
            <v>0</v>
          </cell>
          <cell r="J5632">
            <v>18015</v>
          </cell>
          <cell r="K5632">
            <v>0</v>
          </cell>
          <cell r="L5632">
            <v>0</v>
          </cell>
          <cell r="M5632">
            <v>4445.6000000000004</v>
          </cell>
          <cell r="N5632">
            <v>13569.4</v>
          </cell>
          <cell r="O5632">
            <v>0.25</v>
          </cell>
        </row>
        <row r="5633">
          <cell r="A5633" t="str">
            <v>420.40.70.580-5100.02</v>
          </cell>
          <cell r="B5633" t="str">
            <v>420</v>
          </cell>
          <cell r="C5633" t="str">
            <v>40</v>
          </cell>
          <cell r="D5633" t="str">
            <v>70</v>
          </cell>
          <cell r="E5633" t="str">
            <v>580</v>
          </cell>
          <cell r="F5633" t="str">
            <v>5100.02</v>
          </cell>
          <cell r="G5633" t="str">
            <v>Benefits Health Insurance</v>
          </cell>
          <cell r="H5633">
            <v>35660</v>
          </cell>
          <cell r="I5633">
            <v>0</v>
          </cell>
          <cell r="J5633">
            <v>35660</v>
          </cell>
          <cell r="K5633">
            <v>0</v>
          </cell>
          <cell r="L5633">
            <v>0</v>
          </cell>
          <cell r="M5633">
            <v>6452.46</v>
          </cell>
          <cell r="N5633">
            <v>29207.54</v>
          </cell>
          <cell r="O5633">
            <v>0.18</v>
          </cell>
        </row>
        <row r="5634">
          <cell r="A5634" t="str">
            <v>420.40.70.580-5100.03</v>
          </cell>
          <cell r="B5634" t="str">
            <v>420</v>
          </cell>
          <cell r="C5634" t="str">
            <v>40</v>
          </cell>
          <cell r="D5634" t="str">
            <v>70</v>
          </cell>
          <cell r="E5634" t="str">
            <v>580</v>
          </cell>
          <cell r="F5634" t="str">
            <v>5100.03</v>
          </cell>
          <cell r="G5634" t="str">
            <v>Benefits Dental Insurance</v>
          </cell>
          <cell r="H5634">
            <v>3400</v>
          </cell>
          <cell r="I5634">
            <v>0</v>
          </cell>
          <cell r="J5634">
            <v>3400</v>
          </cell>
          <cell r="K5634">
            <v>0</v>
          </cell>
          <cell r="L5634">
            <v>0</v>
          </cell>
          <cell r="M5634">
            <v>701.98</v>
          </cell>
          <cell r="N5634">
            <v>2698.02</v>
          </cell>
          <cell r="O5634">
            <v>0.21</v>
          </cell>
        </row>
        <row r="5635">
          <cell r="A5635" t="str">
            <v>420.40.70.580-5100.04</v>
          </cell>
          <cell r="B5635" t="str">
            <v>420</v>
          </cell>
          <cell r="C5635" t="str">
            <v>40</v>
          </cell>
          <cell r="D5635" t="str">
            <v>70</v>
          </cell>
          <cell r="E5635" t="str">
            <v>580</v>
          </cell>
          <cell r="F5635" t="str">
            <v>5100.04</v>
          </cell>
          <cell r="G5635" t="str">
            <v>Benefits Vision Insurance</v>
          </cell>
          <cell r="H5635">
            <v>560</v>
          </cell>
          <cell r="I5635">
            <v>0</v>
          </cell>
          <cell r="J5635">
            <v>560</v>
          </cell>
          <cell r="K5635">
            <v>0</v>
          </cell>
          <cell r="L5635">
            <v>0</v>
          </cell>
          <cell r="M5635">
            <v>118.21</v>
          </cell>
          <cell r="N5635">
            <v>441.79</v>
          </cell>
          <cell r="O5635">
            <v>0.21</v>
          </cell>
        </row>
        <row r="5636">
          <cell r="A5636" t="str">
            <v>420.40.70.580-5100.05</v>
          </cell>
          <cell r="B5636" t="str">
            <v>420</v>
          </cell>
          <cell r="C5636" t="str">
            <v>40</v>
          </cell>
          <cell r="D5636" t="str">
            <v>70</v>
          </cell>
          <cell r="E5636" t="str">
            <v>580</v>
          </cell>
          <cell r="F5636" t="str">
            <v>5100.05</v>
          </cell>
          <cell r="G5636" t="str">
            <v>Benefits Life Insurance</v>
          </cell>
          <cell r="H5636">
            <v>310</v>
          </cell>
          <cell r="I5636">
            <v>0</v>
          </cell>
          <cell r="J5636">
            <v>310</v>
          </cell>
          <cell r="K5636">
            <v>0</v>
          </cell>
          <cell r="L5636">
            <v>0</v>
          </cell>
          <cell r="M5636">
            <v>50.37</v>
          </cell>
          <cell r="N5636">
            <v>259.63</v>
          </cell>
          <cell r="O5636">
            <v>0.16</v>
          </cell>
        </row>
        <row r="5637">
          <cell r="A5637" t="str">
            <v>420.40.70.580-5100.06</v>
          </cell>
          <cell r="B5637" t="str">
            <v>420</v>
          </cell>
          <cell r="C5637" t="str">
            <v>40</v>
          </cell>
          <cell r="D5637" t="str">
            <v>70</v>
          </cell>
          <cell r="E5637" t="str">
            <v>580</v>
          </cell>
          <cell r="F5637" t="str">
            <v>5100.06</v>
          </cell>
          <cell r="G5637" t="str">
            <v>Benefits Worker's Comp</v>
          </cell>
          <cell r="H5637">
            <v>4920</v>
          </cell>
          <cell r="I5637">
            <v>0</v>
          </cell>
          <cell r="J5637">
            <v>4920</v>
          </cell>
          <cell r="K5637">
            <v>0</v>
          </cell>
          <cell r="L5637">
            <v>0</v>
          </cell>
          <cell r="M5637">
            <v>0</v>
          </cell>
          <cell r="N5637">
            <v>4920</v>
          </cell>
          <cell r="O5637">
            <v>0</v>
          </cell>
        </row>
        <row r="5638">
          <cell r="A5638" t="str">
            <v>420.40.70.580-5100.07</v>
          </cell>
          <cell r="B5638" t="str">
            <v>420</v>
          </cell>
          <cell r="C5638" t="str">
            <v>40</v>
          </cell>
          <cell r="D5638" t="str">
            <v>70</v>
          </cell>
          <cell r="E5638" t="str">
            <v>580</v>
          </cell>
          <cell r="F5638" t="str">
            <v>5100.07</v>
          </cell>
          <cell r="G5638" t="str">
            <v>Benefits Long Term Disability</v>
          </cell>
          <cell r="H5638">
            <v>1030</v>
          </cell>
          <cell r="I5638">
            <v>0</v>
          </cell>
          <cell r="J5638">
            <v>1030</v>
          </cell>
          <cell r="K5638">
            <v>0</v>
          </cell>
          <cell r="L5638">
            <v>0</v>
          </cell>
          <cell r="M5638">
            <v>177.35</v>
          </cell>
          <cell r="N5638">
            <v>852.65</v>
          </cell>
          <cell r="O5638">
            <v>0.17</v>
          </cell>
        </row>
        <row r="5639">
          <cell r="A5639" t="str">
            <v>420.40.70.580-5100.08</v>
          </cell>
          <cell r="B5639" t="str">
            <v>420</v>
          </cell>
          <cell r="C5639" t="str">
            <v>40</v>
          </cell>
          <cell r="D5639" t="str">
            <v>70</v>
          </cell>
          <cell r="E5639" t="str">
            <v>580</v>
          </cell>
          <cell r="F5639" t="str">
            <v>5100.08</v>
          </cell>
          <cell r="G5639" t="str">
            <v>Benefits Deferred Compensation</v>
          </cell>
          <cell r="H5639">
            <v>7950</v>
          </cell>
          <cell r="I5639">
            <v>0</v>
          </cell>
          <cell r="J5639">
            <v>7950</v>
          </cell>
          <cell r="K5639">
            <v>0</v>
          </cell>
          <cell r="L5639">
            <v>0</v>
          </cell>
          <cell r="M5639">
            <v>2123.15</v>
          </cell>
          <cell r="N5639">
            <v>5826.85</v>
          </cell>
          <cell r="O5639">
            <v>0.27</v>
          </cell>
        </row>
        <row r="5640">
          <cell r="A5640" t="str">
            <v>420.40.70.580-5100.09</v>
          </cell>
          <cell r="B5640" t="str">
            <v>420</v>
          </cell>
          <cell r="C5640" t="str">
            <v>40</v>
          </cell>
          <cell r="D5640" t="str">
            <v>70</v>
          </cell>
          <cell r="E5640" t="str">
            <v>580</v>
          </cell>
          <cell r="F5640" t="str">
            <v>5100.09</v>
          </cell>
          <cell r="G5640" t="str">
            <v>Benefits Unemployment Insurance</v>
          </cell>
          <cell r="H5640">
            <v>0</v>
          </cell>
          <cell r="I5640">
            <v>0</v>
          </cell>
          <cell r="J5640">
            <v>0</v>
          </cell>
          <cell r="K5640">
            <v>0</v>
          </cell>
          <cell r="L5640">
            <v>0</v>
          </cell>
          <cell r="M5640">
            <v>-104.28</v>
          </cell>
          <cell r="N5640">
            <v>104.28</v>
          </cell>
          <cell r="O5640" t="str">
            <v>+++</v>
          </cell>
        </row>
        <row r="5641">
          <cell r="A5641" t="str">
            <v>420.40.70.580-5100.10</v>
          </cell>
          <cell r="B5641" t="str">
            <v>420</v>
          </cell>
          <cell r="C5641" t="str">
            <v>40</v>
          </cell>
          <cell r="D5641" t="str">
            <v>70</v>
          </cell>
          <cell r="E5641" t="str">
            <v>580</v>
          </cell>
          <cell r="F5641" t="str">
            <v>5100.10</v>
          </cell>
          <cell r="G5641" t="str">
            <v>Benefits Uniform Allowance</v>
          </cell>
          <cell r="H5641">
            <v>0</v>
          </cell>
          <cell r="I5641">
            <v>0</v>
          </cell>
          <cell r="J5641">
            <v>0</v>
          </cell>
          <cell r="K5641">
            <v>0</v>
          </cell>
          <cell r="L5641">
            <v>0</v>
          </cell>
          <cell r="M5641">
            <v>0</v>
          </cell>
          <cell r="N5641">
            <v>0</v>
          </cell>
          <cell r="O5641" t="str">
            <v>+++</v>
          </cell>
        </row>
        <row r="5642">
          <cell r="A5642" t="str">
            <v>420.40.70.580-5100.11</v>
          </cell>
          <cell r="B5642" t="str">
            <v>420</v>
          </cell>
          <cell r="C5642" t="str">
            <v>40</v>
          </cell>
          <cell r="D5642" t="str">
            <v>70</v>
          </cell>
          <cell r="E5642" t="str">
            <v>580</v>
          </cell>
          <cell r="F5642" t="str">
            <v>5100.11</v>
          </cell>
          <cell r="G5642" t="str">
            <v>Benefits Medicare</v>
          </cell>
          <cell r="H5642">
            <v>2785</v>
          </cell>
          <cell r="I5642">
            <v>0</v>
          </cell>
          <cell r="J5642">
            <v>2785</v>
          </cell>
          <cell r="K5642">
            <v>0</v>
          </cell>
          <cell r="L5642">
            <v>0</v>
          </cell>
          <cell r="M5642">
            <v>534.80999999999995</v>
          </cell>
          <cell r="N5642">
            <v>2250.19</v>
          </cell>
          <cell r="O5642">
            <v>0.19</v>
          </cell>
        </row>
        <row r="5643">
          <cell r="A5643" t="str">
            <v>420.40.70.580-5100.12</v>
          </cell>
          <cell r="B5643" t="str">
            <v>420</v>
          </cell>
          <cell r="C5643" t="str">
            <v>40</v>
          </cell>
          <cell r="D5643" t="str">
            <v>70</v>
          </cell>
          <cell r="E5643" t="str">
            <v>580</v>
          </cell>
          <cell r="F5643" t="str">
            <v>5100.12</v>
          </cell>
          <cell r="G5643" t="str">
            <v>Benefits Annual Physical Exam</v>
          </cell>
          <cell r="H5643">
            <v>0</v>
          </cell>
          <cell r="I5643">
            <v>0</v>
          </cell>
          <cell r="J5643">
            <v>0</v>
          </cell>
          <cell r="K5643">
            <v>0</v>
          </cell>
          <cell r="L5643">
            <v>0</v>
          </cell>
          <cell r="M5643">
            <v>0</v>
          </cell>
          <cell r="N5643">
            <v>0</v>
          </cell>
          <cell r="O5643" t="str">
            <v>+++</v>
          </cell>
        </row>
        <row r="5644">
          <cell r="A5644" t="str">
            <v>420.40.70.580-5100.15</v>
          </cell>
          <cell r="B5644" t="str">
            <v>420</v>
          </cell>
          <cell r="C5644" t="str">
            <v>40</v>
          </cell>
          <cell r="D5644" t="str">
            <v>70</v>
          </cell>
          <cell r="E5644" t="str">
            <v>580</v>
          </cell>
          <cell r="F5644" t="str">
            <v>5100.15</v>
          </cell>
          <cell r="G5644" t="str">
            <v>Benefits Cell Phone Allowance</v>
          </cell>
          <cell r="H5644">
            <v>136</v>
          </cell>
          <cell r="I5644">
            <v>0</v>
          </cell>
          <cell r="J5644">
            <v>136</v>
          </cell>
          <cell r="K5644">
            <v>0</v>
          </cell>
          <cell r="L5644">
            <v>0</v>
          </cell>
          <cell r="M5644">
            <v>66.78</v>
          </cell>
          <cell r="N5644">
            <v>69.22</v>
          </cell>
          <cell r="O5644">
            <v>0.49</v>
          </cell>
        </row>
        <row r="5645">
          <cell r="A5645" t="str">
            <v>420.40.70.580-5100.17</v>
          </cell>
          <cell r="B5645" t="str">
            <v>420</v>
          </cell>
          <cell r="C5645" t="str">
            <v>40</v>
          </cell>
          <cell r="D5645" t="str">
            <v>70</v>
          </cell>
          <cell r="E5645" t="str">
            <v>580</v>
          </cell>
          <cell r="F5645" t="str">
            <v>5100.17</v>
          </cell>
          <cell r="G5645" t="str">
            <v>Benefits Other Post Employment Benefits</v>
          </cell>
          <cell r="H5645">
            <v>0</v>
          </cell>
          <cell r="I5645">
            <v>0</v>
          </cell>
          <cell r="J5645">
            <v>0</v>
          </cell>
          <cell r="K5645">
            <v>0</v>
          </cell>
          <cell r="L5645">
            <v>0</v>
          </cell>
          <cell r="M5645">
            <v>0</v>
          </cell>
          <cell r="N5645">
            <v>0</v>
          </cell>
          <cell r="O5645" t="str">
            <v>+++</v>
          </cell>
        </row>
        <row r="5646">
          <cell r="A5646" t="str">
            <v>420.40.70.580-6000.09</v>
          </cell>
          <cell r="B5646" t="str">
            <v>420</v>
          </cell>
          <cell r="C5646" t="str">
            <v>40</v>
          </cell>
          <cell r="D5646" t="str">
            <v>70</v>
          </cell>
          <cell r="E5646" t="str">
            <v>580</v>
          </cell>
          <cell r="F5646" t="str">
            <v>6000.09</v>
          </cell>
          <cell r="G5646" t="str">
            <v>Professional Services Uniform</v>
          </cell>
          <cell r="H5646">
            <v>0</v>
          </cell>
          <cell r="I5646">
            <v>0</v>
          </cell>
          <cell r="J5646">
            <v>0</v>
          </cell>
          <cell r="K5646">
            <v>0</v>
          </cell>
          <cell r="L5646">
            <v>0</v>
          </cell>
          <cell r="M5646">
            <v>0</v>
          </cell>
          <cell r="N5646">
            <v>0</v>
          </cell>
          <cell r="O5646" t="str">
            <v>+++</v>
          </cell>
        </row>
        <row r="5647">
          <cell r="A5647" t="str">
            <v>420.40.70.580-6200.03</v>
          </cell>
          <cell r="B5647" t="str">
            <v>420</v>
          </cell>
          <cell r="C5647" t="str">
            <v>40</v>
          </cell>
          <cell r="D5647" t="str">
            <v>70</v>
          </cell>
          <cell r="E5647" t="str">
            <v>580</v>
          </cell>
          <cell r="F5647" t="str">
            <v>6200.03</v>
          </cell>
          <cell r="G5647" t="str">
            <v>Supplies Copier Maintenance &amp; Supplies</v>
          </cell>
          <cell r="H5647">
            <v>0</v>
          </cell>
          <cell r="I5647">
            <v>0</v>
          </cell>
          <cell r="J5647">
            <v>0</v>
          </cell>
          <cell r="K5647">
            <v>0</v>
          </cell>
          <cell r="L5647">
            <v>0</v>
          </cell>
          <cell r="M5647">
            <v>0</v>
          </cell>
          <cell r="N5647">
            <v>0</v>
          </cell>
          <cell r="O5647" t="str">
            <v>+++</v>
          </cell>
        </row>
        <row r="5648">
          <cell r="A5648" t="str">
            <v>420.40.70.580-6280.03</v>
          </cell>
          <cell r="B5648" t="str">
            <v>420</v>
          </cell>
          <cell r="C5648" t="str">
            <v>40</v>
          </cell>
          <cell r="D5648" t="str">
            <v>70</v>
          </cell>
          <cell r="E5648" t="str">
            <v>580</v>
          </cell>
          <cell r="F5648" t="str">
            <v>6280.03</v>
          </cell>
          <cell r="G5648" t="str">
            <v>Supplies-Public Works Soundwall Repair</v>
          </cell>
          <cell r="H5648">
            <v>0</v>
          </cell>
          <cell r="I5648">
            <v>0</v>
          </cell>
          <cell r="J5648">
            <v>0</v>
          </cell>
          <cell r="K5648">
            <v>0</v>
          </cell>
          <cell r="L5648">
            <v>0</v>
          </cell>
          <cell r="M5648">
            <v>0</v>
          </cell>
          <cell r="N5648">
            <v>0</v>
          </cell>
          <cell r="O5648" t="str">
            <v>+++</v>
          </cell>
        </row>
        <row r="5649">
          <cell r="A5649" t="str">
            <v>420.40.70.580-6280.04</v>
          </cell>
          <cell r="B5649" t="str">
            <v>420</v>
          </cell>
          <cell r="C5649" t="str">
            <v>40</v>
          </cell>
          <cell r="D5649" t="str">
            <v>70</v>
          </cell>
          <cell r="E5649" t="str">
            <v>580</v>
          </cell>
          <cell r="F5649" t="str">
            <v>6280.04</v>
          </cell>
          <cell r="G5649" t="str">
            <v>Supplies-Public Works Sidewalk Repair</v>
          </cell>
          <cell r="H5649">
            <v>5000</v>
          </cell>
          <cell r="I5649">
            <v>0</v>
          </cell>
          <cell r="J5649">
            <v>5000</v>
          </cell>
          <cell r="K5649">
            <v>0</v>
          </cell>
          <cell r="L5649">
            <v>0</v>
          </cell>
          <cell r="M5649">
            <v>1716.41</v>
          </cell>
          <cell r="N5649">
            <v>3283.59</v>
          </cell>
          <cell r="O5649">
            <v>0.34</v>
          </cell>
        </row>
        <row r="5650">
          <cell r="A5650" t="str">
            <v>420.40.70.580-6400.22</v>
          </cell>
          <cell r="B5650" t="str">
            <v>420</v>
          </cell>
          <cell r="C5650" t="str">
            <v>40</v>
          </cell>
          <cell r="D5650" t="str">
            <v>70</v>
          </cell>
          <cell r="E5650" t="str">
            <v>580</v>
          </cell>
          <cell r="F5650" t="str">
            <v>6400.22</v>
          </cell>
          <cell r="G5650" t="str">
            <v>Repairs &amp; Maintenance Curb Gutter Sidewalk</v>
          </cell>
          <cell r="H5650">
            <v>25000</v>
          </cell>
          <cell r="I5650">
            <v>0</v>
          </cell>
          <cell r="J5650">
            <v>25000</v>
          </cell>
          <cell r="K5650">
            <v>0</v>
          </cell>
          <cell r="L5650">
            <v>0</v>
          </cell>
          <cell r="M5650">
            <v>3429.17</v>
          </cell>
          <cell r="N5650">
            <v>21570.83</v>
          </cell>
          <cell r="O5650">
            <v>0.14000000000000001</v>
          </cell>
        </row>
        <row r="5651">
          <cell r="A5651" t="str">
            <v>420.40.70.580-6410.05</v>
          </cell>
          <cell r="B5651" t="str">
            <v>420</v>
          </cell>
          <cell r="C5651" t="str">
            <v>40</v>
          </cell>
          <cell r="D5651" t="str">
            <v>70</v>
          </cell>
          <cell r="E5651" t="str">
            <v>580</v>
          </cell>
          <cell r="F5651" t="str">
            <v>6410.05</v>
          </cell>
          <cell r="G5651" t="str">
            <v>Repairs &amp; Maintenance-Transportation Curb Gutter Sidewalk</v>
          </cell>
          <cell r="H5651">
            <v>0</v>
          </cell>
          <cell r="I5651">
            <v>0</v>
          </cell>
          <cell r="J5651">
            <v>0</v>
          </cell>
          <cell r="K5651">
            <v>0</v>
          </cell>
          <cell r="L5651">
            <v>0</v>
          </cell>
          <cell r="M5651">
            <v>0</v>
          </cell>
          <cell r="N5651">
            <v>0</v>
          </cell>
          <cell r="O5651" t="str">
            <v>+++</v>
          </cell>
        </row>
        <row r="5652">
          <cell r="A5652" t="str">
            <v>420.40.70.580-7000.03</v>
          </cell>
          <cell r="B5652" t="str">
            <v>420</v>
          </cell>
          <cell r="C5652" t="str">
            <v>40</v>
          </cell>
          <cell r="D5652" t="str">
            <v>70</v>
          </cell>
          <cell r="E5652" t="str">
            <v>580</v>
          </cell>
          <cell r="F5652" t="str">
            <v>7000.03</v>
          </cell>
          <cell r="G5652" t="str">
            <v>Capital Outlay Operations Equip-Minor</v>
          </cell>
          <cell r="H5652">
            <v>0</v>
          </cell>
          <cell r="I5652">
            <v>0</v>
          </cell>
          <cell r="J5652">
            <v>0</v>
          </cell>
          <cell r="K5652">
            <v>0</v>
          </cell>
          <cell r="L5652">
            <v>0</v>
          </cell>
          <cell r="M5652">
            <v>0</v>
          </cell>
          <cell r="N5652">
            <v>0</v>
          </cell>
          <cell r="O5652" t="str">
            <v>+++</v>
          </cell>
        </row>
        <row r="5653">
          <cell r="A5653" t="str">
            <v>420.40.70.580-7000.99</v>
          </cell>
          <cell r="B5653" t="str">
            <v>420</v>
          </cell>
          <cell r="C5653" t="str">
            <v>40</v>
          </cell>
          <cell r="D5653" t="str">
            <v>70</v>
          </cell>
          <cell r="E5653" t="str">
            <v>580</v>
          </cell>
          <cell r="F5653" t="str">
            <v>7000.99</v>
          </cell>
          <cell r="G5653" t="str">
            <v>Capital Outlay General</v>
          </cell>
          <cell r="H5653">
            <v>0</v>
          </cell>
          <cell r="I5653">
            <v>0</v>
          </cell>
          <cell r="J5653">
            <v>0</v>
          </cell>
          <cell r="K5653">
            <v>0</v>
          </cell>
          <cell r="L5653">
            <v>0</v>
          </cell>
          <cell r="M5653">
            <v>0</v>
          </cell>
          <cell r="N5653">
            <v>0</v>
          </cell>
          <cell r="O5653" t="str">
            <v>+++</v>
          </cell>
        </row>
        <row r="5654">
          <cell r="A5654" t="str">
            <v>420.40.70.590-5000.01</v>
          </cell>
          <cell r="B5654" t="str">
            <v>420</v>
          </cell>
          <cell r="C5654" t="str">
            <v>40</v>
          </cell>
          <cell r="D5654" t="str">
            <v>70</v>
          </cell>
          <cell r="E5654" t="str">
            <v>590</v>
          </cell>
          <cell r="F5654" t="str">
            <v>5000.01</v>
          </cell>
          <cell r="G5654" t="str">
            <v>Salaries Regular</v>
          </cell>
          <cell r="H5654">
            <v>17917</v>
          </cell>
          <cell r="I5654">
            <v>0</v>
          </cell>
          <cell r="J5654">
            <v>17917</v>
          </cell>
          <cell r="K5654">
            <v>0</v>
          </cell>
          <cell r="L5654">
            <v>0</v>
          </cell>
          <cell r="M5654">
            <v>2432.63</v>
          </cell>
          <cell r="N5654">
            <v>15484.37</v>
          </cell>
          <cell r="O5654">
            <v>0.14000000000000001</v>
          </cell>
        </row>
        <row r="5655">
          <cell r="A5655" t="str">
            <v>420.40.70.590-5000.02</v>
          </cell>
          <cell r="B5655" t="str">
            <v>420</v>
          </cell>
          <cell r="C5655" t="str">
            <v>40</v>
          </cell>
          <cell r="D5655" t="str">
            <v>70</v>
          </cell>
          <cell r="E5655" t="str">
            <v>590</v>
          </cell>
          <cell r="F5655" t="str">
            <v>5000.02</v>
          </cell>
          <cell r="G5655" t="str">
            <v>Salaries Part Time</v>
          </cell>
          <cell r="H5655">
            <v>0</v>
          </cell>
          <cell r="I5655">
            <v>0</v>
          </cell>
          <cell r="J5655">
            <v>0</v>
          </cell>
          <cell r="K5655">
            <v>0</v>
          </cell>
          <cell r="L5655">
            <v>0</v>
          </cell>
          <cell r="M5655">
            <v>0</v>
          </cell>
          <cell r="N5655">
            <v>0</v>
          </cell>
          <cell r="O5655" t="str">
            <v>+++</v>
          </cell>
        </row>
        <row r="5656">
          <cell r="A5656" t="str">
            <v>420.40.70.590-5000.03</v>
          </cell>
          <cell r="B5656" t="str">
            <v>420</v>
          </cell>
          <cell r="C5656" t="str">
            <v>40</v>
          </cell>
          <cell r="D5656" t="str">
            <v>70</v>
          </cell>
          <cell r="E5656" t="str">
            <v>590</v>
          </cell>
          <cell r="F5656" t="str">
            <v>5000.03</v>
          </cell>
          <cell r="G5656" t="str">
            <v>Salaries Overtime</v>
          </cell>
          <cell r="H5656">
            <v>1236</v>
          </cell>
          <cell r="I5656">
            <v>0</v>
          </cell>
          <cell r="J5656">
            <v>1236</v>
          </cell>
          <cell r="K5656">
            <v>0</v>
          </cell>
          <cell r="L5656">
            <v>0</v>
          </cell>
          <cell r="M5656">
            <v>162.29</v>
          </cell>
          <cell r="N5656">
            <v>1073.71</v>
          </cell>
          <cell r="O5656">
            <v>0.13</v>
          </cell>
        </row>
        <row r="5657">
          <cell r="A5657" t="str">
            <v>420.40.70.590-5000.04</v>
          </cell>
          <cell r="B5657" t="str">
            <v>420</v>
          </cell>
          <cell r="C5657" t="str">
            <v>40</v>
          </cell>
          <cell r="D5657" t="str">
            <v>70</v>
          </cell>
          <cell r="E5657" t="str">
            <v>590</v>
          </cell>
          <cell r="F5657" t="str">
            <v>5000.04</v>
          </cell>
          <cell r="G5657" t="str">
            <v>Salaries Holiday Pay</v>
          </cell>
          <cell r="H5657">
            <v>0</v>
          </cell>
          <cell r="I5657">
            <v>0</v>
          </cell>
          <cell r="J5657">
            <v>0</v>
          </cell>
          <cell r="K5657">
            <v>0</v>
          </cell>
          <cell r="L5657">
            <v>0</v>
          </cell>
          <cell r="M5657">
            <v>0</v>
          </cell>
          <cell r="N5657">
            <v>0</v>
          </cell>
          <cell r="O5657" t="str">
            <v>+++</v>
          </cell>
        </row>
        <row r="5658">
          <cell r="A5658" t="str">
            <v>420.40.70.590-5000.06</v>
          </cell>
          <cell r="B5658" t="str">
            <v>420</v>
          </cell>
          <cell r="C5658" t="str">
            <v>40</v>
          </cell>
          <cell r="D5658" t="str">
            <v>70</v>
          </cell>
          <cell r="E5658" t="str">
            <v>590</v>
          </cell>
          <cell r="F5658" t="str">
            <v>5000.06</v>
          </cell>
          <cell r="G5658" t="str">
            <v>Salaries Out of Class</v>
          </cell>
          <cell r="H5658">
            <v>0</v>
          </cell>
          <cell r="I5658">
            <v>0</v>
          </cell>
          <cell r="J5658">
            <v>0</v>
          </cell>
          <cell r="K5658">
            <v>0</v>
          </cell>
          <cell r="L5658">
            <v>0</v>
          </cell>
          <cell r="M5658">
            <v>71.709999999999994</v>
          </cell>
          <cell r="N5658">
            <v>-71.709999999999994</v>
          </cell>
          <cell r="O5658" t="str">
            <v>+++</v>
          </cell>
        </row>
        <row r="5659">
          <cell r="A5659" t="str">
            <v>420.40.70.590-5000.07</v>
          </cell>
          <cell r="B5659" t="str">
            <v>420</v>
          </cell>
          <cell r="C5659" t="str">
            <v>40</v>
          </cell>
          <cell r="D5659" t="str">
            <v>70</v>
          </cell>
          <cell r="E5659" t="str">
            <v>590</v>
          </cell>
          <cell r="F5659" t="str">
            <v>5000.07</v>
          </cell>
          <cell r="G5659" t="str">
            <v>Salaries Admin Leave Pay</v>
          </cell>
          <cell r="H5659">
            <v>438</v>
          </cell>
          <cell r="I5659">
            <v>0</v>
          </cell>
          <cell r="J5659">
            <v>438</v>
          </cell>
          <cell r="K5659">
            <v>0</v>
          </cell>
          <cell r="L5659">
            <v>0</v>
          </cell>
          <cell r="M5659">
            <v>0</v>
          </cell>
          <cell r="N5659">
            <v>438</v>
          </cell>
          <cell r="O5659">
            <v>0</v>
          </cell>
        </row>
        <row r="5660">
          <cell r="A5660" t="str">
            <v>420.40.70.590-5000.08</v>
          </cell>
          <cell r="B5660" t="str">
            <v>420</v>
          </cell>
          <cell r="C5660" t="str">
            <v>40</v>
          </cell>
          <cell r="D5660" t="str">
            <v>70</v>
          </cell>
          <cell r="E5660" t="str">
            <v>590</v>
          </cell>
          <cell r="F5660" t="str">
            <v>5000.08</v>
          </cell>
          <cell r="G5660" t="str">
            <v>Salaries Longevity Pay</v>
          </cell>
          <cell r="H5660">
            <v>237</v>
          </cell>
          <cell r="I5660">
            <v>0</v>
          </cell>
          <cell r="J5660">
            <v>237</v>
          </cell>
          <cell r="K5660">
            <v>0</v>
          </cell>
          <cell r="L5660">
            <v>0</v>
          </cell>
          <cell r="M5660">
            <v>0</v>
          </cell>
          <cell r="N5660">
            <v>237</v>
          </cell>
          <cell r="O5660">
            <v>0</v>
          </cell>
        </row>
        <row r="5661">
          <cell r="A5661" t="str">
            <v>420.40.70.590-5000.10</v>
          </cell>
          <cell r="B5661" t="str">
            <v>420</v>
          </cell>
          <cell r="C5661" t="str">
            <v>40</v>
          </cell>
          <cell r="D5661" t="str">
            <v>70</v>
          </cell>
          <cell r="E5661" t="str">
            <v>590</v>
          </cell>
          <cell r="F5661" t="str">
            <v>5000.10</v>
          </cell>
          <cell r="G5661" t="str">
            <v>Salaries Furloughs</v>
          </cell>
          <cell r="H5661">
            <v>0</v>
          </cell>
          <cell r="I5661">
            <v>0</v>
          </cell>
          <cell r="J5661">
            <v>0</v>
          </cell>
          <cell r="K5661">
            <v>0</v>
          </cell>
          <cell r="L5661">
            <v>0</v>
          </cell>
          <cell r="M5661">
            <v>0</v>
          </cell>
          <cell r="N5661">
            <v>0</v>
          </cell>
          <cell r="O5661" t="str">
            <v>+++</v>
          </cell>
        </row>
        <row r="5662">
          <cell r="A5662" t="str">
            <v>420.40.70.590-5000.11</v>
          </cell>
          <cell r="B5662" t="str">
            <v>420</v>
          </cell>
          <cell r="C5662" t="str">
            <v>40</v>
          </cell>
          <cell r="D5662" t="str">
            <v>70</v>
          </cell>
          <cell r="E5662" t="str">
            <v>590</v>
          </cell>
          <cell r="F5662" t="str">
            <v>5000.11</v>
          </cell>
          <cell r="G5662" t="str">
            <v>Salaries Worker's Comp</v>
          </cell>
          <cell r="H5662">
            <v>0</v>
          </cell>
          <cell r="I5662">
            <v>0</v>
          </cell>
          <cell r="J5662">
            <v>0</v>
          </cell>
          <cell r="K5662">
            <v>0</v>
          </cell>
          <cell r="L5662">
            <v>0</v>
          </cell>
          <cell r="M5662">
            <v>0</v>
          </cell>
          <cell r="N5662">
            <v>0</v>
          </cell>
          <cell r="O5662" t="str">
            <v>+++</v>
          </cell>
        </row>
        <row r="5663">
          <cell r="A5663" t="str">
            <v>420.40.70.590-5000.12</v>
          </cell>
          <cell r="B5663" t="str">
            <v>420</v>
          </cell>
          <cell r="C5663" t="str">
            <v>40</v>
          </cell>
          <cell r="D5663" t="str">
            <v>70</v>
          </cell>
          <cell r="E5663" t="str">
            <v>590</v>
          </cell>
          <cell r="F5663" t="str">
            <v>5000.12</v>
          </cell>
          <cell r="G5663" t="str">
            <v>Salaries Compensated Absences</v>
          </cell>
          <cell r="H5663">
            <v>0</v>
          </cell>
          <cell r="I5663">
            <v>0</v>
          </cell>
          <cell r="J5663">
            <v>0</v>
          </cell>
          <cell r="K5663">
            <v>0</v>
          </cell>
          <cell r="L5663">
            <v>0</v>
          </cell>
          <cell r="M5663">
            <v>0</v>
          </cell>
          <cell r="N5663">
            <v>0</v>
          </cell>
          <cell r="O5663" t="str">
            <v>+++</v>
          </cell>
        </row>
        <row r="5664">
          <cell r="A5664" t="str">
            <v>420.40.70.590-5100.00</v>
          </cell>
          <cell r="B5664" t="str">
            <v>420</v>
          </cell>
          <cell r="C5664" t="str">
            <v>40</v>
          </cell>
          <cell r="D5664" t="str">
            <v>70</v>
          </cell>
          <cell r="E5664" t="str">
            <v>590</v>
          </cell>
          <cell r="F5664" t="str">
            <v>5100.00</v>
          </cell>
          <cell r="G5664" t="str">
            <v>Benefits PERS Pool Liability</v>
          </cell>
          <cell r="H5664">
            <v>3420</v>
          </cell>
          <cell r="I5664">
            <v>0</v>
          </cell>
          <cell r="J5664">
            <v>3420</v>
          </cell>
          <cell r="K5664">
            <v>0</v>
          </cell>
          <cell r="L5664">
            <v>0</v>
          </cell>
          <cell r="M5664">
            <v>523.51</v>
          </cell>
          <cell r="N5664">
            <v>2896.49</v>
          </cell>
          <cell r="O5664">
            <v>0.15</v>
          </cell>
        </row>
        <row r="5665">
          <cell r="A5665" t="str">
            <v>420.40.70.590-5100.01</v>
          </cell>
          <cell r="B5665" t="str">
            <v>420</v>
          </cell>
          <cell r="C5665" t="str">
            <v>40</v>
          </cell>
          <cell r="D5665" t="str">
            <v>70</v>
          </cell>
          <cell r="E5665" t="str">
            <v>590</v>
          </cell>
          <cell r="F5665" t="str">
            <v>5100.01</v>
          </cell>
          <cell r="G5665" t="str">
            <v>Benefits Retirement</v>
          </cell>
          <cell r="H5665">
            <v>1520</v>
          </cell>
          <cell r="I5665">
            <v>0</v>
          </cell>
          <cell r="J5665">
            <v>1520</v>
          </cell>
          <cell r="K5665">
            <v>0</v>
          </cell>
          <cell r="L5665">
            <v>0</v>
          </cell>
          <cell r="M5665">
            <v>269.75</v>
          </cell>
          <cell r="N5665">
            <v>1250.25</v>
          </cell>
          <cell r="O5665">
            <v>0.18</v>
          </cell>
        </row>
        <row r="5666">
          <cell r="A5666" t="str">
            <v>420.40.70.590-5100.02</v>
          </cell>
          <cell r="B5666" t="str">
            <v>420</v>
          </cell>
          <cell r="C5666" t="str">
            <v>40</v>
          </cell>
          <cell r="D5666" t="str">
            <v>70</v>
          </cell>
          <cell r="E5666" t="str">
            <v>590</v>
          </cell>
          <cell r="F5666" t="str">
            <v>5100.02</v>
          </cell>
          <cell r="G5666" t="str">
            <v>Benefits Health Insurance</v>
          </cell>
          <cell r="H5666">
            <v>2135</v>
          </cell>
          <cell r="I5666">
            <v>0</v>
          </cell>
          <cell r="J5666">
            <v>2135</v>
          </cell>
          <cell r="K5666">
            <v>0</v>
          </cell>
          <cell r="L5666">
            <v>0</v>
          </cell>
          <cell r="M5666">
            <v>92.48</v>
          </cell>
          <cell r="N5666">
            <v>2042.52</v>
          </cell>
          <cell r="O5666">
            <v>0.04</v>
          </cell>
        </row>
        <row r="5667">
          <cell r="A5667" t="str">
            <v>420.40.70.590-5100.03</v>
          </cell>
          <cell r="B5667" t="str">
            <v>420</v>
          </cell>
          <cell r="C5667" t="str">
            <v>40</v>
          </cell>
          <cell r="D5667" t="str">
            <v>70</v>
          </cell>
          <cell r="E5667" t="str">
            <v>590</v>
          </cell>
          <cell r="F5667" t="str">
            <v>5100.03</v>
          </cell>
          <cell r="G5667" t="str">
            <v>Benefits Dental Insurance</v>
          </cell>
          <cell r="H5667">
            <v>305</v>
          </cell>
          <cell r="I5667">
            <v>0</v>
          </cell>
          <cell r="J5667">
            <v>305</v>
          </cell>
          <cell r="K5667">
            <v>0</v>
          </cell>
          <cell r="L5667">
            <v>0</v>
          </cell>
          <cell r="M5667">
            <v>42.63</v>
          </cell>
          <cell r="N5667">
            <v>262.37</v>
          </cell>
          <cell r="O5667">
            <v>0.14000000000000001</v>
          </cell>
        </row>
        <row r="5668">
          <cell r="A5668" t="str">
            <v>420.40.70.590-5100.04</v>
          </cell>
          <cell r="B5668" t="str">
            <v>420</v>
          </cell>
          <cell r="C5668" t="str">
            <v>40</v>
          </cell>
          <cell r="D5668" t="str">
            <v>70</v>
          </cell>
          <cell r="E5668" t="str">
            <v>590</v>
          </cell>
          <cell r="F5668" t="str">
            <v>5100.04</v>
          </cell>
          <cell r="G5668" t="str">
            <v>Benefits Vision Insurance</v>
          </cell>
          <cell r="H5668">
            <v>50</v>
          </cell>
          <cell r="I5668">
            <v>0</v>
          </cell>
          <cell r="J5668">
            <v>50</v>
          </cell>
          <cell r="K5668">
            <v>0</v>
          </cell>
          <cell r="L5668">
            <v>0</v>
          </cell>
          <cell r="M5668">
            <v>6.93</v>
          </cell>
          <cell r="N5668">
            <v>43.07</v>
          </cell>
          <cell r="O5668">
            <v>0.14000000000000001</v>
          </cell>
        </row>
        <row r="5669">
          <cell r="A5669" t="str">
            <v>420.40.70.590-5100.05</v>
          </cell>
          <cell r="B5669" t="str">
            <v>420</v>
          </cell>
          <cell r="C5669" t="str">
            <v>40</v>
          </cell>
          <cell r="D5669" t="str">
            <v>70</v>
          </cell>
          <cell r="E5669" t="str">
            <v>590</v>
          </cell>
          <cell r="F5669" t="str">
            <v>5100.05</v>
          </cell>
          <cell r="G5669" t="str">
            <v>Benefits Life Insurance</v>
          </cell>
          <cell r="H5669">
            <v>60</v>
          </cell>
          <cell r="I5669">
            <v>0</v>
          </cell>
          <cell r="J5669">
            <v>60</v>
          </cell>
          <cell r="K5669">
            <v>0</v>
          </cell>
          <cell r="L5669">
            <v>0</v>
          </cell>
          <cell r="M5669">
            <v>4.1900000000000004</v>
          </cell>
          <cell r="N5669">
            <v>55.81</v>
          </cell>
          <cell r="O5669">
            <v>7.0000000000000007E-2</v>
          </cell>
        </row>
        <row r="5670">
          <cell r="A5670" t="str">
            <v>420.40.70.590-5100.06</v>
          </cell>
          <cell r="B5670" t="str">
            <v>420</v>
          </cell>
          <cell r="C5670" t="str">
            <v>40</v>
          </cell>
          <cell r="D5670" t="str">
            <v>70</v>
          </cell>
          <cell r="E5670" t="str">
            <v>590</v>
          </cell>
          <cell r="F5670" t="str">
            <v>5100.06</v>
          </cell>
          <cell r="G5670" t="str">
            <v>Benefits Worker's Comp</v>
          </cell>
          <cell r="H5670">
            <v>380</v>
          </cell>
          <cell r="I5670">
            <v>0</v>
          </cell>
          <cell r="J5670">
            <v>380</v>
          </cell>
          <cell r="K5670">
            <v>0</v>
          </cell>
          <cell r="L5670">
            <v>0</v>
          </cell>
          <cell r="M5670">
            <v>0</v>
          </cell>
          <cell r="N5670">
            <v>380</v>
          </cell>
          <cell r="O5670">
            <v>0</v>
          </cell>
        </row>
        <row r="5671">
          <cell r="A5671" t="str">
            <v>420.40.70.590-5100.07</v>
          </cell>
          <cell r="B5671" t="str">
            <v>420</v>
          </cell>
          <cell r="C5671" t="str">
            <v>40</v>
          </cell>
          <cell r="D5671" t="str">
            <v>70</v>
          </cell>
          <cell r="E5671" t="str">
            <v>590</v>
          </cell>
          <cell r="F5671" t="str">
            <v>5100.07</v>
          </cell>
          <cell r="G5671" t="str">
            <v>Benefits Long Term Disability</v>
          </cell>
          <cell r="H5671">
            <v>130</v>
          </cell>
          <cell r="I5671">
            <v>0</v>
          </cell>
          <cell r="J5671">
            <v>130</v>
          </cell>
          <cell r="K5671">
            <v>0</v>
          </cell>
          <cell r="L5671">
            <v>0</v>
          </cell>
          <cell r="M5671">
            <v>10.92</v>
          </cell>
          <cell r="N5671">
            <v>119.08</v>
          </cell>
          <cell r="O5671">
            <v>0.08</v>
          </cell>
        </row>
        <row r="5672">
          <cell r="A5672" t="str">
            <v>420.40.70.590-5100.08</v>
          </cell>
          <cell r="B5672" t="str">
            <v>420</v>
          </cell>
          <cell r="C5672" t="str">
            <v>40</v>
          </cell>
          <cell r="D5672" t="str">
            <v>70</v>
          </cell>
          <cell r="E5672" t="str">
            <v>590</v>
          </cell>
          <cell r="F5672" t="str">
            <v>5100.08</v>
          </cell>
          <cell r="G5672" t="str">
            <v>Benefits Deferred Compensation</v>
          </cell>
          <cell r="H5672">
            <v>920</v>
          </cell>
          <cell r="I5672">
            <v>0</v>
          </cell>
          <cell r="J5672">
            <v>920</v>
          </cell>
          <cell r="K5672">
            <v>0</v>
          </cell>
          <cell r="L5672">
            <v>0</v>
          </cell>
          <cell r="M5672">
            <v>226.9</v>
          </cell>
          <cell r="N5672">
            <v>693.1</v>
          </cell>
          <cell r="O5672">
            <v>0.25</v>
          </cell>
        </row>
        <row r="5673">
          <cell r="A5673" t="str">
            <v>420.40.70.590-5100.09</v>
          </cell>
          <cell r="B5673" t="str">
            <v>420</v>
          </cell>
          <cell r="C5673" t="str">
            <v>40</v>
          </cell>
          <cell r="D5673" t="str">
            <v>70</v>
          </cell>
          <cell r="E5673" t="str">
            <v>590</v>
          </cell>
          <cell r="F5673" t="str">
            <v>5100.09</v>
          </cell>
          <cell r="G5673" t="str">
            <v>Benefits Unemployment Insurance</v>
          </cell>
          <cell r="H5673">
            <v>0</v>
          </cell>
          <cell r="I5673">
            <v>0</v>
          </cell>
          <cell r="J5673">
            <v>0</v>
          </cell>
          <cell r="K5673">
            <v>0</v>
          </cell>
          <cell r="L5673">
            <v>0</v>
          </cell>
          <cell r="M5673">
            <v>0</v>
          </cell>
          <cell r="N5673">
            <v>0</v>
          </cell>
          <cell r="O5673" t="str">
            <v>+++</v>
          </cell>
        </row>
        <row r="5674">
          <cell r="A5674" t="str">
            <v>420.40.70.590-5100.10</v>
          </cell>
          <cell r="B5674" t="str">
            <v>420</v>
          </cell>
          <cell r="C5674" t="str">
            <v>40</v>
          </cell>
          <cell r="D5674" t="str">
            <v>70</v>
          </cell>
          <cell r="E5674" t="str">
            <v>590</v>
          </cell>
          <cell r="F5674" t="str">
            <v>5100.10</v>
          </cell>
          <cell r="G5674" t="str">
            <v>Benefits Uniform Allowance</v>
          </cell>
          <cell r="H5674">
            <v>0</v>
          </cell>
          <cell r="I5674">
            <v>0</v>
          </cell>
          <cell r="J5674">
            <v>0</v>
          </cell>
          <cell r="K5674">
            <v>0</v>
          </cell>
          <cell r="L5674">
            <v>0</v>
          </cell>
          <cell r="M5674">
            <v>0</v>
          </cell>
          <cell r="N5674">
            <v>0</v>
          </cell>
          <cell r="O5674" t="str">
            <v>+++</v>
          </cell>
        </row>
        <row r="5675">
          <cell r="A5675" t="str">
            <v>420.40.70.590-5100.11</v>
          </cell>
          <cell r="B5675" t="str">
            <v>420</v>
          </cell>
          <cell r="C5675" t="str">
            <v>40</v>
          </cell>
          <cell r="D5675" t="str">
            <v>70</v>
          </cell>
          <cell r="E5675" t="str">
            <v>590</v>
          </cell>
          <cell r="F5675" t="str">
            <v>5100.11</v>
          </cell>
          <cell r="G5675" t="str">
            <v>Benefits Medicare</v>
          </cell>
          <cell r="H5675">
            <v>300</v>
          </cell>
          <cell r="I5675">
            <v>0</v>
          </cell>
          <cell r="J5675">
            <v>300</v>
          </cell>
          <cell r="K5675">
            <v>0</v>
          </cell>
          <cell r="L5675">
            <v>0</v>
          </cell>
          <cell r="M5675">
            <v>42.43</v>
          </cell>
          <cell r="N5675">
            <v>257.57</v>
          </cell>
          <cell r="O5675">
            <v>0.14000000000000001</v>
          </cell>
        </row>
        <row r="5676">
          <cell r="A5676" t="str">
            <v>420.40.70.590-5100.12</v>
          </cell>
          <cell r="B5676" t="str">
            <v>420</v>
          </cell>
          <cell r="C5676" t="str">
            <v>40</v>
          </cell>
          <cell r="D5676" t="str">
            <v>70</v>
          </cell>
          <cell r="E5676" t="str">
            <v>590</v>
          </cell>
          <cell r="F5676" t="str">
            <v>5100.12</v>
          </cell>
          <cell r="G5676" t="str">
            <v>Benefits Annual Physical Exam</v>
          </cell>
          <cell r="H5676">
            <v>0</v>
          </cell>
          <cell r="I5676">
            <v>0</v>
          </cell>
          <cell r="J5676">
            <v>0</v>
          </cell>
          <cell r="K5676">
            <v>0</v>
          </cell>
          <cell r="L5676">
            <v>0</v>
          </cell>
          <cell r="M5676">
            <v>0</v>
          </cell>
          <cell r="N5676">
            <v>0</v>
          </cell>
          <cell r="O5676" t="str">
            <v>+++</v>
          </cell>
        </row>
        <row r="5677">
          <cell r="A5677" t="str">
            <v>420.40.70.590-5100.13</v>
          </cell>
          <cell r="B5677" t="str">
            <v>420</v>
          </cell>
          <cell r="C5677" t="str">
            <v>40</v>
          </cell>
          <cell r="D5677" t="str">
            <v>70</v>
          </cell>
          <cell r="E5677" t="str">
            <v>590</v>
          </cell>
          <cell r="F5677" t="str">
            <v>5100.13</v>
          </cell>
          <cell r="G5677" t="str">
            <v>Benefits Employee Assistance Program</v>
          </cell>
          <cell r="H5677">
            <v>0</v>
          </cell>
          <cell r="I5677">
            <v>0</v>
          </cell>
          <cell r="J5677">
            <v>0</v>
          </cell>
          <cell r="K5677">
            <v>0</v>
          </cell>
          <cell r="L5677">
            <v>0</v>
          </cell>
          <cell r="M5677">
            <v>0</v>
          </cell>
          <cell r="N5677">
            <v>0</v>
          </cell>
          <cell r="O5677" t="str">
            <v>+++</v>
          </cell>
        </row>
        <row r="5678">
          <cell r="A5678" t="str">
            <v>420.40.70.590-5100.15</v>
          </cell>
          <cell r="B5678" t="str">
            <v>420</v>
          </cell>
          <cell r="C5678" t="str">
            <v>40</v>
          </cell>
          <cell r="D5678" t="str">
            <v>70</v>
          </cell>
          <cell r="E5678" t="str">
            <v>590</v>
          </cell>
          <cell r="F5678" t="str">
            <v>5100.15</v>
          </cell>
          <cell r="G5678" t="str">
            <v>Benefits Cell Phone Allowance</v>
          </cell>
          <cell r="H5678">
            <v>55</v>
          </cell>
          <cell r="I5678">
            <v>0</v>
          </cell>
          <cell r="J5678">
            <v>55</v>
          </cell>
          <cell r="K5678">
            <v>0</v>
          </cell>
          <cell r="L5678">
            <v>0</v>
          </cell>
          <cell r="M5678">
            <v>26.64</v>
          </cell>
          <cell r="N5678">
            <v>28.36</v>
          </cell>
          <cell r="O5678">
            <v>0.48</v>
          </cell>
        </row>
        <row r="5679">
          <cell r="A5679" t="str">
            <v>420.40.70.590-5100.16</v>
          </cell>
          <cell r="B5679" t="str">
            <v>420</v>
          </cell>
          <cell r="C5679" t="str">
            <v>40</v>
          </cell>
          <cell r="D5679" t="str">
            <v>70</v>
          </cell>
          <cell r="E5679" t="str">
            <v>590</v>
          </cell>
          <cell r="F5679" t="str">
            <v>5100.16</v>
          </cell>
          <cell r="G5679" t="str">
            <v>Benefits 1959 Survivor Retirement</v>
          </cell>
          <cell r="H5679">
            <v>0</v>
          </cell>
          <cell r="I5679">
            <v>0</v>
          </cell>
          <cell r="J5679">
            <v>0</v>
          </cell>
          <cell r="K5679">
            <v>0</v>
          </cell>
          <cell r="L5679">
            <v>0</v>
          </cell>
          <cell r="M5679">
            <v>0</v>
          </cell>
          <cell r="N5679">
            <v>0</v>
          </cell>
          <cell r="O5679" t="str">
            <v>+++</v>
          </cell>
        </row>
        <row r="5680">
          <cell r="A5680" t="str">
            <v>420.40.70.590-5100.17</v>
          </cell>
          <cell r="B5680" t="str">
            <v>420</v>
          </cell>
          <cell r="C5680" t="str">
            <v>40</v>
          </cell>
          <cell r="D5680" t="str">
            <v>70</v>
          </cell>
          <cell r="E5680" t="str">
            <v>590</v>
          </cell>
          <cell r="F5680" t="str">
            <v>5100.17</v>
          </cell>
          <cell r="G5680" t="str">
            <v>Benefits Other Post Employment Benefits</v>
          </cell>
          <cell r="H5680">
            <v>0</v>
          </cell>
          <cell r="I5680">
            <v>0</v>
          </cell>
          <cell r="J5680">
            <v>0</v>
          </cell>
          <cell r="K5680">
            <v>0</v>
          </cell>
          <cell r="L5680">
            <v>0</v>
          </cell>
          <cell r="M5680">
            <v>0</v>
          </cell>
          <cell r="N5680">
            <v>0</v>
          </cell>
          <cell r="O5680" t="str">
            <v>+++</v>
          </cell>
        </row>
        <row r="5681">
          <cell r="A5681" t="str">
            <v>420.40.70.590-6280.07</v>
          </cell>
          <cell r="B5681" t="str">
            <v>420</v>
          </cell>
          <cell r="C5681" t="str">
            <v>40</v>
          </cell>
          <cell r="D5681" t="str">
            <v>70</v>
          </cell>
          <cell r="E5681" t="str">
            <v>590</v>
          </cell>
          <cell r="F5681" t="str">
            <v>6280.07</v>
          </cell>
          <cell r="G5681" t="str">
            <v>Supplies-Public Works Street Lights</v>
          </cell>
          <cell r="H5681">
            <v>0</v>
          </cell>
          <cell r="I5681">
            <v>0</v>
          </cell>
          <cell r="J5681">
            <v>0</v>
          </cell>
          <cell r="K5681">
            <v>0</v>
          </cell>
          <cell r="L5681">
            <v>0</v>
          </cell>
          <cell r="M5681">
            <v>0</v>
          </cell>
          <cell r="N5681">
            <v>0</v>
          </cell>
          <cell r="O5681" t="str">
            <v>+++</v>
          </cell>
        </row>
        <row r="5682">
          <cell r="A5682" t="str">
            <v>420.40.70.590-6350.06</v>
          </cell>
          <cell r="B5682" t="str">
            <v>420</v>
          </cell>
          <cell r="C5682" t="str">
            <v>40</v>
          </cell>
          <cell r="D5682" t="str">
            <v>70</v>
          </cell>
          <cell r="E5682" t="str">
            <v>590</v>
          </cell>
          <cell r="F5682" t="str">
            <v>6350.06</v>
          </cell>
          <cell r="G5682" t="str">
            <v>Maintenance Agreements &amp; Licenses Streetlights</v>
          </cell>
          <cell r="H5682">
            <v>200000</v>
          </cell>
          <cell r="I5682">
            <v>0</v>
          </cell>
          <cell r="J5682">
            <v>200000</v>
          </cell>
          <cell r="K5682">
            <v>0</v>
          </cell>
          <cell r="L5682">
            <v>0</v>
          </cell>
          <cell r="M5682">
            <v>12713.97</v>
          </cell>
          <cell r="N5682">
            <v>187286.03</v>
          </cell>
          <cell r="O5682">
            <v>0.06</v>
          </cell>
        </row>
        <row r="5683">
          <cell r="A5683" t="str">
            <v>420.40.70.590-6410.08</v>
          </cell>
          <cell r="B5683" t="str">
            <v>420</v>
          </cell>
          <cell r="C5683" t="str">
            <v>40</v>
          </cell>
          <cell r="D5683" t="str">
            <v>70</v>
          </cell>
          <cell r="E5683" t="str">
            <v>590</v>
          </cell>
          <cell r="F5683" t="str">
            <v>6410.08</v>
          </cell>
          <cell r="G5683" t="str">
            <v>Repairs &amp; Maintenance-Transportation Streetlights</v>
          </cell>
          <cell r="H5683">
            <v>0</v>
          </cell>
          <cell r="I5683">
            <v>0</v>
          </cell>
          <cell r="J5683">
            <v>0</v>
          </cell>
          <cell r="K5683">
            <v>0</v>
          </cell>
          <cell r="L5683">
            <v>0</v>
          </cell>
          <cell r="M5683">
            <v>0</v>
          </cell>
          <cell r="N5683">
            <v>0</v>
          </cell>
          <cell r="O5683" t="str">
            <v>+++</v>
          </cell>
        </row>
        <row r="5684">
          <cell r="A5684" t="str">
            <v>420.40.70.600-5000.01</v>
          </cell>
          <cell r="B5684" t="str">
            <v>420</v>
          </cell>
          <cell r="C5684" t="str">
            <v>40</v>
          </cell>
          <cell r="D5684" t="str">
            <v>70</v>
          </cell>
          <cell r="E5684" t="str">
            <v>600</v>
          </cell>
          <cell r="F5684" t="str">
            <v>5000.01</v>
          </cell>
          <cell r="G5684" t="str">
            <v>Salaries Regular</v>
          </cell>
          <cell r="H5684">
            <v>23757</v>
          </cell>
          <cell r="I5684">
            <v>0</v>
          </cell>
          <cell r="J5684">
            <v>23757</v>
          </cell>
          <cell r="K5684">
            <v>0</v>
          </cell>
          <cell r="L5684">
            <v>0</v>
          </cell>
          <cell r="M5684">
            <v>2840.59</v>
          </cell>
          <cell r="N5684">
            <v>20916.41</v>
          </cell>
          <cell r="O5684">
            <v>0.12</v>
          </cell>
        </row>
        <row r="5685">
          <cell r="A5685" t="str">
            <v>420.40.70.600-5000.02</v>
          </cell>
          <cell r="B5685" t="str">
            <v>420</v>
          </cell>
          <cell r="C5685" t="str">
            <v>40</v>
          </cell>
          <cell r="D5685" t="str">
            <v>70</v>
          </cell>
          <cell r="E5685" t="str">
            <v>600</v>
          </cell>
          <cell r="F5685" t="str">
            <v>5000.02</v>
          </cell>
          <cell r="G5685" t="str">
            <v>Salaries Part Time</v>
          </cell>
          <cell r="H5685">
            <v>0</v>
          </cell>
          <cell r="I5685">
            <v>0</v>
          </cell>
          <cell r="J5685">
            <v>0</v>
          </cell>
          <cell r="K5685">
            <v>0</v>
          </cell>
          <cell r="L5685">
            <v>0</v>
          </cell>
          <cell r="M5685">
            <v>0</v>
          </cell>
          <cell r="N5685">
            <v>0</v>
          </cell>
          <cell r="O5685" t="str">
            <v>+++</v>
          </cell>
        </row>
        <row r="5686">
          <cell r="A5686" t="str">
            <v>420.40.70.600-5000.03</v>
          </cell>
          <cell r="B5686" t="str">
            <v>420</v>
          </cell>
          <cell r="C5686" t="str">
            <v>40</v>
          </cell>
          <cell r="D5686" t="str">
            <v>70</v>
          </cell>
          <cell r="E5686" t="str">
            <v>600</v>
          </cell>
          <cell r="F5686" t="str">
            <v>5000.03</v>
          </cell>
          <cell r="G5686" t="str">
            <v>Salaries Overtime</v>
          </cell>
          <cell r="H5686">
            <v>1236</v>
          </cell>
          <cell r="I5686">
            <v>0</v>
          </cell>
          <cell r="J5686">
            <v>1236</v>
          </cell>
          <cell r="K5686">
            <v>0</v>
          </cell>
          <cell r="L5686">
            <v>0</v>
          </cell>
          <cell r="M5686">
            <v>171.66</v>
          </cell>
          <cell r="N5686">
            <v>1064.3399999999999</v>
          </cell>
          <cell r="O5686">
            <v>0.14000000000000001</v>
          </cell>
        </row>
        <row r="5687">
          <cell r="A5687" t="str">
            <v>420.40.70.600-5000.04</v>
          </cell>
          <cell r="B5687" t="str">
            <v>420</v>
          </cell>
          <cell r="C5687" t="str">
            <v>40</v>
          </cell>
          <cell r="D5687" t="str">
            <v>70</v>
          </cell>
          <cell r="E5687" t="str">
            <v>600</v>
          </cell>
          <cell r="F5687" t="str">
            <v>5000.04</v>
          </cell>
          <cell r="G5687" t="str">
            <v>Salaries Holiday Pay</v>
          </cell>
          <cell r="H5687">
            <v>0</v>
          </cell>
          <cell r="I5687">
            <v>0</v>
          </cell>
          <cell r="J5687">
            <v>0</v>
          </cell>
          <cell r="K5687">
            <v>0</v>
          </cell>
          <cell r="L5687">
            <v>0</v>
          </cell>
          <cell r="M5687">
            <v>0</v>
          </cell>
          <cell r="N5687">
            <v>0</v>
          </cell>
          <cell r="O5687" t="str">
            <v>+++</v>
          </cell>
        </row>
        <row r="5688">
          <cell r="A5688" t="str">
            <v>420.40.70.600-5000.06</v>
          </cell>
          <cell r="B5688" t="str">
            <v>420</v>
          </cell>
          <cell r="C5688" t="str">
            <v>40</v>
          </cell>
          <cell r="D5688" t="str">
            <v>70</v>
          </cell>
          <cell r="E5688" t="str">
            <v>600</v>
          </cell>
          <cell r="F5688" t="str">
            <v>5000.06</v>
          </cell>
          <cell r="G5688" t="str">
            <v>Salaries Out of Class</v>
          </cell>
          <cell r="H5688">
            <v>0</v>
          </cell>
          <cell r="I5688">
            <v>0</v>
          </cell>
          <cell r="J5688">
            <v>0</v>
          </cell>
          <cell r="K5688">
            <v>0</v>
          </cell>
          <cell r="L5688">
            <v>0</v>
          </cell>
          <cell r="M5688">
            <v>73.03</v>
          </cell>
          <cell r="N5688">
            <v>-73.03</v>
          </cell>
          <cell r="O5688" t="str">
            <v>+++</v>
          </cell>
        </row>
        <row r="5689">
          <cell r="A5689" t="str">
            <v>420.40.70.600-5000.07</v>
          </cell>
          <cell r="B5689" t="str">
            <v>420</v>
          </cell>
          <cell r="C5689" t="str">
            <v>40</v>
          </cell>
          <cell r="D5689" t="str">
            <v>70</v>
          </cell>
          <cell r="E5689" t="str">
            <v>600</v>
          </cell>
          <cell r="F5689" t="str">
            <v>5000.07</v>
          </cell>
          <cell r="G5689" t="str">
            <v>Salaries Admin Leave Pay</v>
          </cell>
          <cell r="H5689">
            <v>175</v>
          </cell>
          <cell r="I5689">
            <v>0</v>
          </cell>
          <cell r="J5689">
            <v>175</v>
          </cell>
          <cell r="K5689">
            <v>0</v>
          </cell>
          <cell r="L5689">
            <v>0</v>
          </cell>
          <cell r="M5689">
            <v>0</v>
          </cell>
          <cell r="N5689">
            <v>175</v>
          </cell>
          <cell r="O5689">
            <v>0</v>
          </cell>
        </row>
        <row r="5690">
          <cell r="A5690" t="str">
            <v>420.40.70.600-5000.08</v>
          </cell>
          <cell r="B5690" t="str">
            <v>420</v>
          </cell>
          <cell r="C5690" t="str">
            <v>40</v>
          </cell>
          <cell r="D5690" t="str">
            <v>70</v>
          </cell>
          <cell r="E5690" t="str">
            <v>600</v>
          </cell>
          <cell r="F5690" t="str">
            <v>5000.08</v>
          </cell>
          <cell r="G5690" t="str">
            <v>Salaries Longevity Pay</v>
          </cell>
          <cell r="H5690">
            <v>258</v>
          </cell>
          <cell r="I5690">
            <v>0</v>
          </cell>
          <cell r="J5690">
            <v>258</v>
          </cell>
          <cell r="K5690">
            <v>0</v>
          </cell>
          <cell r="L5690">
            <v>0</v>
          </cell>
          <cell r="M5690">
            <v>22.84</v>
          </cell>
          <cell r="N5690">
            <v>235.16</v>
          </cell>
          <cell r="O5690">
            <v>0.09</v>
          </cell>
        </row>
        <row r="5691">
          <cell r="A5691" t="str">
            <v>420.40.70.600-5000.10</v>
          </cell>
          <cell r="B5691" t="str">
            <v>420</v>
          </cell>
          <cell r="C5691" t="str">
            <v>40</v>
          </cell>
          <cell r="D5691" t="str">
            <v>70</v>
          </cell>
          <cell r="E5691" t="str">
            <v>600</v>
          </cell>
          <cell r="F5691" t="str">
            <v>5000.10</v>
          </cell>
          <cell r="G5691" t="str">
            <v>Salaries Furloughs</v>
          </cell>
          <cell r="H5691">
            <v>0</v>
          </cell>
          <cell r="I5691">
            <v>0</v>
          </cell>
          <cell r="J5691">
            <v>0</v>
          </cell>
          <cell r="K5691">
            <v>0</v>
          </cell>
          <cell r="L5691">
            <v>0</v>
          </cell>
          <cell r="M5691">
            <v>0</v>
          </cell>
          <cell r="N5691">
            <v>0</v>
          </cell>
          <cell r="O5691" t="str">
            <v>+++</v>
          </cell>
        </row>
        <row r="5692">
          <cell r="A5692" t="str">
            <v>420.40.70.600-5000.11</v>
          </cell>
          <cell r="B5692" t="str">
            <v>420</v>
          </cell>
          <cell r="C5692" t="str">
            <v>40</v>
          </cell>
          <cell r="D5692" t="str">
            <v>70</v>
          </cell>
          <cell r="E5692" t="str">
            <v>600</v>
          </cell>
          <cell r="F5692" t="str">
            <v>5000.11</v>
          </cell>
          <cell r="G5692" t="str">
            <v>Salaries Worker's Comp</v>
          </cell>
          <cell r="H5692">
            <v>0</v>
          </cell>
          <cell r="I5692">
            <v>0</v>
          </cell>
          <cell r="J5692">
            <v>0</v>
          </cell>
          <cell r="K5692">
            <v>0</v>
          </cell>
          <cell r="L5692">
            <v>0</v>
          </cell>
          <cell r="M5692">
            <v>0</v>
          </cell>
          <cell r="N5692">
            <v>0</v>
          </cell>
          <cell r="O5692" t="str">
            <v>+++</v>
          </cell>
        </row>
        <row r="5693">
          <cell r="A5693" t="str">
            <v>420.40.70.600-5000.12</v>
          </cell>
          <cell r="B5693" t="str">
            <v>420</v>
          </cell>
          <cell r="C5693" t="str">
            <v>40</v>
          </cell>
          <cell r="D5693" t="str">
            <v>70</v>
          </cell>
          <cell r="E5693" t="str">
            <v>600</v>
          </cell>
          <cell r="F5693" t="str">
            <v>5000.12</v>
          </cell>
          <cell r="G5693" t="str">
            <v>Salaries Compensated Absences</v>
          </cell>
          <cell r="H5693">
            <v>0</v>
          </cell>
          <cell r="I5693">
            <v>0</v>
          </cell>
          <cell r="J5693">
            <v>0</v>
          </cell>
          <cell r="K5693">
            <v>0</v>
          </cell>
          <cell r="L5693">
            <v>0</v>
          </cell>
          <cell r="M5693">
            <v>0</v>
          </cell>
          <cell r="N5693">
            <v>0</v>
          </cell>
          <cell r="O5693" t="str">
            <v>+++</v>
          </cell>
        </row>
        <row r="5694">
          <cell r="A5694" t="str">
            <v>420.40.70.600-5100.00</v>
          </cell>
          <cell r="B5694" t="str">
            <v>420</v>
          </cell>
          <cell r="C5694" t="str">
            <v>40</v>
          </cell>
          <cell r="D5694" t="str">
            <v>70</v>
          </cell>
          <cell r="E5694" t="str">
            <v>600</v>
          </cell>
          <cell r="F5694" t="str">
            <v>5100.00</v>
          </cell>
          <cell r="G5694" t="str">
            <v>Benefits PERS Pool Liability</v>
          </cell>
          <cell r="H5694">
            <v>3695</v>
          </cell>
          <cell r="I5694">
            <v>0</v>
          </cell>
          <cell r="J5694">
            <v>3695</v>
          </cell>
          <cell r="K5694">
            <v>0</v>
          </cell>
          <cell r="L5694">
            <v>0</v>
          </cell>
          <cell r="M5694">
            <v>602.38</v>
          </cell>
          <cell r="N5694">
            <v>3092.62</v>
          </cell>
          <cell r="O5694">
            <v>0.16</v>
          </cell>
        </row>
        <row r="5695">
          <cell r="A5695" t="str">
            <v>420.40.70.600-5100.01</v>
          </cell>
          <cell r="B5695" t="str">
            <v>420</v>
          </cell>
          <cell r="C5695" t="str">
            <v>40</v>
          </cell>
          <cell r="D5695" t="str">
            <v>70</v>
          </cell>
          <cell r="E5695" t="str">
            <v>600</v>
          </cell>
          <cell r="F5695" t="str">
            <v>5100.01</v>
          </cell>
          <cell r="G5695" t="str">
            <v>Benefits Retirement</v>
          </cell>
          <cell r="H5695">
            <v>1695</v>
          </cell>
          <cell r="I5695">
            <v>0</v>
          </cell>
          <cell r="J5695">
            <v>1695</v>
          </cell>
          <cell r="K5695">
            <v>0</v>
          </cell>
          <cell r="L5695">
            <v>0</v>
          </cell>
          <cell r="M5695">
            <v>314.11</v>
          </cell>
          <cell r="N5695">
            <v>1380.89</v>
          </cell>
          <cell r="O5695">
            <v>0.19</v>
          </cell>
        </row>
        <row r="5696">
          <cell r="A5696" t="str">
            <v>420.40.70.600-5100.02</v>
          </cell>
          <cell r="B5696" t="str">
            <v>420</v>
          </cell>
          <cell r="C5696" t="str">
            <v>40</v>
          </cell>
          <cell r="D5696" t="str">
            <v>70</v>
          </cell>
          <cell r="E5696" t="str">
            <v>600</v>
          </cell>
          <cell r="F5696" t="str">
            <v>5100.02</v>
          </cell>
          <cell r="G5696" t="str">
            <v>Benefits Health Insurance</v>
          </cell>
          <cell r="H5696">
            <v>2490</v>
          </cell>
          <cell r="I5696">
            <v>0</v>
          </cell>
          <cell r="J5696">
            <v>2490</v>
          </cell>
          <cell r="K5696">
            <v>0</v>
          </cell>
          <cell r="L5696">
            <v>0</v>
          </cell>
          <cell r="M5696">
            <v>137.5</v>
          </cell>
          <cell r="N5696">
            <v>2352.5</v>
          </cell>
          <cell r="O5696">
            <v>0.06</v>
          </cell>
        </row>
        <row r="5697">
          <cell r="A5697" t="str">
            <v>420.40.70.600-5100.03</v>
          </cell>
          <cell r="B5697" t="str">
            <v>420</v>
          </cell>
          <cell r="C5697" t="str">
            <v>40</v>
          </cell>
          <cell r="D5697" t="str">
            <v>70</v>
          </cell>
          <cell r="E5697" t="str">
            <v>600</v>
          </cell>
          <cell r="F5697" t="str">
            <v>5100.03</v>
          </cell>
          <cell r="G5697" t="str">
            <v>Benefits Dental Insurance</v>
          </cell>
          <cell r="H5697">
            <v>340</v>
          </cell>
          <cell r="I5697">
            <v>0</v>
          </cell>
          <cell r="J5697">
            <v>340</v>
          </cell>
          <cell r="K5697">
            <v>0</v>
          </cell>
          <cell r="L5697">
            <v>0</v>
          </cell>
          <cell r="M5697">
            <v>49.95</v>
          </cell>
          <cell r="N5697">
            <v>290.05</v>
          </cell>
          <cell r="O5697">
            <v>0.15</v>
          </cell>
        </row>
        <row r="5698">
          <cell r="A5698" t="str">
            <v>420.40.70.600-5100.04</v>
          </cell>
          <cell r="B5698" t="str">
            <v>420</v>
          </cell>
          <cell r="C5698" t="str">
            <v>40</v>
          </cell>
          <cell r="D5698" t="str">
            <v>70</v>
          </cell>
          <cell r="E5698" t="str">
            <v>600</v>
          </cell>
          <cell r="F5698" t="str">
            <v>5100.04</v>
          </cell>
          <cell r="G5698" t="str">
            <v>Benefits Vision Insurance</v>
          </cell>
          <cell r="H5698">
            <v>55</v>
          </cell>
          <cell r="I5698">
            <v>0</v>
          </cell>
          <cell r="J5698">
            <v>55</v>
          </cell>
          <cell r="K5698">
            <v>0</v>
          </cell>
          <cell r="L5698">
            <v>0</v>
          </cell>
          <cell r="M5698">
            <v>8.1300000000000008</v>
          </cell>
          <cell r="N5698">
            <v>46.87</v>
          </cell>
          <cell r="O5698">
            <v>0.15</v>
          </cell>
        </row>
        <row r="5699">
          <cell r="A5699" t="str">
            <v>420.40.70.600-5100.05</v>
          </cell>
          <cell r="B5699" t="str">
            <v>420</v>
          </cell>
          <cell r="C5699" t="str">
            <v>40</v>
          </cell>
          <cell r="D5699" t="str">
            <v>70</v>
          </cell>
          <cell r="E5699" t="str">
            <v>600</v>
          </cell>
          <cell r="F5699" t="str">
            <v>5100.05</v>
          </cell>
          <cell r="G5699" t="str">
            <v>Benefits Life Insurance</v>
          </cell>
          <cell r="H5699">
            <v>60</v>
          </cell>
          <cell r="I5699">
            <v>0</v>
          </cell>
          <cell r="J5699">
            <v>60</v>
          </cell>
          <cell r="K5699">
            <v>0</v>
          </cell>
          <cell r="L5699">
            <v>0</v>
          </cell>
          <cell r="M5699">
            <v>4.92</v>
          </cell>
          <cell r="N5699">
            <v>55.08</v>
          </cell>
          <cell r="O5699">
            <v>0.08</v>
          </cell>
        </row>
        <row r="5700">
          <cell r="A5700" t="str">
            <v>420.40.70.600-5100.06</v>
          </cell>
          <cell r="B5700" t="str">
            <v>420</v>
          </cell>
          <cell r="C5700" t="str">
            <v>40</v>
          </cell>
          <cell r="D5700" t="str">
            <v>70</v>
          </cell>
          <cell r="E5700" t="str">
            <v>600</v>
          </cell>
          <cell r="F5700" t="str">
            <v>5100.06</v>
          </cell>
          <cell r="G5700" t="str">
            <v>Benefits Worker's Comp</v>
          </cell>
          <cell r="H5700">
            <v>760</v>
          </cell>
          <cell r="I5700">
            <v>0</v>
          </cell>
          <cell r="J5700">
            <v>760</v>
          </cell>
          <cell r="K5700">
            <v>0</v>
          </cell>
          <cell r="L5700">
            <v>0</v>
          </cell>
          <cell r="M5700">
            <v>0</v>
          </cell>
          <cell r="N5700">
            <v>760</v>
          </cell>
          <cell r="O5700">
            <v>0</v>
          </cell>
        </row>
        <row r="5701">
          <cell r="A5701" t="str">
            <v>420.40.70.600-5100.07</v>
          </cell>
          <cell r="B5701" t="str">
            <v>420</v>
          </cell>
          <cell r="C5701" t="str">
            <v>40</v>
          </cell>
          <cell r="D5701" t="str">
            <v>70</v>
          </cell>
          <cell r="E5701" t="str">
            <v>600</v>
          </cell>
          <cell r="F5701" t="str">
            <v>5100.07</v>
          </cell>
          <cell r="G5701" t="str">
            <v>Benefits Long Term Disability</v>
          </cell>
          <cell r="H5701">
            <v>57</v>
          </cell>
          <cell r="I5701">
            <v>0</v>
          </cell>
          <cell r="J5701">
            <v>57</v>
          </cell>
          <cell r="K5701">
            <v>0</v>
          </cell>
          <cell r="L5701">
            <v>0</v>
          </cell>
          <cell r="M5701">
            <v>12.66</v>
          </cell>
          <cell r="N5701">
            <v>44.34</v>
          </cell>
          <cell r="O5701">
            <v>0.22</v>
          </cell>
        </row>
        <row r="5702">
          <cell r="A5702" t="str">
            <v>420.40.70.600-5100.08</v>
          </cell>
          <cell r="B5702" t="str">
            <v>420</v>
          </cell>
          <cell r="C5702" t="str">
            <v>40</v>
          </cell>
          <cell r="D5702" t="str">
            <v>70</v>
          </cell>
          <cell r="E5702" t="str">
            <v>600</v>
          </cell>
          <cell r="F5702" t="str">
            <v>5100.08</v>
          </cell>
          <cell r="G5702" t="str">
            <v>Benefits Deferred Compensation</v>
          </cell>
          <cell r="H5702">
            <v>997</v>
          </cell>
          <cell r="I5702">
            <v>0</v>
          </cell>
          <cell r="J5702">
            <v>997</v>
          </cell>
          <cell r="K5702">
            <v>0</v>
          </cell>
          <cell r="L5702">
            <v>0</v>
          </cell>
          <cell r="M5702">
            <v>244.53</v>
          </cell>
          <cell r="N5702">
            <v>752.47</v>
          </cell>
          <cell r="O5702">
            <v>0.25</v>
          </cell>
        </row>
        <row r="5703">
          <cell r="A5703" t="str">
            <v>420.40.70.600-5100.09</v>
          </cell>
          <cell r="B5703" t="str">
            <v>420</v>
          </cell>
          <cell r="C5703" t="str">
            <v>40</v>
          </cell>
          <cell r="D5703" t="str">
            <v>70</v>
          </cell>
          <cell r="E5703" t="str">
            <v>600</v>
          </cell>
          <cell r="F5703" t="str">
            <v>5100.09</v>
          </cell>
          <cell r="G5703" t="str">
            <v>Benefits Unemployment Insurance</v>
          </cell>
          <cell r="H5703">
            <v>0</v>
          </cell>
          <cell r="I5703">
            <v>0</v>
          </cell>
          <cell r="J5703">
            <v>0</v>
          </cell>
          <cell r="K5703">
            <v>0</v>
          </cell>
          <cell r="L5703">
            <v>0</v>
          </cell>
          <cell r="M5703">
            <v>0</v>
          </cell>
          <cell r="N5703">
            <v>0</v>
          </cell>
          <cell r="O5703" t="str">
            <v>+++</v>
          </cell>
        </row>
        <row r="5704">
          <cell r="A5704" t="str">
            <v>420.40.70.600-5100.10</v>
          </cell>
          <cell r="B5704" t="str">
            <v>420</v>
          </cell>
          <cell r="C5704" t="str">
            <v>40</v>
          </cell>
          <cell r="D5704" t="str">
            <v>70</v>
          </cell>
          <cell r="E5704" t="str">
            <v>600</v>
          </cell>
          <cell r="F5704" t="str">
            <v>5100.10</v>
          </cell>
          <cell r="G5704" t="str">
            <v>Benefits Uniform Allowance</v>
          </cell>
          <cell r="H5704">
            <v>66</v>
          </cell>
          <cell r="I5704">
            <v>0</v>
          </cell>
          <cell r="J5704">
            <v>66</v>
          </cell>
          <cell r="K5704">
            <v>0</v>
          </cell>
          <cell r="L5704">
            <v>0</v>
          </cell>
          <cell r="M5704">
            <v>0</v>
          </cell>
          <cell r="N5704">
            <v>66</v>
          </cell>
          <cell r="O5704">
            <v>0</v>
          </cell>
        </row>
        <row r="5705">
          <cell r="A5705" t="str">
            <v>420.40.70.600-5100.11</v>
          </cell>
          <cell r="B5705" t="str">
            <v>420</v>
          </cell>
          <cell r="C5705" t="str">
            <v>40</v>
          </cell>
          <cell r="D5705" t="str">
            <v>70</v>
          </cell>
          <cell r="E5705" t="str">
            <v>600</v>
          </cell>
          <cell r="F5705" t="str">
            <v>5100.11</v>
          </cell>
          <cell r="G5705" t="str">
            <v>Benefits Medicare</v>
          </cell>
          <cell r="H5705">
            <v>380</v>
          </cell>
          <cell r="I5705">
            <v>0</v>
          </cell>
          <cell r="J5705">
            <v>380</v>
          </cell>
          <cell r="K5705">
            <v>0</v>
          </cell>
          <cell r="L5705">
            <v>0</v>
          </cell>
          <cell r="M5705">
            <v>49.1</v>
          </cell>
          <cell r="N5705">
            <v>330.9</v>
          </cell>
          <cell r="O5705">
            <v>0.13</v>
          </cell>
        </row>
        <row r="5706">
          <cell r="A5706" t="str">
            <v>420.40.70.600-5100.12</v>
          </cell>
          <cell r="B5706" t="str">
            <v>420</v>
          </cell>
          <cell r="C5706" t="str">
            <v>40</v>
          </cell>
          <cell r="D5706" t="str">
            <v>70</v>
          </cell>
          <cell r="E5706" t="str">
            <v>600</v>
          </cell>
          <cell r="F5706" t="str">
            <v>5100.12</v>
          </cell>
          <cell r="G5706" t="str">
            <v>Benefits Annual Physical Exam</v>
          </cell>
          <cell r="H5706">
            <v>0</v>
          </cell>
          <cell r="I5706">
            <v>0</v>
          </cell>
          <cell r="J5706">
            <v>0</v>
          </cell>
          <cell r="K5706">
            <v>0</v>
          </cell>
          <cell r="L5706">
            <v>0</v>
          </cell>
          <cell r="M5706">
            <v>0</v>
          </cell>
          <cell r="N5706">
            <v>0</v>
          </cell>
          <cell r="O5706" t="str">
            <v>+++</v>
          </cell>
        </row>
        <row r="5707">
          <cell r="A5707" t="str">
            <v>420.40.70.600-5100.13</v>
          </cell>
          <cell r="B5707" t="str">
            <v>420</v>
          </cell>
          <cell r="C5707" t="str">
            <v>40</v>
          </cell>
          <cell r="D5707" t="str">
            <v>70</v>
          </cell>
          <cell r="E5707" t="str">
            <v>600</v>
          </cell>
          <cell r="F5707" t="str">
            <v>5100.13</v>
          </cell>
          <cell r="G5707" t="str">
            <v>Benefits Employee Assistance Program</v>
          </cell>
          <cell r="H5707">
            <v>0</v>
          </cell>
          <cell r="I5707">
            <v>0</v>
          </cell>
          <cell r="J5707">
            <v>0</v>
          </cell>
          <cell r="K5707">
            <v>0</v>
          </cell>
          <cell r="L5707">
            <v>0</v>
          </cell>
          <cell r="M5707">
            <v>0</v>
          </cell>
          <cell r="N5707">
            <v>0</v>
          </cell>
          <cell r="O5707" t="str">
            <v>+++</v>
          </cell>
        </row>
        <row r="5708">
          <cell r="A5708" t="str">
            <v>420.40.70.600-5100.15</v>
          </cell>
          <cell r="B5708" t="str">
            <v>420</v>
          </cell>
          <cell r="C5708" t="str">
            <v>40</v>
          </cell>
          <cell r="D5708" t="str">
            <v>70</v>
          </cell>
          <cell r="E5708" t="str">
            <v>600</v>
          </cell>
          <cell r="F5708" t="str">
            <v>5100.15</v>
          </cell>
          <cell r="G5708" t="str">
            <v>Benefits Cell Phone Allowance</v>
          </cell>
          <cell r="H5708">
            <v>55</v>
          </cell>
          <cell r="I5708">
            <v>0</v>
          </cell>
          <cell r="J5708">
            <v>55</v>
          </cell>
          <cell r="K5708">
            <v>0</v>
          </cell>
          <cell r="L5708">
            <v>0</v>
          </cell>
          <cell r="M5708">
            <v>26.7</v>
          </cell>
          <cell r="N5708">
            <v>28.3</v>
          </cell>
          <cell r="O5708">
            <v>0.49</v>
          </cell>
        </row>
        <row r="5709">
          <cell r="A5709" t="str">
            <v>420.40.70.600-5100.16</v>
          </cell>
          <cell r="B5709" t="str">
            <v>420</v>
          </cell>
          <cell r="C5709" t="str">
            <v>40</v>
          </cell>
          <cell r="D5709" t="str">
            <v>70</v>
          </cell>
          <cell r="E5709" t="str">
            <v>600</v>
          </cell>
          <cell r="F5709" t="str">
            <v>5100.16</v>
          </cell>
          <cell r="G5709" t="str">
            <v>Benefits 1959 Survivor Retirement</v>
          </cell>
          <cell r="H5709">
            <v>0</v>
          </cell>
          <cell r="I5709">
            <v>0</v>
          </cell>
          <cell r="J5709">
            <v>0</v>
          </cell>
          <cell r="K5709">
            <v>0</v>
          </cell>
          <cell r="L5709">
            <v>0</v>
          </cell>
          <cell r="M5709">
            <v>0</v>
          </cell>
          <cell r="N5709">
            <v>0</v>
          </cell>
          <cell r="O5709" t="str">
            <v>+++</v>
          </cell>
        </row>
        <row r="5710">
          <cell r="A5710" t="str">
            <v>420.40.70.600-5100.17</v>
          </cell>
          <cell r="B5710" t="str">
            <v>420</v>
          </cell>
          <cell r="C5710" t="str">
            <v>40</v>
          </cell>
          <cell r="D5710" t="str">
            <v>70</v>
          </cell>
          <cell r="E5710" t="str">
            <v>600</v>
          </cell>
          <cell r="F5710" t="str">
            <v>5100.17</v>
          </cell>
          <cell r="G5710" t="str">
            <v>Benefits Other Post Employment Benefits</v>
          </cell>
          <cell r="H5710">
            <v>0</v>
          </cell>
          <cell r="I5710">
            <v>0</v>
          </cell>
          <cell r="J5710">
            <v>0</v>
          </cell>
          <cell r="K5710">
            <v>0</v>
          </cell>
          <cell r="L5710">
            <v>0</v>
          </cell>
          <cell r="M5710">
            <v>0</v>
          </cell>
          <cell r="N5710">
            <v>0</v>
          </cell>
          <cell r="O5710" t="str">
            <v>+++</v>
          </cell>
        </row>
        <row r="5711">
          <cell r="A5711" t="str">
            <v>420.40.70.600-6350.05</v>
          </cell>
          <cell r="B5711" t="str">
            <v>420</v>
          </cell>
          <cell r="C5711" t="str">
            <v>40</v>
          </cell>
          <cell r="D5711" t="str">
            <v>70</v>
          </cell>
          <cell r="E5711" t="str">
            <v>600</v>
          </cell>
          <cell r="F5711" t="str">
            <v>6350.05</v>
          </cell>
          <cell r="G5711" t="str">
            <v>Maintenance Agreements &amp; Licenses Traffic Control</v>
          </cell>
          <cell r="H5711">
            <v>250000</v>
          </cell>
          <cell r="I5711">
            <v>0</v>
          </cell>
          <cell r="J5711">
            <v>250000</v>
          </cell>
          <cell r="K5711">
            <v>0</v>
          </cell>
          <cell r="L5711">
            <v>0</v>
          </cell>
          <cell r="M5711">
            <v>21774.5</v>
          </cell>
          <cell r="N5711">
            <v>228225.5</v>
          </cell>
          <cell r="O5711">
            <v>0.09</v>
          </cell>
        </row>
        <row r="5712">
          <cell r="A5712" t="str">
            <v>420.40.70.600-6375.19</v>
          </cell>
          <cell r="B5712" t="str">
            <v>420</v>
          </cell>
          <cell r="C5712" t="str">
            <v>40</v>
          </cell>
          <cell r="D5712" t="str">
            <v>70</v>
          </cell>
          <cell r="E5712" t="str">
            <v>600</v>
          </cell>
          <cell r="F5712" t="str">
            <v>6375.19</v>
          </cell>
          <cell r="G5712" t="str">
            <v>Operating Fees Highway Signal</v>
          </cell>
          <cell r="H5712">
            <v>15000</v>
          </cell>
          <cell r="I5712">
            <v>0</v>
          </cell>
          <cell r="J5712">
            <v>15000</v>
          </cell>
          <cell r="K5712">
            <v>0</v>
          </cell>
          <cell r="L5712">
            <v>0</v>
          </cell>
          <cell r="M5712">
            <v>4689.6400000000003</v>
          </cell>
          <cell r="N5712">
            <v>10310.36</v>
          </cell>
          <cell r="O5712">
            <v>0.31</v>
          </cell>
        </row>
        <row r="5713">
          <cell r="A5713" t="str">
            <v>420.45.40.000-5000.01</v>
          </cell>
          <cell r="B5713" t="str">
            <v>420</v>
          </cell>
          <cell r="C5713" t="str">
            <v>45</v>
          </cell>
          <cell r="D5713" t="str">
            <v>40</v>
          </cell>
          <cell r="E5713" t="str">
            <v>000</v>
          </cell>
          <cell r="F5713" t="str">
            <v>5000.01</v>
          </cell>
          <cell r="G5713" t="str">
            <v>Salaries Regular</v>
          </cell>
          <cell r="H5713">
            <v>0</v>
          </cell>
          <cell r="I5713">
            <v>0</v>
          </cell>
          <cell r="J5713">
            <v>0</v>
          </cell>
          <cell r="K5713">
            <v>0</v>
          </cell>
          <cell r="L5713">
            <v>0</v>
          </cell>
          <cell r="M5713">
            <v>0</v>
          </cell>
          <cell r="N5713">
            <v>0</v>
          </cell>
          <cell r="O5713" t="str">
            <v>+++</v>
          </cell>
        </row>
        <row r="5714">
          <cell r="A5714" t="str">
            <v>420.45.40.000-5000.02</v>
          </cell>
          <cell r="B5714" t="str">
            <v>420</v>
          </cell>
          <cell r="C5714" t="str">
            <v>45</v>
          </cell>
          <cell r="D5714" t="str">
            <v>40</v>
          </cell>
          <cell r="E5714" t="str">
            <v>000</v>
          </cell>
          <cell r="F5714" t="str">
            <v>5000.02</v>
          </cell>
          <cell r="G5714" t="str">
            <v>Salaries Part Time</v>
          </cell>
          <cell r="H5714">
            <v>0</v>
          </cell>
          <cell r="I5714">
            <v>0</v>
          </cell>
          <cell r="J5714">
            <v>0</v>
          </cell>
          <cell r="K5714">
            <v>0</v>
          </cell>
          <cell r="L5714">
            <v>0</v>
          </cell>
          <cell r="M5714">
            <v>0</v>
          </cell>
          <cell r="N5714">
            <v>0</v>
          </cell>
          <cell r="O5714" t="str">
            <v>+++</v>
          </cell>
        </row>
        <row r="5715">
          <cell r="A5715" t="str">
            <v>420.45.40.000-5000.03</v>
          </cell>
          <cell r="B5715" t="str">
            <v>420</v>
          </cell>
          <cell r="C5715" t="str">
            <v>45</v>
          </cell>
          <cell r="D5715" t="str">
            <v>40</v>
          </cell>
          <cell r="E5715" t="str">
            <v>000</v>
          </cell>
          <cell r="F5715" t="str">
            <v>5000.03</v>
          </cell>
          <cell r="G5715" t="str">
            <v>Salaries Overtime</v>
          </cell>
          <cell r="H5715">
            <v>0</v>
          </cell>
          <cell r="I5715">
            <v>0</v>
          </cell>
          <cell r="J5715">
            <v>0</v>
          </cell>
          <cell r="K5715">
            <v>0</v>
          </cell>
          <cell r="L5715">
            <v>0</v>
          </cell>
          <cell r="M5715">
            <v>0</v>
          </cell>
          <cell r="N5715">
            <v>0</v>
          </cell>
          <cell r="O5715" t="str">
            <v>+++</v>
          </cell>
        </row>
        <row r="5716">
          <cell r="A5716" t="str">
            <v>420.45.40.000-5000.04</v>
          </cell>
          <cell r="B5716" t="str">
            <v>420</v>
          </cell>
          <cell r="C5716" t="str">
            <v>45</v>
          </cell>
          <cell r="D5716" t="str">
            <v>40</v>
          </cell>
          <cell r="E5716" t="str">
            <v>000</v>
          </cell>
          <cell r="F5716" t="str">
            <v>5000.04</v>
          </cell>
          <cell r="G5716" t="str">
            <v>Salaries Holiday Pay</v>
          </cell>
          <cell r="H5716">
            <v>0</v>
          </cell>
          <cell r="I5716">
            <v>0</v>
          </cell>
          <cell r="J5716">
            <v>0</v>
          </cell>
          <cell r="K5716">
            <v>0</v>
          </cell>
          <cell r="L5716">
            <v>0</v>
          </cell>
          <cell r="M5716">
            <v>0</v>
          </cell>
          <cell r="N5716">
            <v>0</v>
          </cell>
          <cell r="O5716" t="str">
            <v>+++</v>
          </cell>
        </row>
        <row r="5717">
          <cell r="A5717" t="str">
            <v>420.45.40.000-5000.06</v>
          </cell>
          <cell r="B5717" t="str">
            <v>420</v>
          </cell>
          <cell r="C5717" t="str">
            <v>45</v>
          </cell>
          <cell r="D5717" t="str">
            <v>40</v>
          </cell>
          <cell r="E5717" t="str">
            <v>000</v>
          </cell>
          <cell r="F5717" t="str">
            <v>5000.06</v>
          </cell>
          <cell r="G5717" t="str">
            <v>Salaries Out of Class</v>
          </cell>
          <cell r="H5717">
            <v>0</v>
          </cell>
          <cell r="I5717">
            <v>0</v>
          </cell>
          <cell r="J5717">
            <v>0</v>
          </cell>
          <cell r="K5717">
            <v>0</v>
          </cell>
          <cell r="L5717">
            <v>0</v>
          </cell>
          <cell r="M5717">
            <v>0</v>
          </cell>
          <cell r="N5717">
            <v>0</v>
          </cell>
          <cell r="O5717" t="str">
            <v>+++</v>
          </cell>
        </row>
        <row r="5718">
          <cell r="A5718" t="str">
            <v>420.45.40.000-5000.07</v>
          </cell>
          <cell r="B5718" t="str">
            <v>420</v>
          </cell>
          <cell r="C5718" t="str">
            <v>45</v>
          </cell>
          <cell r="D5718" t="str">
            <v>40</v>
          </cell>
          <cell r="E5718" t="str">
            <v>000</v>
          </cell>
          <cell r="F5718" t="str">
            <v>5000.07</v>
          </cell>
          <cell r="G5718" t="str">
            <v>Salaries Admin Leave Pay</v>
          </cell>
          <cell r="H5718">
            <v>0</v>
          </cell>
          <cell r="I5718">
            <v>0</v>
          </cell>
          <cell r="J5718">
            <v>0</v>
          </cell>
          <cell r="K5718">
            <v>0</v>
          </cell>
          <cell r="L5718">
            <v>0</v>
          </cell>
          <cell r="M5718">
            <v>0</v>
          </cell>
          <cell r="N5718">
            <v>0</v>
          </cell>
          <cell r="O5718" t="str">
            <v>+++</v>
          </cell>
        </row>
        <row r="5719">
          <cell r="A5719" t="str">
            <v>420.45.40.000-5000.08</v>
          </cell>
          <cell r="B5719" t="str">
            <v>420</v>
          </cell>
          <cell r="C5719" t="str">
            <v>45</v>
          </cell>
          <cell r="D5719" t="str">
            <v>40</v>
          </cell>
          <cell r="E5719" t="str">
            <v>000</v>
          </cell>
          <cell r="F5719" t="str">
            <v>5000.08</v>
          </cell>
          <cell r="G5719" t="str">
            <v>Salaries Longevity Pay</v>
          </cell>
          <cell r="H5719">
            <v>0</v>
          </cell>
          <cell r="I5719">
            <v>0</v>
          </cell>
          <cell r="J5719">
            <v>0</v>
          </cell>
          <cell r="K5719">
            <v>0</v>
          </cell>
          <cell r="L5719">
            <v>0</v>
          </cell>
          <cell r="M5719">
            <v>0</v>
          </cell>
          <cell r="N5719">
            <v>0</v>
          </cell>
          <cell r="O5719" t="str">
            <v>+++</v>
          </cell>
        </row>
        <row r="5720">
          <cell r="A5720" t="str">
            <v>420.45.40.000-5000.11</v>
          </cell>
          <cell r="B5720" t="str">
            <v>420</v>
          </cell>
          <cell r="C5720" t="str">
            <v>45</v>
          </cell>
          <cell r="D5720" t="str">
            <v>40</v>
          </cell>
          <cell r="E5720" t="str">
            <v>000</v>
          </cell>
          <cell r="F5720" t="str">
            <v>5000.11</v>
          </cell>
          <cell r="G5720" t="str">
            <v>Salaries Worker's Comp</v>
          </cell>
          <cell r="H5720">
            <v>0</v>
          </cell>
          <cell r="I5720">
            <v>0</v>
          </cell>
          <cell r="J5720">
            <v>0</v>
          </cell>
          <cell r="K5720">
            <v>0</v>
          </cell>
          <cell r="L5720">
            <v>0</v>
          </cell>
          <cell r="M5720">
            <v>0</v>
          </cell>
          <cell r="N5720">
            <v>0</v>
          </cell>
          <cell r="O5720" t="str">
            <v>+++</v>
          </cell>
        </row>
        <row r="5721">
          <cell r="A5721" t="str">
            <v>420.45.40.000-5000.99</v>
          </cell>
          <cell r="B5721" t="str">
            <v>420</v>
          </cell>
          <cell r="C5721" t="str">
            <v>45</v>
          </cell>
          <cell r="D5721" t="str">
            <v>40</v>
          </cell>
          <cell r="E5721" t="str">
            <v>000</v>
          </cell>
          <cell r="F5721" t="str">
            <v>5000.99</v>
          </cell>
          <cell r="G5721" t="str">
            <v>Salaries New Personnel Requests</v>
          </cell>
          <cell r="H5721">
            <v>0</v>
          </cell>
          <cell r="I5721">
            <v>0</v>
          </cell>
          <cell r="J5721">
            <v>0</v>
          </cell>
          <cell r="K5721">
            <v>0</v>
          </cell>
          <cell r="L5721">
            <v>0</v>
          </cell>
          <cell r="M5721">
            <v>0</v>
          </cell>
          <cell r="N5721">
            <v>0</v>
          </cell>
          <cell r="O5721" t="str">
            <v>+++</v>
          </cell>
        </row>
        <row r="5722">
          <cell r="A5722" t="str">
            <v>420.45.40.000-5100.00</v>
          </cell>
          <cell r="B5722" t="str">
            <v>420</v>
          </cell>
          <cell r="C5722" t="str">
            <v>45</v>
          </cell>
          <cell r="D5722" t="str">
            <v>40</v>
          </cell>
          <cell r="E5722" t="str">
            <v>000</v>
          </cell>
          <cell r="F5722" t="str">
            <v>5100.00</v>
          </cell>
          <cell r="G5722" t="str">
            <v>Benefits PERS Pool Liability</v>
          </cell>
          <cell r="H5722">
            <v>0</v>
          </cell>
          <cell r="I5722">
            <v>0</v>
          </cell>
          <cell r="J5722">
            <v>0</v>
          </cell>
          <cell r="K5722">
            <v>0</v>
          </cell>
          <cell r="L5722">
            <v>0</v>
          </cell>
          <cell r="M5722">
            <v>0</v>
          </cell>
          <cell r="N5722">
            <v>0</v>
          </cell>
          <cell r="O5722" t="str">
            <v>+++</v>
          </cell>
        </row>
        <row r="5723">
          <cell r="A5723" t="str">
            <v>420.45.40.000-5100.01</v>
          </cell>
          <cell r="B5723" t="str">
            <v>420</v>
          </cell>
          <cell r="C5723" t="str">
            <v>45</v>
          </cell>
          <cell r="D5723" t="str">
            <v>40</v>
          </cell>
          <cell r="E5723" t="str">
            <v>000</v>
          </cell>
          <cell r="F5723" t="str">
            <v>5100.01</v>
          </cell>
          <cell r="G5723" t="str">
            <v>Benefits Retirement</v>
          </cell>
          <cell r="H5723">
            <v>0</v>
          </cell>
          <cell r="I5723">
            <v>0</v>
          </cell>
          <cell r="J5723">
            <v>0</v>
          </cell>
          <cell r="K5723">
            <v>0</v>
          </cell>
          <cell r="L5723">
            <v>0</v>
          </cell>
          <cell r="M5723">
            <v>0</v>
          </cell>
          <cell r="N5723">
            <v>0</v>
          </cell>
          <cell r="O5723" t="str">
            <v>+++</v>
          </cell>
        </row>
        <row r="5724">
          <cell r="A5724" t="str">
            <v>420.45.40.000-5100.02</v>
          </cell>
          <cell r="B5724" t="str">
            <v>420</v>
          </cell>
          <cell r="C5724" t="str">
            <v>45</v>
          </cell>
          <cell r="D5724" t="str">
            <v>40</v>
          </cell>
          <cell r="E5724" t="str">
            <v>000</v>
          </cell>
          <cell r="F5724" t="str">
            <v>5100.02</v>
          </cell>
          <cell r="G5724" t="str">
            <v>Benefits Health Insurance</v>
          </cell>
          <cell r="H5724">
            <v>0</v>
          </cell>
          <cell r="I5724">
            <v>0</v>
          </cell>
          <cell r="J5724">
            <v>0</v>
          </cell>
          <cell r="K5724">
            <v>0</v>
          </cell>
          <cell r="L5724">
            <v>0</v>
          </cell>
          <cell r="M5724">
            <v>0</v>
          </cell>
          <cell r="N5724">
            <v>0</v>
          </cell>
          <cell r="O5724" t="str">
            <v>+++</v>
          </cell>
        </row>
        <row r="5725">
          <cell r="A5725" t="str">
            <v>420.45.40.000-5100.03</v>
          </cell>
          <cell r="B5725" t="str">
            <v>420</v>
          </cell>
          <cell r="C5725" t="str">
            <v>45</v>
          </cell>
          <cell r="D5725" t="str">
            <v>40</v>
          </cell>
          <cell r="E5725" t="str">
            <v>000</v>
          </cell>
          <cell r="F5725" t="str">
            <v>5100.03</v>
          </cell>
          <cell r="G5725" t="str">
            <v>Benefits Dental Insurance</v>
          </cell>
          <cell r="H5725">
            <v>0</v>
          </cell>
          <cell r="I5725">
            <v>0</v>
          </cell>
          <cell r="J5725">
            <v>0</v>
          </cell>
          <cell r="K5725">
            <v>0</v>
          </cell>
          <cell r="L5725">
            <v>0</v>
          </cell>
          <cell r="M5725">
            <v>0</v>
          </cell>
          <cell r="N5725">
            <v>0</v>
          </cell>
          <cell r="O5725" t="str">
            <v>+++</v>
          </cell>
        </row>
        <row r="5726">
          <cell r="A5726" t="str">
            <v>420.45.40.000-5100.04</v>
          </cell>
          <cell r="B5726" t="str">
            <v>420</v>
          </cell>
          <cell r="C5726" t="str">
            <v>45</v>
          </cell>
          <cell r="D5726" t="str">
            <v>40</v>
          </cell>
          <cell r="E5726" t="str">
            <v>000</v>
          </cell>
          <cell r="F5726" t="str">
            <v>5100.04</v>
          </cell>
          <cell r="G5726" t="str">
            <v>Benefits Vision Insurance</v>
          </cell>
          <cell r="H5726">
            <v>0</v>
          </cell>
          <cell r="I5726">
            <v>0</v>
          </cell>
          <cell r="J5726">
            <v>0</v>
          </cell>
          <cell r="K5726">
            <v>0</v>
          </cell>
          <cell r="L5726">
            <v>0</v>
          </cell>
          <cell r="M5726">
            <v>0</v>
          </cell>
          <cell r="N5726">
            <v>0</v>
          </cell>
          <cell r="O5726" t="str">
            <v>+++</v>
          </cell>
        </row>
        <row r="5727">
          <cell r="A5727" t="str">
            <v>420.45.40.000-5100.05</v>
          </cell>
          <cell r="B5727" t="str">
            <v>420</v>
          </cell>
          <cell r="C5727" t="str">
            <v>45</v>
          </cell>
          <cell r="D5727" t="str">
            <v>40</v>
          </cell>
          <cell r="E5727" t="str">
            <v>000</v>
          </cell>
          <cell r="F5727" t="str">
            <v>5100.05</v>
          </cell>
          <cell r="G5727" t="str">
            <v>Benefits Life Insurance</v>
          </cell>
          <cell r="H5727">
            <v>0</v>
          </cell>
          <cell r="I5727">
            <v>0</v>
          </cell>
          <cell r="J5727">
            <v>0</v>
          </cell>
          <cell r="K5727">
            <v>0</v>
          </cell>
          <cell r="L5727">
            <v>0</v>
          </cell>
          <cell r="M5727">
            <v>0</v>
          </cell>
          <cell r="N5727">
            <v>0</v>
          </cell>
          <cell r="O5727" t="str">
            <v>+++</v>
          </cell>
        </row>
        <row r="5728">
          <cell r="A5728" t="str">
            <v>420.45.40.000-5100.06</v>
          </cell>
          <cell r="B5728" t="str">
            <v>420</v>
          </cell>
          <cell r="C5728" t="str">
            <v>45</v>
          </cell>
          <cell r="D5728" t="str">
            <v>40</v>
          </cell>
          <cell r="E5728" t="str">
            <v>000</v>
          </cell>
          <cell r="F5728" t="str">
            <v>5100.06</v>
          </cell>
          <cell r="G5728" t="str">
            <v>Benefits Worker's Comp</v>
          </cell>
          <cell r="H5728">
            <v>0</v>
          </cell>
          <cell r="I5728">
            <v>0</v>
          </cell>
          <cell r="J5728">
            <v>0</v>
          </cell>
          <cell r="K5728">
            <v>0</v>
          </cell>
          <cell r="L5728">
            <v>0</v>
          </cell>
          <cell r="M5728">
            <v>0</v>
          </cell>
          <cell r="N5728">
            <v>0</v>
          </cell>
          <cell r="O5728" t="str">
            <v>+++</v>
          </cell>
        </row>
        <row r="5729">
          <cell r="A5729" t="str">
            <v>420.45.40.000-5100.07</v>
          </cell>
          <cell r="B5729" t="str">
            <v>420</v>
          </cell>
          <cell r="C5729" t="str">
            <v>45</v>
          </cell>
          <cell r="D5729" t="str">
            <v>40</v>
          </cell>
          <cell r="E5729" t="str">
            <v>000</v>
          </cell>
          <cell r="F5729" t="str">
            <v>5100.07</v>
          </cell>
          <cell r="G5729" t="str">
            <v>Benefits Long Term Disability</v>
          </cell>
          <cell r="H5729">
            <v>0</v>
          </cell>
          <cell r="I5729">
            <v>0</v>
          </cell>
          <cell r="J5729">
            <v>0</v>
          </cell>
          <cell r="K5729">
            <v>0</v>
          </cell>
          <cell r="L5729">
            <v>0</v>
          </cell>
          <cell r="M5729">
            <v>0</v>
          </cell>
          <cell r="N5729">
            <v>0</v>
          </cell>
          <cell r="O5729" t="str">
            <v>+++</v>
          </cell>
        </row>
        <row r="5730">
          <cell r="A5730" t="str">
            <v>420.45.40.000-5100.08</v>
          </cell>
          <cell r="B5730" t="str">
            <v>420</v>
          </cell>
          <cell r="C5730" t="str">
            <v>45</v>
          </cell>
          <cell r="D5730" t="str">
            <v>40</v>
          </cell>
          <cell r="E5730" t="str">
            <v>000</v>
          </cell>
          <cell r="F5730" t="str">
            <v>5100.08</v>
          </cell>
          <cell r="G5730" t="str">
            <v>Benefits Deferred Compensation</v>
          </cell>
          <cell r="H5730">
            <v>0</v>
          </cell>
          <cell r="I5730">
            <v>0</v>
          </cell>
          <cell r="J5730">
            <v>0</v>
          </cell>
          <cell r="K5730">
            <v>0</v>
          </cell>
          <cell r="L5730">
            <v>0</v>
          </cell>
          <cell r="M5730">
            <v>0</v>
          </cell>
          <cell r="N5730">
            <v>0</v>
          </cell>
          <cell r="O5730" t="str">
            <v>+++</v>
          </cell>
        </row>
        <row r="5731">
          <cell r="A5731" t="str">
            <v>420.45.40.000-5100.09</v>
          </cell>
          <cell r="B5731" t="str">
            <v>420</v>
          </cell>
          <cell r="C5731" t="str">
            <v>45</v>
          </cell>
          <cell r="D5731" t="str">
            <v>40</v>
          </cell>
          <cell r="E5731" t="str">
            <v>000</v>
          </cell>
          <cell r="F5731" t="str">
            <v>5100.09</v>
          </cell>
          <cell r="G5731" t="str">
            <v>Benefits Unemployment Insurance</v>
          </cell>
          <cell r="H5731">
            <v>0</v>
          </cell>
          <cell r="I5731">
            <v>0</v>
          </cell>
          <cell r="J5731">
            <v>0</v>
          </cell>
          <cell r="K5731">
            <v>0</v>
          </cell>
          <cell r="L5731">
            <v>0</v>
          </cell>
          <cell r="M5731">
            <v>0</v>
          </cell>
          <cell r="N5731">
            <v>0</v>
          </cell>
          <cell r="O5731" t="str">
            <v>+++</v>
          </cell>
        </row>
        <row r="5732">
          <cell r="A5732" t="str">
            <v>420.45.40.000-5100.11</v>
          </cell>
          <cell r="B5732" t="str">
            <v>420</v>
          </cell>
          <cell r="C5732" t="str">
            <v>45</v>
          </cell>
          <cell r="D5732" t="str">
            <v>40</v>
          </cell>
          <cell r="E5732" t="str">
            <v>000</v>
          </cell>
          <cell r="F5732" t="str">
            <v>5100.11</v>
          </cell>
          <cell r="G5732" t="str">
            <v>Benefits Medicare</v>
          </cell>
          <cell r="H5732">
            <v>0</v>
          </cell>
          <cell r="I5732">
            <v>0</v>
          </cell>
          <cell r="J5732">
            <v>0</v>
          </cell>
          <cell r="K5732">
            <v>0</v>
          </cell>
          <cell r="L5732">
            <v>0</v>
          </cell>
          <cell r="M5732">
            <v>0</v>
          </cell>
          <cell r="N5732">
            <v>0</v>
          </cell>
          <cell r="O5732" t="str">
            <v>+++</v>
          </cell>
        </row>
        <row r="5733">
          <cell r="A5733" t="str">
            <v>420.45.40.000-5100.15</v>
          </cell>
          <cell r="B5733" t="str">
            <v>420</v>
          </cell>
          <cell r="C5733" t="str">
            <v>45</v>
          </cell>
          <cell r="D5733" t="str">
            <v>40</v>
          </cell>
          <cell r="E5733" t="str">
            <v>000</v>
          </cell>
          <cell r="F5733" t="str">
            <v>5100.15</v>
          </cell>
          <cell r="G5733" t="str">
            <v>Benefits Cell Phone Allowance</v>
          </cell>
          <cell r="H5733">
            <v>0</v>
          </cell>
          <cell r="I5733">
            <v>0</v>
          </cell>
          <cell r="J5733">
            <v>0</v>
          </cell>
          <cell r="K5733">
            <v>0</v>
          </cell>
          <cell r="L5733">
            <v>0</v>
          </cell>
          <cell r="M5733">
            <v>0</v>
          </cell>
          <cell r="N5733">
            <v>0</v>
          </cell>
          <cell r="O5733" t="str">
            <v>+++</v>
          </cell>
        </row>
        <row r="5734">
          <cell r="A5734" t="str">
            <v>420.45.40.000-5100.17</v>
          </cell>
          <cell r="B5734" t="str">
            <v>420</v>
          </cell>
          <cell r="C5734" t="str">
            <v>45</v>
          </cell>
          <cell r="D5734" t="str">
            <v>40</v>
          </cell>
          <cell r="E5734" t="str">
            <v>000</v>
          </cell>
          <cell r="F5734" t="str">
            <v>5100.17</v>
          </cell>
          <cell r="G5734" t="str">
            <v>Benefits Other Post Employment Benefits</v>
          </cell>
          <cell r="H5734">
            <v>0</v>
          </cell>
          <cell r="I5734">
            <v>0</v>
          </cell>
          <cell r="J5734">
            <v>0</v>
          </cell>
          <cell r="K5734">
            <v>0</v>
          </cell>
          <cell r="L5734">
            <v>0</v>
          </cell>
          <cell r="M5734">
            <v>0</v>
          </cell>
          <cell r="N5734">
            <v>0</v>
          </cell>
          <cell r="O5734" t="str">
            <v>+++</v>
          </cell>
        </row>
        <row r="5735">
          <cell r="A5735" t="str">
            <v>420.45.40.000-6000.01</v>
          </cell>
          <cell r="B5735" t="str">
            <v>420</v>
          </cell>
          <cell r="C5735" t="str">
            <v>45</v>
          </cell>
          <cell r="D5735" t="str">
            <v>40</v>
          </cell>
          <cell r="E5735" t="str">
            <v>000</v>
          </cell>
          <cell r="F5735" t="str">
            <v>6000.01</v>
          </cell>
          <cell r="G5735" t="str">
            <v>Professional Services General</v>
          </cell>
          <cell r="H5735">
            <v>0</v>
          </cell>
          <cell r="I5735">
            <v>0</v>
          </cell>
          <cell r="J5735">
            <v>0</v>
          </cell>
          <cell r="K5735">
            <v>0</v>
          </cell>
          <cell r="L5735">
            <v>0</v>
          </cell>
          <cell r="M5735">
            <v>0</v>
          </cell>
          <cell r="N5735">
            <v>0</v>
          </cell>
          <cell r="O5735" t="str">
            <v>+++</v>
          </cell>
        </row>
        <row r="5736">
          <cell r="A5736" t="str">
            <v>420.45.40.000-6000.10</v>
          </cell>
          <cell r="B5736" t="str">
            <v>420</v>
          </cell>
          <cell r="C5736" t="str">
            <v>45</v>
          </cell>
          <cell r="D5736" t="str">
            <v>40</v>
          </cell>
          <cell r="E5736" t="str">
            <v>000</v>
          </cell>
          <cell r="F5736" t="str">
            <v>6000.10</v>
          </cell>
          <cell r="G5736" t="str">
            <v>Professional Services Consultant</v>
          </cell>
          <cell r="H5736">
            <v>0</v>
          </cell>
          <cell r="I5736">
            <v>0</v>
          </cell>
          <cell r="J5736">
            <v>0</v>
          </cell>
          <cell r="K5736">
            <v>0</v>
          </cell>
          <cell r="L5736">
            <v>0</v>
          </cell>
          <cell r="M5736">
            <v>0</v>
          </cell>
          <cell r="N5736">
            <v>0</v>
          </cell>
          <cell r="O5736" t="str">
            <v>+++</v>
          </cell>
        </row>
        <row r="5737">
          <cell r="A5737" t="str">
            <v>420.45.40.000-6000.12</v>
          </cell>
          <cell r="B5737" t="str">
            <v>420</v>
          </cell>
          <cell r="C5737" t="str">
            <v>45</v>
          </cell>
          <cell r="D5737" t="str">
            <v>40</v>
          </cell>
          <cell r="E5737" t="str">
            <v>000</v>
          </cell>
          <cell r="F5737" t="str">
            <v>6000.12</v>
          </cell>
          <cell r="G5737" t="str">
            <v>Professional Services Contract Services</v>
          </cell>
          <cell r="H5737">
            <v>0</v>
          </cell>
          <cell r="I5737">
            <v>0</v>
          </cell>
          <cell r="J5737">
            <v>0</v>
          </cell>
          <cell r="K5737">
            <v>0</v>
          </cell>
          <cell r="L5737">
            <v>0</v>
          </cell>
          <cell r="M5737">
            <v>0</v>
          </cell>
          <cell r="N5737">
            <v>0</v>
          </cell>
          <cell r="O5737" t="str">
            <v>+++</v>
          </cell>
        </row>
        <row r="5738">
          <cell r="A5738" t="str">
            <v>420.45.40.000-6000.13</v>
          </cell>
          <cell r="B5738" t="str">
            <v>420</v>
          </cell>
          <cell r="C5738" t="str">
            <v>45</v>
          </cell>
          <cell r="D5738" t="str">
            <v>40</v>
          </cell>
          <cell r="E5738" t="str">
            <v>000</v>
          </cell>
          <cell r="F5738" t="str">
            <v>6000.13</v>
          </cell>
          <cell r="G5738" t="str">
            <v>Professional Services Compliance Monitoring</v>
          </cell>
          <cell r="H5738">
            <v>0</v>
          </cell>
          <cell r="I5738">
            <v>0</v>
          </cell>
          <cell r="J5738">
            <v>0</v>
          </cell>
          <cell r="K5738">
            <v>0</v>
          </cell>
          <cell r="L5738">
            <v>0</v>
          </cell>
          <cell r="M5738">
            <v>0</v>
          </cell>
          <cell r="N5738">
            <v>0</v>
          </cell>
          <cell r="O5738" t="str">
            <v>+++</v>
          </cell>
        </row>
        <row r="5739">
          <cell r="A5739" t="str">
            <v>420.45.40.000-6000.14</v>
          </cell>
          <cell r="B5739" t="str">
            <v>420</v>
          </cell>
          <cell r="C5739" t="str">
            <v>45</v>
          </cell>
          <cell r="D5739" t="str">
            <v>40</v>
          </cell>
          <cell r="E5739" t="str">
            <v>000</v>
          </cell>
          <cell r="F5739" t="str">
            <v>6000.14</v>
          </cell>
          <cell r="G5739" t="str">
            <v>Professional Services IW Pre Analysis</v>
          </cell>
          <cell r="H5739">
            <v>0</v>
          </cell>
          <cell r="I5739">
            <v>0</v>
          </cell>
          <cell r="J5739">
            <v>0</v>
          </cell>
          <cell r="K5739">
            <v>0</v>
          </cell>
          <cell r="L5739">
            <v>0</v>
          </cell>
          <cell r="M5739">
            <v>0</v>
          </cell>
          <cell r="N5739">
            <v>0</v>
          </cell>
          <cell r="O5739" t="str">
            <v>+++</v>
          </cell>
        </row>
        <row r="5740">
          <cell r="A5740" t="str">
            <v>420.45.40.000-6000.18</v>
          </cell>
          <cell r="B5740" t="str">
            <v>420</v>
          </cell>
          <cell r="C5740" t="str">
            <v>45</v>
          </cell>
          <cell r="D5740" t="str">
            <v>40</v>
          </cell>
          <cell r="E5740" t="str">
            <v>000</v>
          </cell>
          <cell r="F5740" t="str">
            <v>6000.18</v>
          </cell>
          <cell r="G5740" t="str">
            <v>Professional Services Legal</v>
          </cell>
          <cell r="H5740">
            <v>0</v>
          </cell>
          <cell r="I5740">
            <v>0</v>
          </cell>
          <cell r="J5740">
            <v>0</v>
          </cell>
          <cell r="K5740">
            <v>0</v>
          </cell>
          <cell r="L5740">
            <v>0</v>
          </cell>
          <cell r="M5740">
            <v>0</v>
          </cell>
          <cell r="N5740">
            <v>0</v>
          </cell>
          <cell r="O5740" t="str">
            <v>+++</v>
          </cell>
        </row>
        <row r="5741">
          <cell r="A5741" t="str">
            <v>420.45.40.000-6100.01</v>
          </cell>
          <cell r="B5741" t="str">
            <v>420</v>
          </cell>
          <cell r="C5741" t="str">
            <v>45</v>
          </cell>
          <cell r="D5741" t="str">
            <v>40</v>
          </cell>
          <cell r="E5741" t="str">
            <v>000</v>
          </cell>
          <cell r="F5741" t="str">
            <v>6100.01</v>
          </cell>
          <cell r="G5741" t="str">
            <v>Utilities Electric</v>
          </cell>
          <cell r="H5741">
            <v>0</v>
          </cell>
          <cell r="I5741">
            <v>0</v>
          </cell>
          <cell r="J5741">
            <v>0</v>
          </cell>
          <cell r="K5741">
            <v>0</v>
          </cell>
          <cell r="L5741">
            <v>0</v>
          </cell>
          <cell r="M5741">
            <v>0</v>
          </cell>
          <cell r="N5741">
            <v>0</v>
          </cell>
          <cell r="O5741" t="str">
            <v>+++</v>
          </cell>
        </row>
        <row r="5742">
          <cell r="A5742" t="str">
            <v>420.45.40.000-6100.02</v>
          </cell>
          <cell r="B5742" t="str">
            <v>420</v>
          </cell>
          <cell r="C5742" t="str">
            <v>45</v>
          </cell>
          <cell r="D5742" t="str">
            <v>40</v>
          </cell>
          <cell r="E5742" t="str">
            <v>000</v>
          </cell>
          <cell r="F5742" t="str">
            <v>6100.02</v>
          </cell>
          <cell r="G5742" t="str">
            <v>Utilities Telephone</v>
          </cell>
          <cell r="H5742">
            <v>0</v>
          </cell>
          <cell r="I5742">
            <v>0</v>
          </cell>
          <cell r="J5742">
            <v>0</v>
          </cell>
          <cell r="K5742">
            <v>0</v>
          </cell>
          <cell r="L5742">
            <v>0</v>
          </cell>
          <cell r="M5742">
            <v>0</v>
          </cell>
          <cell r="N5742">
            <v>0</v>
          </cell>
          <cell r="O5742" t="str">
            <v>+++</v>
          </cell>
        </row>
        <row r="5743">
          <cell r="A5743" t="str">
            <v>420.45.40.000-6100.03</v>
          </cell>
          <cell r="B5743" t="str">
            <v>420</v>
          </cell>
          <cell r="C5743" t="str">
            <v>45</v>
          </cell>
          <cell r="D5743" t="str">
            <v>40</v>
          </cell>
          <cell r="E5743" t="str">
            <v>000</v>
          </cell>
          <cell r="F5743" t="str">
            <v>6100.03</v>
          </cell>
          <cell r="G5743" t="str">
            <v>Utilities Data Transmission / ISP</v>
          </cell>
          <cell r="H5743">
            <v>0</v>
          </cell>
          <cell r="I5743">
            <v>0</v>
          </cell>
          <cell r="J5743">
            <v>0</v>
          </cell>
          <cell r="K5743">
            <v>0</v>
          </cell>
          <cell r="L5743">
            <v>0</v>
          </cell>
          <cell r="M5743">
            <v>0</v>
          </cell>
          <cell r="N5743">
            <v>0</v>
          </cell>
          <cell r="O5743" t="str">
            <v>+++</v>
          </cell>
        </row>
        <row r="5744">
          <cell r="A5744" t="str">
            <v>420.45.40.000-6200.01</v>
          </cell>
          <cell r="B5744" t="str">
            <v>420</v>
          </cell>
          <cell r="C5744" t="str">
            <v>45</v>
          </cell>
          <cell r="D5744" t="str">
            <v>40</v>
          </cell>
          <cell r="E5744" t="str">
            <v>000</v>
          </cell>
          <cell r="F5744" t="str">
            <v>6200.01</v>
          </cell>
          <cell r="G5744" t="str">
            <v>Supplies Office</v>
          </cell>
          <cell r="H5744">
            <v>0</v>
          </cell>
          <cell r="I5744">
            <v>0</v>
          </cell>
          <cell r="J5744">
            <v>0</v>
          </cell>
          <cell r="K5744">
            <v>0</v>
          </cell>
          <cell r="L5744">
            <v>0</v>
          </cell>
          <cell r="M5744">
            <v>0</v>
          </cell>
          <cell r="N5744">
            <v>0</v>
          </cell>
          <cell r="O5744" t="str">
            <v>+++</v>
          </cell>
        </row>
        <row r="5745">
          <cell r="A5745" t="str">
            <v>420.45.40.000-6200.02</v>
          </cell>
          <cell r="B5745" t="str">
            <v>420</v>
          </cell>
          <cell r="C5745" t="str">
            <v>45</v>
          </cell>
          <cell r="D5745" t="str">
            <v>40</v>
          </cell>
          <cell r="E5745" t="str">
            <v>000</v>
          </cell>
          <cell r="F5745" t="str">
            <v>6200.02</v>
          </cell>
          <cell r="G5745" t="str">
            <v>Supplies Special Department</v>
          </cell>
          <cell r="H5745">
            <v>0</v>
          </cell>
          <cell r="I5745">
            <v>0</v>
          </cell>
          <cell r="J5745">
            <v>0</v>
          </cell>
          <cell r="K5745">
            <v>0</v>
          </cell>
          <cell r="L5745">
            <v>0</v>
          </cell>
          <cell r="M5745">
            <v>0</v>
          </cell>
          <cell r="N5745">
            <v>0</v>
          </cell>
          <cell r="O5745" t="str">
            <v>+++</v>
          </cell>
        </row>
        <row r="5746">
          <cell r="A5746" t="str">
            <v>420.45.40.000-6200.03</v>
          </cell>
          <cell r="B5746" t="str">
            <v>420</v>
          </cell>
          <cell r="C5746" t="str">
            <v>45</v>
          </cell>
          <cell r="D5746" t="str">
            <v>40</v>
          </cell>
          <cell r="E5746" t="str">
            <v>000</v>
          </cell>
          <cell r="F5746" t="str">
            <v>6200.03</v>
          </cell>
          <cell r="G5746" t="str">
            <v>Supplies Copier Maintenance &amp; Supplies</v>
          </cell>
          <cell r="H5746">
            <v>0</v>
          </cell>
          <cell r="I5746">
            <v>0</v>
          </cell>
          <cell r="J5746">
            <v>0</v>
          </cell>
          <cell r="K5746">
            <v>0</v>
          </cell>
          <cell r="L5746">
            <v>0</v>
          </cell>
          <cell r="M5746">
            <v>0</v>
          </cell>
          <cell r="N5746">
            <v>0</v>
          </cell>
          <cell r="O5746" t="str">
            <v>+++</v>
          </cell>
        </row>
        <row r="5747">
          <cell r="A5747" t="str">
            <v>420.45.40.000-6200.04</v>
          </cell>
          <cell r="B5747" t="str">
            <v>420</v>
          </cell>
          <cell r="C5747" t="str">
            <v>45</v>
          </cell>
          <cell r="D5747" t="str">
            <v>40</v>
          </cell>
          <cell r="E5747" t="str">
            <v>000</v>
          </cell>
          <cell r="F5747" t="str">
            <v>6200.04</v>
          </cell>
          <cell r="G5747" t="str">
            <v>Supplies Postage</v>
          </cell>
          <cell r="H5747">
            <v>0</v>
          </cell>
          <cell r="I5747">
            <v>0</v>
          </cell>
          <cell r="J5747">
            <v>0</v>
          </cell>
          <cell r="K5747">
            <v>0</v>
          </cell>
          <cell r="L5747">
            <v>0</v>
          </cell>
          <cell r="M5747">
            <v>0</v>
          </cell>
          <cell r="N5747">
            <v>0</v>
          </cell>
          <cell r="O5747" t="str">
            <v>+++</v>
          </cell>
        </row>
        <row r="5748">
          <cell r="A5748" t="str">
            <v>420.45.40.000-6200.05</v>
          </cell>
          <cell r="B5748" t="str">
            <v>420</v>
          </cell>
          <cell r="C5748" t="str">
            <v>45</v>
          </cell>
          <cell r="D5748" t="str">
            <v>40</v>
          </cell>
          <cell r="E5748" t="str">
            <v>000</v>
          </cell>
          <cell r="F5748" t="str">
            <v>6200.05</v>
          </cell>
          <cell r="G5748" t="str">
            <v>Supplies Gasoline</v>
          </cell>
          <cell r="H5748">
            <v>0</v>
          </cell>
          <cell r="I5748">
            <v>0</v>
          </cell>
          <cell r="J5748">
            <v>0</v>
          </cell>
          <cell r="K5748">
            <v>0</v>
          </cell>
          <cell r="L5748">
            <v>0</v>
          </cell>
          <cell r="M5748">
            <v>0</v>
          </cell>
          <cell r="N5748">
            <v>0</v>
          </cell>
          <cell r="O5748" t="str">
            <v>+++</v>
          </cell>
        </row>
        <row r="5749">
          <cell r="A5749" t="str">
            <v>420.45.40.000-6200.09</v>
          </cell>
          <cell r="B5749" t="str">
            <v>420</v>
          </cell>
          <cell r="C5749" t="str">
            <v>45</v>
          </cell>
          <cell r="D5749" t="str">
            <v>40</v>
          </cell>
          <cell r="E5749" t="str">
            <v>000</v>
          </cell>
          <cell r="F5749" t="str">
            <v>6200.09</v>
          </cell>
          <cell r="G5749" t="str">
            <v>Supplies Data Processing</v>
          </cell>
          <cell r="H5749">
            <v>0</v>
          </cell>
          <cell r="I5749">
            <v>0</v>
          </cell>
          <cell r="J5749">
            <v>0</v>
          </cell>
          <cell r="K5749">
            <v>0</v>
          </cell>
          <cell r="L5749">
            <v>0</v>
          </cell>
          <cell r="M5749">
            <v>0</v>
          </cell>
          <cell r="N5749">
            <v>0</v>
          </cell>
          <cell r="O5749" t="str">
            <v>+++</v>
          </cell>
        </row>
        <row r="5750">
          <cell r="A5750" t="str">
            <v>420.45.40.000-6300.01</v>
          </cell>
          <cell r="B5750" t="str">
            <v>420</v>
          </cell>
          <cell r="C5750" t="str">
            <v>45</v>
          </cell>
          <cell r="D5750" t="str">
            <v>40</v>
          </cell>
          <cell r="E5750" t="str">
            <v>000</v>
          </cell>
          <cell r="F5750" t="str">
            <v>6300.01</v>
          </cell>
          <cell r="G5750" t="str">
            <v>Dues &amp; Subscriptions Memberships</v>
          </cell>
          <cell r="H5750">
            <v>0</v>
          </cell>
          <cell r="I5750">
            <v>0</v>
          </cell>
          <cell r="J5750">
            <v>0</v>
          </cell>
          <cell r="K5750">
            <v>0</v>
          </cell>
          <cell r="L5750">
            <v>0</v>
          </cell>
          <cell r="M5750">
            <v>0</v>
          </cell>
          <cell r="N5750">
            <v>0</v>
          </cell>
          <cell r="O5750" t="str">
            <v>+++</v>
          </cell>
        </row>
        <row r="5751">
          <cell r="A5751" t="str">
            <v>420.45.40.000-6300.02</v>
          </cell>
          <cell r="B5751" t="str">
            <v>420</v>
          </cell>
          <cell r="C5751" t="str">
            <v>45</v>
          </cell>
          <cell r="D5751" t="str">
            <v>40</v>
          </cell>
          <cell r="E5751" t="str">
            <v>000</v>
          </cell>
          <cell r="F5751" t="str">
            <v>6300.02</v>
          </cell>
          <cell r="G5751" t="str">
            <v>Dues &amp; Subscriptions Publications</v>
          </cell>
          <cell r="H5751">
            <v>0</v>
          </cell>
          <cell r="I5751">
            <v>0</v>
          </cell>
          <cell r="J5751">
            <v>0</v>
          </cell>
          <cell r="K5751">
            <v>0</v>
          </cell>
          <cell r="L5751">
            <v>0</v>
          </cell>
          <cell r="M5751">
            <v>0</v>
          </cell>
          <cell r="N5751">
            <v>0</v>
          </cell>
          <cell r="O5751" t="str">
            <v>+++</v>
          </cell>
        </row>
        <row r="5752">
          <cell r="A5752" t="str">
            <v>420.45.40.000-6300.03</v>
          </cell>
          <cell r="B5752" t="str">
            <v>420</v>
          </cell>
          <cell r="C5752" t="str">
            <v>45</v>
          </cell>
          <cell r="D5752" t="str">
            <v>40</v>
          </cell>
          <cell r="E5752" t="str">
            <v>000</v>
          </cell>
          <cell r="F5752" t="str">
            <v>6300.03</v>
          </cell>
          <cell r="G5752" t="str">
            <v>Dues &amp; Subscriptions Certifications</v>
          </cell>
          <cell r="H5752">
            <v>0</v>
          </cell>
          <cell r="I5752">
            <v>0</v>
          </cell>
          <cell r="J5752">
            <v>0</v>
          </cell>
          <cell r="K5752">
            <v>0</v>
          </cell>
          <cell r="L5752">
            <v>0</v>
          </cell>
          <cell r="M5752">
            <v>0</v>
          </cell>
          <cell r="N5752">
            <v>0</v>
          </cell>
          <cell r="O5752" t="str">
            <v>+++</v>
          </cell>
        </row>
        <row r="5753">
          <cell r="A5753" t="str">
            <v>420.45.40.000-6350.01</v>
          </cell>
          <cell r="B5753" t="str">
            <v>420</v>
          </cell>
          <cell r="C5753" t="str">
            <v>45</v>
          </cell>
          <cell r="D5753" t="str">
            <v>40</v>
          </cell>
          <cell r="E5753" t="str">
            <v>000</v>
          </cell>
          <cell r="F5753" t="str">
            <v>6350.01</v>
          </cell>
          <cell r="G5753" t="str">
            <v>Maintenance Agreements &amp; Licenses License/Software Maintenance</v>
          </cell>
          <cell r="H5753">
            <v>0</v>
          </cell>
          <cell r="I5753">
            <v>0</v>
          </cell>
          <cell r="J5753">
            <v>0</v>
          </cell>
          <cell r="K5753">
            <v>0</v>
          </cell>
          <cell r="L5753">
            <v>0</v>
          </cell>
          <cell r="M5753">
            <v>0</v>
          </cell>
          <cell r="N5753">
            <v>0</v>
          </cell>
          <cell r="O5753" t="str">
            <v>+++</v>
          </cell>
        </row>
        <row r="5754">
          <cell r="A5754" t="str">
            <v>420.45.40.000-6350.02</v>
          </cell>
          <cell r="B5754" t="str">
            <v>420</v>
          </cell>
          <cell r="C5754" t="str">
            <v>45</v>
          </cell>
          <cell r="D5754" t="str">
            <v>40</v>
          </cell>
          <cell r="E5754" t="str">
            <v>000</v>
          </cell>
          <cell r="F5754" t="str">
            <v>6350.02</v>
          </cell>
          <cell r="G5754" t="str">
            <v>Maintenance Agreements &amp; Licenses Hardware Maintenance</v>
          </cell>
          <cell r="H5754">
            <v>0</v>
          </cell>
          <cell r="I5754">
            <v>0</v>
          </cell>
          <cell r="J5754">
            <v>0</v>
          </cell>
          <cell r="K5754">
            <v>0</v>
          </cell>
          <cell r="L5754">
            <v>0</v>
          </cell>
          <cell r="M5754">
            <v>0</v>
          </cell>
          <cell r="N5754">
            <v>0</v>
          </cell>
          <cell r="O5754" t="str">
            <v>+++</v>
          </cell>
        </row>
        <row r="5755">
          <cell r="A5755" t="str">
            <v>420.45.40.000-6350.03</v>
          </cell>
          <cell r="B5755" t="str">
            <v>420</v>
          </cell>
          <cell r="C5755" t="str">
            <v>45</v>
          </cell>
          <cell r="D5755" t="str">
            <v>40</v>
          </cell>
          <cell r="E5755" t="str">
            <v>000</v>
          </cell>
          <cell r="F5755" t="str">
            <v>6350.03</v>
          </cell>
          <cell r="G5755" t="str">
            <v>Maintenance Agreements &amp; Licenses Maintenance Agreements</v>
          </cell>
          <cell r="H5755">
            <v>0</v>
          </cell>
          <cell r="I5755">
            <v>0</v>
          </cell>
          <cell r="J5755">
            <v>0</v>
          </cell>
          <cell r="K5755">
            <v>0</v>
          </cell>
          <cell r="L5755">
            <v>0</v>
          </cell>
          <cell r="M5755">
            <v>0</v>
          </cell>
          <cell r="N5755">
            <v>0</v>
          </cell>
          <cell r="O5755" t="str">
            <v>+++</v>
          </cell>
        </row>
        <row r="5756">
          <cell r="A5756" t="str">
            <v>420.45.40.000-6350.04</v>
          </cell>
          <cell r="B5756" t="str">
            <v>420</v>
          </cell>
          <cell r="C5756" t="str">
            <v>45</v>
          </cell>
          <cell r="D5756" t="str">
            <v>40</v>
          </cell>
          <cell r="E5756" t="str">
            <v>000</v>
          </cell>
          <cell r="F5756" t="str">
            <v>6350.04</v>
          </cell>
          <cell r="G5756" t="str">
            <v>Maintenance Agreements &amp; Licenses SCADA</v>
          </cell>
          <cell r="H5756">
            <v>0</v>
          </cell>
          <cell r="I5756">
            <v>0</v>
          </cell>
          <cell r="J5756">
            <v>0</v>
          </cell>
          <cell r="K5756">
            <v>0</v>
          </cell>
          <cell r="L5756">
            <v>0</v>
          </cell>
          <cell r="M5756">
            <v>0</v>
          </cell>
          <cell r="N5756">
            <v>0</v>
          </cell>
          <cell r="O5756" t="str">
            <v>+++</v>
          </cell>
        </row>
        <row r="5757">
          <cell r="A5757" t="str">
            <v>420.45.40.000-6350.05</v>
          </cell>
          <cell r="B5757" t="str">
            <v>420</v>
          </cell>
          <cell r="C5757" t="str">
            <v>45</v>
          </cell>
          <cell r="D5757" t="str">
            <v>40</v>
          </cell>
          <cell r="E5757" t="str">
            <v>000</v>
          </cell>
          <cell r="F5757" t="str">
            <v>6350.05</v>
          </cell>
          <cell r="G5757" t="str">
            <v>Maintenance Agreements &amp; Licenses Traffic Control</v>
          </cell>
          <cell r="H5757">
            <v>0</v>
          </cell>
          <cell r="I5757">
            <v>0</v>
          </cell>
          <cell r="J5757">
            <v>0</v>
          </cell>
          <cell r="K5757">
            <v>0</v>
          </cell>
          <cell r="L5757">
            <v>0</v>
          </cell>
          <cell r="M5757">
            <v>0</v>
          </cell>
          <cell r="N5757">
            <v>0</v>
          </cell>
          <cell r="O5757" t="str">
            <v>+++</v>
          </cell>
        </row>
        <row r="5758">
          <cell r="A5758" t="str">
            <v>420.45.40.000-6350.06</v>
          </cell>
          <cell r="B5758" t="str">
            <v>420</v>
          </cell>
          <cell r="C5758" t="str">
            <v>45</v>
          </cell>
          <cell r="D5758" t="str">
            <v>40</v>
          </cell>
          <cell r="E5758" t="str">
            <v>000</v>
          </cell>
          <cell r="F5758" t="str">
            <v>6350.06</v>
          </cell>
          <cell r="G5758" t="str">
            <v>Maintenance Agreements &amp; Licenses Streetlights</v>
          </cell>
          <cell r="H5758">
            <v>0</v>
          </cell>
          <cell r="I5758">
            <v>0</v>
          </cell>
          <cell r="J5758">
            <v>0</v>
          </cell>
          <cell r="K5758">
            <v>0</v>
          </cell>
          <cell r="L5758">
            <v>0</v>
          </cell>
          <cell r="M5758">
            <v>0</v>
          </cell>
          <cell r="N5758">
            <v>0</v>
          </cell>
          <cell r="O5758" t="str">
            <v>+++</v>
          </cell>
        </row>
        <row r="5759">
          <cell r="A5759" t="str">
            <v>420.45.40.000-6400.01</v>
          </cell>
          <cell r="B5759" t="str">
            <v>420</v>
          </cell>
          <cell r="C5759" t="str">
            <v>45</v>
          </cell>
          <cell r="D5759" t="str">
            <v>40</v>
          </cell>
          <cell r="E5759" t="str">
            <v>000</v>
          </cell>
          <cell r="F5759" t="str">
            <v>6400.01</v>
          </cell>
          <cell r="G5759" t="str">
            <v>Repairs &amp; Maintenance Building</v>
          </cell>
          <cell r="H5759">
            <v>0</v>
          </cell>
          <cell r="I5759">
            <v>0</v>
          </cell>
          <cell r="J5759">
            <v>0</v>
          </cell>
          <cell r="K5759">
            <v>0</v>
          </cell>
          <cell r="L5759">
            <v>0</v>
          </cell>
          <cell r="M5759">
            <v>0</v>
          </cell>
          <cell r="N5759">
            <v>0</v>
          </cell>
          <cell r="O5759" t="str">
            <v>+++</v>
          </cell>
        </row>
        <row r="5760">
          <cell r="A5760" t="str">
            <v>420.45.40.000-6400.02</v>
          </cell>
          <cell r="B5760" t="str">
            <v>420</v>
          </cell>
          <cell r="C5760" t="str">
            <v>45</v>
          </cell>
          <cell r="D5760" t="str">
            <v>40</v>
          </cell>
          <cell r="E5760" t="str">
            <v>000</v>
          </cell>
          <cell r="F5760" t="str">
            <v>6400.02</v>
          </cell>
          <cell r="G5760" t="str">
            <v>Repairs &amp; Maintenance Minor Equipment/Other</v>
          </cell>
          <cell r="H5760">
            <v>0</v>
          </cell>
          <cell r="I5760">
            <v>0</v>
          </cell>
          <cell r="J5760">
            <v>0</v>
          </cell>
          <cell r="K5760">
            <v>0</v>
          </cell>
          <cell r="L5760">
            <v>0</v>
          </cell>
          <cell r="M5760">
            <v>0</v>
          </cell>
          <cell r="N5760">
            <v>0</v>
          </cell>
          <cell r="O5760" t="str">
            <v>+++</v>
          </cell>
        </row>
        <row r="5761">
          <cell r="A5761" t="str">
            <v>420.45.40.000-6400.03</v>
          </cell>
          <cell r="B5761" t="str">
            <v>420</v>
          </cell>
          <cell r="C5761" t="str">
            <v>45</v>
          </cell>
          <cell r="D5761" t="str">
            <v>40</v>
          </cell>
          <cell r="E5761" t="str">
            <v>000</v>
          </cell>
          <cell r="F5761" t="str">
            <v>6400.03</v>
          </cell>
          <cell r="G5761" t="str">
            <v>Repairs &amp; Maintenance Major Repair &amp; Contingency</v>
          </cell>
          <cell r="H5761">
            <v>0</v>
          </cell>
          <cell r="I5761">
            <v>0</v>
          </cell>
          <cell r="J5761">
            <v>0</v>
          </cell>
          <cell r="K5761">
            <v>0</v>
          </cell>
          <cell r="L5761">
            <v>0</v>
          </cell>
          <cell r="M5761">
            <v>0</v>
          </cell>
          <cell r="N5761">
            <v>0</v>
          </cell>
          <cell r="O5761" t="str">
            <v>+++</v>
          </cell>
        </row>
        <row r="5762">
          <cell r="A5762" t="str">
            <v>420.45.40.000-6400.04</v>
          </cell>
          <cell r="B5762" t="str">
            <v>420</v>
          </cell>
          <cell r="C5762" t="str">
            <v>45</v>
          </cell>
          <cell r="D5762" t="str">
            <v>40</v>
          </cell>
          <cell r="E5762" t="str">
            <v>000</v>
          </cell>
          <cell r="F5762" t="str">
            <v>6400.04</v>
          </cell>
          <cell r="G5762" t="str">
            <v>Repairs &amp; Maintenance Equipment Rental</v>
          </cell>
          <cell r="H5762">
            <v>0</v>
          </cell>
          <cell r="I5762">
            <v>0</v>
          </cell>
          <cell r="J5762">
            <v>0</v>
          </cell>
          <cell r="K5762">
            <v>0</v>
          </cell>
          <cell r="L5762">
            <v>0</v>
          </cell>
          <cell r="M5762">
            <v>0</v>
          </cell>
          <cell r="N5762">
            <v>0</v>
          </cell>
          <cell r="O5762" t="str">
            <v>+++</v>
          </cell>
        </row>
        <row r="5763">
          <cell r="A5763" t="str">
            <v>420.45.40.000-6400.05</v>
          </cell>
          <cell r="B5763" t="str">
            <v>420</v>
          </cell>
          <cell r="C5763" t="str">
            <v>45</v>
          </cell>
          <cell r="D5763" t="str">
            <v>40</v>
          </cell>
          <cell r="E5763" t="str">
            <v>000</v>
          </cell>
          <cell r="F5763" t="str">
            <v>6400.05</v>
          </cell>
          <cell r="G5763" t="str">
            <v>Repairs &amp; Maintenance Vehicle</v>
          </cell>
          <cell r="H5763">
            <v>0</v>
          </cell>
          <cell r="I5763">
            <v>0</v>
          </cell>
          <cell r="J5763">
            <v>0</v>
          </cell>
          <cell r="K5763">
            <v>0</v>
          </cell>
          <cell r="L5763">
            <v>0</v>
          </cell>
          <cell r="M5763">
            <v>0</v>
          </cell>
          <cell r="N5763">
            <v>0</v>
          </cell>
          <cell r="O5763" t="str">
            <v>+++</v>
          </cell>
        </row>
        <row r="5764">
          <cell r="A5764" t="str">
            <v>420.45.40.000-6600.01</v>
          </cell>
          <cell r="B5764" t="str">
            <v>420</v>
          </cell>
          <cell r="C5764" t="str">
            <v>45</v>
          </cell>
          <cell r="D5764" t="str">
            <v>40</v>
          </cell>
          <cell r="E5764" t="str">
            <v>000</v>
          </cell>
          <cell r="F5764" t="str">
            <v>6600.01</v>
          </cell>
          <cell r="G5764" t="str">
            <v>Administrative Expenses Meetings</v>
          </cell>
          <cell r="H5764">
            <v>0</v>
          </cell>
          <cell r="I5764">
            <v>0</v>
          </cell>
          <cell r="J5764">
            <v>0</v>
          </cell>
          <cell r="K5764">
            <v>0</v>
          </cell>
          <cell r="L5764">
            <v>0</v>
          </cell>
          <cell r="M5764">
            <v>0</v>
          </cell>
          <cell r="N5764">
            <v>0</v>
          </cell>
          <cell r="O5764" t="str">
            <v>+++</v>
          </cell>
        </row>
        <row r="5765">
          <cell r="A5765" t="str">
            <v>420.45.40.000-6600.03</v>
          </cell>
          <cell r="B5765" t="str">
            <v>420</v>
          </cell>
          <cell r="C5765" t="str">
            <v>45</v>
          </cell>
          <cell r="D5765" t="str">
            <v>40</v>
          </cell>
          <cell r="E5765" t="str">
            <v>000</v>
          </cell>
          <cell r="F5765" t="str">
            <v>6600.03</v>
          </cell>
          <cell r="G5765" t="str">
            <v>Administrative Expenses Mileage Reimbursement</v>
          </cell>
          <cell r="H5765">
            <v>0</v>
          </cell>
          <cell r="I5765">
            <v>0</v>
          </cell>
          <cell r="J5765">
            <v>0</v>
          </cell>
          <cell r="K5765">
            <v>0</v>
          </cell>
          <cell r="L5765">
            <v>0</v>
          </cell>
          <cell r="M5765">
            <v>0</v>
          </cell>
          <cell r="N5765">
            <v>0</v>
          </cell>
          <cell r="O5765" t="str">
            <v>+++</v>
          </cell>
        </row>
        <row r="5766">
          <cell r="A5766" t="str">
            <v>420.45.40.000-6600.04</v>
          </cell>
          <cell r="B5766" t="str">
            <v>420</v>
          </cell>
          <cell r="C5766" t="str">
            <v>45</v>
          </cell>
          <cell r="D5766" t="str">
            <v>40</v>
          </cell>
          <cell r="E5766" t="str">
            <v>000</v>
          </cell>
          <cell r="F5766" t="str">
            <v>6600.04</v>
          </cell>
          <cell r="G5766" t="str">
            <v>Administrative Expenses Training/Conferences</v>
          </cell>
          <cell r="H5766">
            <v>0</v>
          </cell>
          <cell r="I5766">
            <v>0</v>
          </cell>
          <cell r="J5766">
            <v>0</v>
          </cell>
          <cell r="K5766">
            <v>0</v>
          </cell>
          <cell r="L5766">
            <v>0</v>
          </cell>
          <cell r="M5766">
            <v>0</v>
          </cell>
          <cell r="N5766">
            <v>0</v>
          </cell>
          <cell r="O5766" t="str">
            <v>+++</v>
          </cell>
        </row>
        <row r="5767">
          <cell r="A5767" t="str">
            <v>420.45.40.000-6600.05</v>
          </cell>
          <cell r="B5767" t="str">
            <v>420</v>
          </cell>
          <cell r="C5767" t="str">
            <v>45</v>
          </cell>
          <cell r="D5767" t="str">
            <v>40</v>
          </cell>
          <cell r="E5767" t="str">
            <v>000</v>
          </cell>
          <cell r="F5767" t="str">
            <v>6600.05</v>
          </cell>
          <cell r="G5767" t="str">
            <v>Administrative Expenses Public/Legal Advertisement</v>
          </cell>
          <cell r="H5767">
            <v>0</v>
          </cell>
          <cell r="I5767">
            <v>0</v>
          </cell>
          <cell r="J5767">
            <v>0</v>
          </cell>
          <cell r="K5767">
            <v>0</v>
          </cell>
          <cell r="L5767">
            <v>0</v>
          </cell>
          <cell r="M5767">
            <v>0</v>
          </cell>
          <cell r="N5767">
            <v>0</v>
          </cell>
          <cell r="O5767" t="str">
            <v>+++</v>
          </cell>
        </row>
        <row r="5768">
          <cell r="A5768" t="str">
            <v>420.45.40.000-6600.06</v>
          </cell>
          <cell r="B5768" t="str">
            <v>420</v>
          </cell>
          <cell r="C5768" t="str">
            <v>45</v>
          </cell>
          <cell r="D5768" t="str">
            <v>40</v>
          </cell>
          <cell r="E5768" t="str">
            <v>000</v>
          </cell>
          <cell r="F5768" t="str">
            <v>6600.06</v>
          </cell>
          <cell r="G5768" t="str">
            <v>Administrative Expenses Property/Building Rental</v>
          </cell>
          <cell r="H5768">
            <v>0</v>
          </cell>
          <cell r="I5768">
            <v>0</v>
          </cell>
          <cell r="J5768">
            <v>0</v>
          </cell>
          <cell r="K5768">
            <v>0</v>
          </cell>
          <cell r="L5768">
            <v>0</v>
          </cell>
          <cell r="M5768">
            <v>0</v>
          </cell>
          <cell r="N5768">
            <v>0</v>
          </cell>
          <cell r="O5768" t="str">
            <v>+++</v>
          </cell>
        </row>
        <row r="5769">
          <cell r="A5769" t="str">
            <v>420.45.40.000-6600.07</v>
          </cell>
          <cell r="B5769" t="str">
            <v>420</v>
          </cell>
          <cell r="C5769" t="str">
            <v>45</v>
          </cell>
          <cell r="D5769" t="str">
            <v>40</v>
          </cell>
          <cell r="E5769" t="str">
            <v>000</v>
          </cell>
          <cell r="F5769" t="str">
            <v>6600.07</v>
          </cell>
          <cell r="G5769" t="str">
            <v>Administrative Expenses Employee Recruitment</v>
          </cell>
          <cell r="H5769">
            <v>0</v>
          </cell>
          <cell r="I5769">
            <v>0</v>
          </cell>
          <cell r="J5769">
            <v>0</v>
          </cell>
          <cell r="K5769">
            <v>0</v>
          </cell>
          <cell r="L5769">
            <v>0</v>
          </cell>
          <cell r="M5769">
            <v>0</v>
          </cell>
          <cell r="N5769">
            <v>0</v>
          </cell>
          <cell r="O5769" t="str">
            <v>+++</v>
          </cell>
        </row>
        <row r="5770">
          <cell r="A5770" t="str">
            <v>420.45.40.000-6600.08</v>
          </cell>
          <cell r="B5770" t="str">
            <v>420</v>
          </cell>
          <cell r="C5770" t="str">
            <v>45</v>
          </cell>
          <cell r="D5770" t="str">
            <v>40</v>
          </cell>
          <cell r="E5770" t="str">
            <v>000</v>
          </cell>
          <cell r="F5770" t="str">
            <v>6600.08</v>
          </cell>
          <cell r="G5770" t="str">
            <v>Administrative Expenses Employee Recognition</v>
          </cell>
          <cell r="H5770">
            <v>0</v>
          </cell>
          <cell r="I5770">
            <v>0</v>
          </cell>
          <cell r="J5770">
            <v>0</v>
          </cell>
          <cell r="K5770">
            <v>0</v>
          </cell>
          <cell r="L5770">
            <v>0</v>
          </cell>
          <cell r="M5770">
            <v>0</v>
          </cell>
          <cell r="N5770">
            <v>0</v>
          </cell>
          <cell r="O5770" t="str">
            <v>+++</v>
          </cell>
        </row>
        <row r="5771">
          <cell r="A5771" t="str">
            <v>420.45.40.000-6600.14</v>
          </cell>
          <cell r="B5771" t="str">
            <v>420</v>
          </cell>
          <cell r="C5771" t="str">
            <v>45</v>
          </cell>
          <cell r="D5771" t="str">
            <v>40</v>
          </cell>
          <cell r="E5771" t="str">
            <v>000</v>
          </cell>
          <cell r="F5771" t="str">
            <v>6600.14</v>
          </cell>
          <cell r="G5771" t="str">
            <v>Administrative Expenses Filing/Recording Fee</v>
          </cell>
          <cell r="H5771">
            <v>0</v>
          </cell>
          <cell r="I5771">
            <v>0</v>
          </cell>
          <cell r="J5771">
            <v>0</v>
          </cell>
          <cell r="K5771">
            <v>0</v>
          </cell>
          <cell r="L5771">
            <v>0</v>
          </cell>
          <cell r="M5771">
            <v>0</v>
          </cell>
          <cell r="N5771">
            <v>0</v>
          </cell>
          <cell r="O5771" t="str">
            <v>+++</v>
          </cell>
        </row>
        <row r="5772">
          <cell r="A5772" t="str">
            <v>420.45.40.000-6600.24</v>
          </cell>
          <cell r="B5772" t="str">
            <v>420</v>
          </cell>
          <cell r="C5772" t="str">
            <v>45</v>
          </cell>
          <cell r="D5772" t="str">
            <v>40</v>
          </cell>
          <cell r="E5772" t="str">
            <v>000</v>
          </cell>
          <cell r="F5772" t="str">
            <v>6600.24</v>
          </cell>
          <cell r="G5772" t="str">
            <v>Administrative Expenses Marketing</v>
          </cell>
          <cell r="H5772">
            <v>0</v>
          </cell>
          <cell r="I5772">
            <v>0</v>
          </cell>
          <cell r="J5772">
            <v>0</v>
          </cell>
          <cell r="K5772">
            <v>0</v>
          </cell>
          <cell r="L5772">
            <v>0</v>
          </cell>
          <cell r="M5772">
            <v>0</v>
          </cell>
          <cell r="N5772">
            <v>0</v>
          </cell>
          <cell r="O5772" t="str">
            <v>+++</v>
          </cell>
        </row>
        <row r="5773">
          <cell r="A5773" t="str">
            <v>420.45.40.000-6600.25</v>
          </cell>
          <cell r="B5773" t="str">
            <v>420</v>
          </cell>
          <cell r="C5773" t="str">
            <v>45</v>
          </cell>
          <cell r="D5773" t="str">
            <v>40</v>
          </cell>
          <cell r="E5773" t="str">
            <v>000</v>
          </cell>
          <cell r="F5773" t="str">
            <v>6600.25</v>
          </cell>
          <cell r="G5773" t="str">
            <v>Administrative Expenses Support Services-Indirect Labor</v>
          </cell>
          <cell r="H5773">
            <v>0</v>
          </cell>
          <cell r="I5773">
            <v>0</v>
          </cell>
          <cell r="J5773">
            <v>0</v>
          </cell>
          <cell r="K5773">
            <v>0</v>
          </cell>
          <cell r="L5773">
            <v>0</v>
          </cell>
          <cell r="M5773">
            <v>0</v>
          </cell>
          <cell r="N5773">
            <v>0</v>
          </cell>
          <cell r="O5773" t="str">
            <v>+++</v>
          </cell>
        </row>
        <row r="5774">
          <cell r="A5774" t="str">
            <v>420.45.40.000-6600.26</v>
          </cell>
          <cell r="B5774" t="str">
            <v>420</v>
          </cell>
          <cell r="C5774" t="str">
            <v>45</v>
          </cell>
          <cell r="D5774" t="str">
            <v>40</v>
          </cell>
          <cell r="E5774" t="str">
            <v>000</v>
          </cell>
          <cell r="F5774" t="str">
            <v>6600.26</v>
          </cell>
          <cell r="G5774" t="str">
            <v>Administrative Expenses Support Services-IT</v>
          </cell>
          <cell r="H5774">
            <v>0</v>
          </cell>
          <cell r="I5774">
            <v>0</v>
          </cell>
          <cell r="J5774">
            <v>0</v>
          </cell>
          <cell r="K5774">
            <v>0</v>
          </cell>
          <cell r="L5774">
            <v>0</v>
          </cell>
          <cell r="M5774">
            <v>0</v>
          </cell>
          <cell r="N5774">
            <v>0</v>
          </cell>
          <cell r="O5774" t="str">
            <v>+++</v>
          </cell>
        </row>
        <row r="5775">
          <cell r="A5775" t="str">
            <v>420.45.40.000-6600.27</v>
          </cell>
          <cell r="B5775" t="str">
            <v>420</v>
          </cell>
          <cell r="C5775" t="str">
            <v>45</v>
          </cell>
          <cell r="D5775" t="str">
            <v>40</v>
          </cell>
          <cell r="E5775" t="str">
            <v>000</v>
          </cell>
          <cell r="F5775" t="str">
            <v>6600.27</v>
          </cell>
          <cell r="G5775" t="str">
            <v>Administrative Expenses Support Services-Direct Labor</v>
          </cell>
          <cell r="H5775">
            <v>0</v>
          </cell>
          <cell r="I5775">
            <v>0</v>
          </cell>
          <cell r="J5775">
            <v>0</v>
          </cell>
          <cell r="K5775">
            <v>0</v>
          </cell>
          <cell r="L5775">
            <v>0</v>
          </cell>
          <cell r="M5775">
            <v>0</v>
          </cell>
          <cell r="N5775">
            <v>0</v>
          </cell>
          <cell r="O5775" t="str">
            <v>+++</v>
          </cell>
        </row>
        <row r="5776">
          <cell r="A5776" t="str">
            <v>420.45.40.000-6600.29</v>
          </cell>
          <cell r="B5776" t="str">
            <v>420</v>
          </cell>
          <cell r="C5776" t="str">
            <v>45</v>
          </cell>
          <cell r="D5776" t="str">
            <v>40</v>
          </cell>
          <cell r="E5776" t="str">
            <v>000</v>
          </cell>
          <cell r="F5776" t="str">
            <v>6600.29</v>
          </cell>
          <cell r="G5776" t="str">
            <v>Administrative Expenses Administration &amp; Planning</v>
          </cell>
          <cell r="H5776">
            <v>0</v>
          </cell>
          <cell r="I5776">
            <v>0</v>
          </cell>
          <cell r="J5776">
            <v>0</v>
          </cell>
          <cell r="K5776">
            <v>0</v>
          </cell>
          <cell r="L5776">
            <v>0</v>
          </cell>
          <cell r="M5776">
            <v>0</v>
          </cell>
          <cell r="N5776">
            <v>0</v>
          </cell>
          <cell r="O5776" t="str">
            <v>+++</v>
          </cell>
        </row>
        <row r="5777">
          <cell r="A5777" t="str">
            <v>420.45.40.000-6600.30</v>
          </cell>
          <cell r="B5777" t="str">
            <v>420</v>
          </cell>
          <cell r="C5777" t="str">
            <v>45</v>
          </cell>
          <cell r="D5777" t="str">
            <v>40</v>
          </cell>
          <cell r="E5777" t="str">
            <v>000</v>
          </cell>
          <cell r="F5777" t="str">
            <v>6600.30</v>
          </cell>
          <cell r="G5777" t="str">
            <v>Administrative Expenses Other Expenses</v>
          </cell>
          <cell r="H5777">
            <v>0</v>
          </cell>
          <cell r="I5777">
            <v>0</v>
          </cell>
          <cell r="J5777">
            <v>0</v>
          </cell>
          <cell r="K5777">
            <v>0</v>
          </cell>
          <cell r="L5777">
            <v>0</v>
          </cell>
          <cell r="M5777">
            <v>0</v>
          </cell>
          <cell r="N5777">
            <v>0</v>
          </cell>
          <cell r="O5777" t="str">
            <v>+++</v>
          </cell>
        </row>
        <row r="5778">
          <cell r="A5778" t="str">
            <v>420.45.40.000-7000.03</v>
          </cell>
          <cell r="B5778" t="str">
            <v>420</v>
          </cell>
          <cell r="C5778" t="str">
            <v>45</v>
          </cell>
          <cell r="D5778" t="str">
            <v>40</v>
          </cell>
          <cell r="E5778" t="str">
            <v>000</v>
          </cell>
          <cell r="F5778" t="str">
            <v>7000.03</v>
          </cell>
          <cell r="G5778" t="str">
            <v>Capital Outlay Operations Equip-Minor</v>
          </cell>
          <cell r="H5778">
            <v>0</v>
          </cell>
          <cell r="I5778">
            <v>0</v>
          </cell>
          <cell r="J5778">
            <v>0</v>
          </cell>
          <cell r="K5778">
            <v>0</v>
          </cell>
          <cell r="L5778">
            <v>0</v>
          </cell>
          <cell r="M5778">
            <v>0</v>
          </cell>
          <cell r="N5778">
            <v>0</v>
          </cell>
          <cell r="O5778" t="str">
            <v>+++</v>
          </cell>
        </row>
        <row r="5779">
          <cell r="A5779" t="str">
            <v>420.45.40.000-7000.04</v>
          </cell>
          <cell r="B5779" t="str">
            <v>420</v>
          </cell>
          <cell r="C5779" t="str">
            <v>45</v>
          </cell>
          <cell r="D5779" t="str">
            <v>40</v>
          </cell>
          <cell r="E5779" t="str">
            <v>000</v>
          </cell>
          <cell r="F5779" t="str">
            <v>7000.04</v>
          </cell>
          <cell r="G5779" t="str">
            <v>Capital Outlay Operations Equipment-Major</v>
          </cell>
          <cell r="H5779">
            <v>0</v>
          </cell>
          <cell r="I5779">
            <v>0</v>
          </cell>
          <cell r="J5779">
            <v>0</v>
          </cell>
          <cell r="K5779">
            <v>0</v>
          </cell>
          <cell r="L5779">
            <v>0</v>
          </cell>
          <cell r="M5779">
            <v>0</v>
          </cell>
          <cell r="N5779">
            <v>0</v>
          </cell>
          <cell r="O5779" t="str">
            <v>+++</v>
          </cell>
        </row>
        <row r="5780">
          <cell r="A5780" t="str">
            <v>420.45.40.000-7000.07</v>
          </cell>
          <cell r="B5780" t="str">
            <v>420</v>
          </cell>
          <cell r="C5780" t="str">
            <v>45</v>
          </cell>
          <cell r="D5780" t="str">
            <v>40</v>
          </cell>
          <cell r="E5780" t="str">
            <v>000</v>
          </cell>
          <cell r="F5780" t="str">
            <v>7000.07</v>
          </cell>
          <cell r="G5780" t="str">
            <v>Capital Outlay Computer Hardware</v>
          </cell>
          <cell r="H5780">
            <v>0</v>
          </cell>
          <cell r="I5780">
            <v>0</v>
          </cell>
          <cell r="J5780">
            <v>0</v>
          </cell>
          <cell r="K5780">
            <v>0</v>
          </cell>
          <cell r="L5780">
            <v>0</v>
          </cell>
          <cell r="M5780">
            <v>0</v>
          </cell>
          <cell r="N5780">
            <v>0</v>
          </cell>
          <cell r="O5780" t="str">
            <v>+++</v>
          </cell>
        </row>
        <row r="5781">
          <cell r="A5781" t="str">
            <v>420.45.40.000-7000.08</v>
          </cell>
          <cell r="B5781" t="str">
            <v>420</v>
          </cell>
          <cell r="C5781" t="str">
            <v>45</v>
          </cell>
          <cell r="D5781" t="str">
            <v>40</v>
          </cell>
          <cell r="E5781" t="str">
            <v>000</v>
          </cell>
          <cell r="F5781" t="str">
            <v>7000.08</v>
          </cell>
          <cell r="G5781" t="str">
            <v>Capital Outlay Computer Software</v>
          </cell>
          <cell r="H5781">
            <v>0</v>
          </cell>
          <cell r="I5781">
            <v>0</v>
          </cell>
          <cell r="J5781">
            <v>0</v>
          </cell>
          <cell r="K5781">
            <v>0</v>
          </cell>
          <cell r="L5781">
            <v>0</v>
          </cell>
          <cell r="M5781">
            <v>0</v>
          </cell>
          <cell r="N5781">
            <v>0</v>
          </cell>
          <cell r="O5781" t="str">
            <v>+++</v>
          </cell>
        </row>
        <row r="5782">
          <cell r="A5782" t="str">
            <v>420.45.40.000-7000.12</v>
          </cell>
          <cell r="B5782" t="str">
            <v>420</v>
          </cell>
          <cell r="C5782" t="str">
            <v>45</v>
          </cell>
          <cell r="D5782" t="str">
            <v>40</v>
          </cell>
          <cell r="E5782" t="str">
            <v>000</v>
          </cell>
          <cell r="F5782" t="str">
            <v>7000.12</v>
          </cell>
          <cell r="G5782" t="str">
            <v>Capital Outlay Furniture</v>
          </cell>
          <cell r="H5782">
            <v>0</v>
          </cell>
          <cell r="I5782">
            <v>0</v>
          </cell>
          <cell r="J5782">
            <v>0</v>
          </cell>
          <cell r="K5782">
            <v>0</v>
          </cell>
          <cell r="L5782">
            <v>0</v>
          </cell>
          <cell r="M5782">
            <v>0</v>
          </cell>
          <cell r="N5782">
            <v>0</v>
          </cell>
          <cell r="O5782" t="str">
            <v>+++</v>
          </cell>
        </row>
        <row r="5783">
          <cell r="A5783" t="str">
            <v>420.45.40.000-7000.99</v>
          </cell>
          <cell r="B5783" t="str">
            <v>420</v>
          </cell>
          <cell r="C5783" t="str">
            <v>45</v>
          </cell>
          <cell r="D5783" t="str">
            <v>40</v>
          </cell>
          <cell r="E5783" t="str">
            <v>000</v>
          </cell>
          <cell r="F5783" t="str">
            <v>7000.99</v>
          </cell>
          <cell r="G5783" t="str">
            <v>Capital Outlay General</v>
          </cell>
          <cell r="H5783">
            <v>0</v>
          </cell>
          <cell r="I5783">
            <v>0</v>
          </cell>
          <cell r="J5783">
            <v>0</v>
          </cell>
          <cell r="K5783">
            <v>0</v>
          </cell>
          <cell r="L5783">
            <v>0</v>
          </cell>
          <cell r="M5783">
            <v>0</v>
          </cell>
          <cell r="N5783">
            <v>0</v>
          </cell>
          <cell r="O5783" t="str">
            <v>+++</v>
          </cell>
        </row>
        <row r="5784">
          <cell r="A5784" t="str">
            <v>420.45.41.000-5000.01</v>
          </cell>
          <cell r="B5784" t="str">
            <v>420</v>
          </cell>
          <cell r="C5784" t="str">
            <v>45</v>
          </cell>
          <cell r="D5784" t="str">
            <v>41</v>
          </cell>
          <cell r="E5784" t="str">
            <v>000</v>
          </cell>
          <cell r="F5784" t="str">
            <v>5000.01</v>
          </cell>
          <cell r="G5784" t="str">
            <v>Salaries Regular</v>
          </cell>
          <cell r="H5784">
            <v>0</v>
          </cell>
          <cell r="I5784">
            <v>0</v>
          </cell>
          <cell r="J5784">
            <v>0</v>
          </cell>
          <cell r="K5784">
            <v>0</v>
          </cell>
          <cell r="L5784">
            <v>0</v>
          </cell>
          <cell r="M5784">
            <v>0</v>
          </cell>
          <cell r="N5784">
            <v>0</v>
          </cell>
          <cell r="O5784" t="str">
            <v>+++</v>
          </cell>
        </row>
        <row r="5785">
          <cell r="A5785" t="str">
            <v>420.45.41.000-5000.02</v>
          </cell>
          <cell r="B5785" t="str">
            <v>420</v>
          </cell>
          <cell r="C5785" t="str">
            <v>45</v>
          </cell>
          <cell r="D5785" t="str">
            <v>41</v>
          </cell>
          <cell r="E5785" t="str">
            <v>000</v>
          </cell>
          <cell r="F5785" t="str">
            <v>5000.02</v>
          </cell>
          <cell r="G5785" t="str">
            <v>Salaries Part Time</v>
          </cell>
          <cell r="H5785">
            <v>0</v>
          </cell>
          <cell r="I5785">
            <v>0</v>
          </cell>
          <cell r="J5785">
            <v>0</v>
          </cell>
          <cell r="K5785">
            <v>0</v>
          </cell>
          <cell r="L5785">
            <v>0</v>
          </cell>
          <cell r="M5785">
            <v>0</v>
          </cell>
          <cell r="N5785">
            <v>0</v>
          </cell>
          <cell r="O5785" t="str">
            <v>+++</v>
          </cell>
        </row>
        <row r="5786">
          <cell r="A5786" t="str">
            <v>420.45.41.000-5000.03</v>
          </cell>
          <cell r="B5786" t="str">
            <v>420</v>
          </cell>
          <cell r="C5786" t="str">
            <v>45</v>
          </cell>
          <cell r="D5786" t="str">
            <v>41</v>
          </cell>
          <cell r="E5786" t="str">
            <v>000</v>
          </cell>
          <cell r="F5786" t="str">
            <v>5000.03</v>
          </cell>
          <cell r="G5786" t="str">
            <v>Salaries Overtime</v>
          </cell>
          <cell r="H5786">
            <v>0</v>
          </cell>
          <cell r="I5786">
            <v>0</v>
          </cell>
          <cell r="J5786">
            <v>0</v>
          </cell>
          <cell r="K5786">
            <v>0</v>
          </cell>
          <cell r="L5786">
            <v>0</v>
          </cell>
          <cell r="M5786">
            <v>0</v>
          </cell>
          <cell r="N5786">
            <v>0</v>
          </cell>
          <cell r="O5786" t="str">
            <v>+++</v>
          </cell>
        </row>
        <row r="5787">
          <cell r="A5787" t="str">
            <v>420.45.41.000-5000.04</v>
          </cell>
          <cell r="B5787" t="str">
            <v>420</v>
          </cell>
          <cell r="C5787" t="str">
            <v>45</v>
          </cell>
          <cell r="D5787" t="str">
            <v>41</v>
          </cell>
          <cell r="E5787" t="str">
            <v>000</v>
          </cell>
          <cell r="F5787" t="str">
            <v>5000.04</v>
          </cell>
          <cell r="G5787" t="str">
            <v>Salaries Holiday Pay</v>
          </cell>
          <cell r="H5787">
            <v>0</v>
          </cell>
          <cell r="I5787">
            <v>0</v>
          </cell>
          <cell r="J5787">
            <v>0</v>
          </cell>
          <cell r="K5787">
            <v>0</v>
          </cell>
          <cell r="L5787">
            <v>0</v>
          </cell>
          <cell r="M5787">
            <v>0</v>
          </cell>
          <cell r="N5787">
            <v>0</v>
          </cell>
          <cell r="O5787" t="str">
            <v>+++</v>
          </cell>
        </row>
        <row r="5788">
          <cell r="A5788" t="str">
            <v>420.45.41.000-5000.06</v>
          </cell>
          <cell r="B5788" t="str">
            <v>420</v>
          </cell>
          <cell r="C5788" t="str">
            <v>45</v>
          </cell>
          <cell r="D5788" t="str">
            <v>41</v>
          </cell>
          <cell r="E5788" t="str">
            <v>000</v>
          </cell>
          <cell r="F5788" t="str">
            <v>5000.06</v>
          </cell>
          <cell r="G5788" t="str">
            <v>Salaries Out of Class</v>
          </cell>
          <cell r="H5788">
            <v>0</v>
          </cell>
          <cell r="I5788">
            <v>0</v>
          </cell>
          <cell r="J5788">
            <v>0</v>
          </cell>
          <cell r="K5788">
            <v>0</v>
          </cell>
          <cell r="L5788">
            <v>0</v>
          </cell>
          <cell r="M5788">
            <v>0</v>
          </cell>
          <cell r="N5788">
            <v>0</v>
          </cell>
          <cell r="O5788" t="str">
            <v>+++</v>
          </cell>
        </row>
        <row r="5789">
          <cell r="A5789" t="str">
            <v>420.45.41.000-5000.07</v>
          </cell>
          <cell r="B5789" t="str">
            <v>420</v>
          </cell>
          <cell r="C5789" t="str">
            <v>45</v>
          </cell>
          <cell r="D5789" t="str">
            <v>41</v>
          </cell>
          <cell r="E5789" t="str">
            <v>000</v>
          </cell>
          <cell r="F5789" t="str">
            <v>5000.07</v>
          </cell>
          <cell r="G5789" t="str">
            <v>Salaries Admin Leave Pay</v>
          </cell>
          <cell r="H5789">
            <v>0</v>
          </cell>
          <cell r="I5789">
            <v>0</v>
          </cell>
          <cell r="J5789">
            <v>0</v>
          </cell>
          <cell r="K5789">
            <v>0</v>
          </cell>
          <cell r="L5789">
            <v>0</v>
          </cell>
          <cell r="M5789">
            <v>0</v>
          </cell>
          <cell r="N5789">
            <v>0</v>
          </cell>
          <cell r="O5789" t="str">
            <v>+++</v>
          </cell>
        </row>
        <row r="5790">
          <cell r="A5790" t="str">
            <v>420.45.41.000-5000.08</v>
          </cell>
          <cell r="B5790" t="str">
            <v>420</v>
          </cell>
          <cell r="C5790" t="str">
            <v>45</v>
          </cell>
          <cell r="D5790" t="str">
            <v>41</v>
          </cell>
          <cell r="E5790" t="str">
            <v>000</v>
          </cell>
          <cell r="F5790" t="str">
            <v>5000.08</v>
          </cell>
          <cell r="G5790" t="str">
            <v>Salaries Longevity Pay</v>
          </cell>
          <cell r="H5790">
            <v>0</v>
          </cell>
          <cell r="I5790">
            <v>0</v>
          </cell>
          <cell r="J5790">
            <v>0</v>
          </cell>
          <cell r="K5790">
            <v>0</v>
          </cell>
          <cell r="L5790">
            <v>0</v>
          </cell>
          <cell r="M5790">
            <v>0</v>
          </cell>
          <cell r="N5790">
            <v>0</v>
          </cell>
          <cell r="O5790" t="str">
            <v>+++</v>
          </cell>
        </row>
        <row r="5791">
          <cell r="A5791" t="str">
            <v>420.45.41.000-5000.11</v>
          </cell>
          <cell r="B5791" t="str">
            <v>420</v>
          </cell>
          <cell r="C5791" t="str">
            <v>45</v>
          </cell>
          <cell r="D5791" t="str">
            <v>41</v>
          </cell>
          <cell r="E5791" t="str">
            <v>000</v>
          </cell>
          <cell r="F5791" t="str">
            <v>5000.11</v>
          </cell>
          <cell r="G5791" t="str">
            <v>Salaries Worker's Comp</v>
          </cell>
          <cell r="H5791">
            <v>0</v>
          </cell>
          <cell r="I5791">
            <v>0</v>
          </cell>
          <cell r="J5791">
            <v>0</v>
          </cell>
          <cell r="K5791">
            <v>0</v>
          </cell>
          <cell r="L5791">
            <v>0</v>
          </cell>
          <cell r="M5791">
            <v>0</v>
          </cell>
          <cell r="N5791">
            <v>0</v>
          </cell>
          <cell r="O5791" t="str">
            <v>+++</v>
          </cell>
        </row>
        <row r="5792">
          <cell r="A5792" t="str">
            <v>420.45.41.000-5000.99</v>
          </cell>
          <cell r="B5792" t="str">
            <v>420</v>
          </cell>
          <cell r="C5792" t="str">
            <v>45</v>
          </cell>
          <cell r="D5792" t="str">
            <v>41</v>
          </cell>
          <cell r="E5792" t="str">
            <v>000</v>
          </cell>
          <cell r="F5792" t="str">
            <v>5000.99</v>
          </cell>
          <cell r="G5792" t="str">
            <v>Salaries New Personnel Requests</v>
          </cell>
          <cell r="H5792">
            <v>0</v>
          </cell>
          <cell r="I5792">
            <v>0</v>
          </cell>
          <cell r="J5792">
            <v>0</v>
          </cell>
          <cell r="K5792">
            <v>0</v>
          </cell>
          <cell r="L5792">
            <v>0</v>
          </cell>
          <cell r="M5792">
            <v>0</v>
          </cell>
          <cell r="N5792">
            <v>0</v>
          </cell>
          <cell r="O5792" t="str">
            <v>+++</v>
          </cell>
        </row>
        <row r="5793">
          <cell r="A5793" t="str">
            <v>420.45.41.000-5100.00</v>
          </cell>
          <cell r="B5793" t="str">
            <v>420</v>
          </cell>
          <cell r="C5793" t="str">
            <v>45</v>
          </cell>
          <cell r="D5793" t="str">
            <v>41</v>
          </cell>
          <cell r="E5793" t="str">
            <v>000</v>
          </cell>
          <cell r="F5793" t="str">
            <v>5100.00</v>
          </cell>
          <cell r="G5793" t="str">
            <v>Benefits PERS Pool Liability</v>
          </cell>
          <cell r="H5793">
            <v>0</v>
          </cell>
          <cell r="I5793">
            <v>0</v>
          </cell>
          <cell r="J5793">
            <v>0</v>
          </cell>
          <cell r="K5793">
            <v>0</v>
          </cell>
          <cell r="L5793">
            <v>0</v>
          </cell>
          <cell r="M5793">
            <v>0</v>
          </cell>
          <cell r="N5793">
            <v>0</v>
          </cell>
          <cell r="O5793" t="str">
            <v>+++</v>
          </cell>
        </row>
        <row r="5794">
          <cell r="A5794" t="str">
            <v>420.45.41.000-5100.01</v>
          </cell>
          <cell r="B5794" t="str">
            <v>420</v>
          </cell>
          <cell r="C5794" t="str">
            <v>45</v>
          </cell>
          <cell r="D5794" t="str">
            <v>41</v>
          </cell>
          <cell r="E5794" t="str">
            <v>000</v>
          </cell>
          <cell r="F5794" t="str">
            <v>5100.01</v>
          </cell>
          <cell r="G5794" t="str">
            <v>Benefits Retirement</v>
          </cell>
          <cell r="H5794">
            <v>0</v>
          </cell>
          <cell r="I5794">
            <v>0</v>
          </cell>
          <cell r="J5794">
            <v>0</v>
          </cell>
          <cell r="K5794">
            <v>0</v>
          </cell>
          <cell r="L5794">
            <v>0</v>
          </cell>
          <cell r="M5794">
            <v>0</v>
          </cell>
          <cell r="N5794">
            <v>0</v>
          </cell>
          <cell r="O5794" t="str">
            <v>+++</v>
          </cell>
        </row>
        <row r="5795">
          <cell r="A5795" t="str">
            <v>420.45.41.000-5100.02</v>
          </cell>
          <cell r="B5795" t="str">
            <v>420</v>
          </cell>
          <cell r="C5795" t="str">
            <v>45</v>
          </cell>
          <cell r="D5795" t="str">
            <v>41</v>
          </cell>
          <cell r="E5795" t="str">
            <v>000</v>
          </cell>
          <cell r="F5795" t="str">
            <v>5100.02</v>
          </cell>
          <cell r="G5795" t="str">
            <v>Benefits Health Insurance</v>
          </cell>
          <cell r="H5795">
            <v>0</v>
          </cell>
          <cell r="I5795">
            <v>0</v>
          </cell>
          <cell r="J5795">
            <v>0</v>
          </cell>
          <cell r="K5795">
            <v>0</v>
          </cell>
          <cell r="L5795">
            <v>0</v>
          </cell>
          <cell r="M5795">
            <v>0</v>
          </cell>
          <cell r="N5795">
            <v>0</v>
          </cell>
          <cell r="O5795" t="str">
            <v>+++</v>
          </cell>
        </row>
        <row r="5796">
          <cell r="A5796" t="str">
            <v>420.45.41.000-5100.03</v>
          </cell>
          <cell r="B5796" t="str">
            <v>420</v>
          </cell>
          <cell r="C5796" t="str">
            <v>45</v>
          </cell>
          <cell r="D5796" t="str">
            <v>41</v>
          </cell>
          <cell r="E5796" t="str">
            <v>000</v>
          </cell>
          <cell r="F5796" t="str">
            <v>5100.03</v>
          </cell>
          <cell r="G5796" t="str">
            <v>Benefits Dental Insurance</v>
          </cell>
          <cell r="H5796">
            <v>0</v>
          </cell>
          <cell r="I5796">
            <v>0</v>
          </cell>
          <cell r="J5796">
            <v>0</v>
          </cell>
          <cell r="K5796">
            <v>0</v>
          </cell>
          <cell r="L5796">
            <v>0</v>
          </cell>
          <cell r="M5796">
            <v>0</v>
          </cell>
          <cell r="N5796">
            <v>0</v>
          </cell>
          <cell r="O5796" t="str">
            <v>+++</v>
          </cell>
        </row>
        <row r="5797">
          <cell r="A5797" t="str">
            <v>420.45.41.000-5100.04</v>
          </cell>
          <cell r="B5797" t="str">
            <v>420</v>
          </cell>
          <cell r="C5797" t="str">
            <v>45</v>
          </cell>
          <cell r="D5797" t="str">
            <v>41</v>
          </cell>
          <cell r="E5797" t="str">
            <v>000</v>
          </cell>
          <cell r="F5797" t="str">
            <v>5100.04</v>
          </cell>
          <cell r="G5797" t="str">
            <v>Benefits Vision Insurance</v>
          </cell>
          <cell r="H5797">
            <v>0</v>
          </cell>
          <cell r="I5797">
            <v>0</v>
          </cell>
          <cell r="J5797">
            <v>0</v>
          </cell>
          <cell r="K5797">
            <v>0</v>
          </cell>
          <cell r="L5797">
            <v>0</v>
          </cell>
          <cell r="M5797">
            <v>0</v>
          </cell>
          <cell r="N5797">
            <v>0</v>
          </cell>
          <cell r="O5797" t="str">
            <v>+++</v>
          </cell>
        </row>
        <row r="5798">
          <cell r="A5798" t="str">
            <v>420.45.41.000-5100.05</v>
          </cell>
          <cell r="B5798" t="str">
            <v>420</v>
          </cell>
          <cell r="C5798" t="str">
            <v>45</v>
          </cell>
          <cell r="D5798" t="str">
            <v>41</v>
          </cell>
          <cell r="E5798" t="str">
            <v>000</v>
          </cell>
          <cell r="F5798" t="str">
            <v>5100.05</v>
          </cell>
          <cell r="G5798" t="str">
            <v>Benefits Life Insurance</v>
          </cell>
          <cell r="H5798">
            <v>0</v>
          </cell>
          <cell r="I5798">
            <v>0</v>
          </cell>
          <cell r="J5798">
            <v>0</v>
          </cell>
          <cell r="K5798">
            <v>0</v>
          </cell>
          <cell r="L5798">
            <v>0</v>
          </cell>
          <cell r="M5798">
            <v>0</v>
          </cell>
          <cell r="N5798">
            <v>0</v>
          </cell>
          <cell r="O5798" t="str">
            <v>+++</v>
          </cell>
        </row>
        <row r="5799">
          <cell r="A5799" t="str">
            <v>420.45.41.000-5100.06</v>
          </cell>
          <cell r="B5799" t="str">
            <v>420</v>
          </cell>
          <cell r="C5799" t="str">
            <v>45</v>
          </cell>
          <cell r="D5799" t="str">
            <v>41</v>
          </cell>
          <cell r="E5799" t="str">
            <v>000</v>
          </cell>
          <cell r="F5799" t="str">
            <v>5100.06</v>
          </cell>
          <cell r="G5799" t="str">
            <v>Benefits Worker's Comp</v>
          </cell>
          <cell r="H5799">
            <v>0</v>
          </cell>
          <cell r="I5799">
            <v>0</v>
          </cell>
          <cell r="J5799">
            <v>0</v>
          </cell>
          <cell r="K5799">
            <v>0</v>
          </cell>
          <cell r="L5799">
            <v>0</v>
          </cell>
          <cell r="M5799">
            <v>0</v>
          </cell>
          <cell r="N5799">
            <v>0</v>
          </cell>
          <cell r="O5799" t="str">
            <v>+++</v>
          </cell>
        </row>
        <row r="5800">
          <cell r="A5800" t="str">
            <v>420.45.41.000-5100.07</v>
          </cell>
          <cell r="B5800" t="str">
            <v>420</v>
          </cell>
          <cell r="C5800" t="str">
            <v>45</v>
          </cell>
          <cell r="D5800" t="str">
            <v>41</v>
          </cell>
          <cell r="E5800" t="str">
            <v>000</v>
          </cell>
          <cell r="F5800" t="str">
            <v>5100.07</v>
          </cell>
          <cell r="G5800" t="str">
            <v>Benefits Long Term Disability</v>
          </cell>
          <cell r="H5800">
            <v>0</v>
          </cell>
          <cell r="I5800">
            <v>0</v>
          </cell>
          <cell r="J5800">
            <v>0</v>
          </cell>
          <cell r="K5800">
            <v>0</v>
          </cell>
          <cell r="L5800">
            <v>0</v>
          </cell>
          <cell r="M5800">
            <v>0</v>
          </cell>
          <cell r="N5800">
            <v>0</v>
          </cell>
          <cell r="O5800" t="str">
            <v>+++</v>
          </cell>
        </row>
        <row r="5801">
          <cell r="A5801" t="str">
            <v>420.45.41.000-5100.08</v>
          </cell>
          <cell r="B5801" t="str">
            <v>420</v>
          </cell>
          <cell r="C5801" t="str">
            <v>45</v>
          </cell>
          <cell r="D5801" t="str">
            <v>41</v>
          </cell>
          <cell r="E5801" t="str">
            <v>000</v>
          </cell>
          <cell r="F5801" t="str">
            <v>5100.08</v>
          </cell>
          <cell r="G5801" t="str">
            <v>Benefits Deferred Compensation</v>
          </cell>
          <cell r="H5801">
            <v>0</v>
          </cell>
          <cell r="I5801">
            <v>0</v>
          </cell>
          <cell r="J5801">
            <v>0</v>
          </cell>
          <cell r="K5801">
            <v>0</v>
          </cell>
          <cell r="L5801">
            <v>0</v>
          </cell>
          <cell r="M5801">
            <v>0</v>
          </cell>
          <cell r="N5801">
            <v>0</v>
          </cell>
          <cell r="O5801" t="str">
            <v>+++</v>
          </cell>
        </row>
        <row r="5802">
          <cell r="A5802" t="str">
            <v>420.45.41.000-5100.09</v>
          </cell>
          <cell r="B5802" t="str">
            <v>420</v>
          </cell>
          <cell r="C5802" t="str">
            <v>45</v>
          </cell>
          <cell r="D5802" t="str">
            <v>41</v>
          </cell>
          <cell r="E5802" t="str">
            <v>000</v>
          </cell>
          <cell r="F5802" t="str">
            <v>5100.09</v>
          </cell>
          <cell r="G5802" t="str">
            <v>Benefits Unemployment Insurance</v>
          </cell>
          <cell r="H5802">
            <v>0</v>
          </cell>
          <cell r="I5802">
            <v>0</v>
          </cell>
          <cell r="J5802">
            <v>0</v>
          </cell>
          <cell r="K5802">
            <v>0</v>
          </cell>
          <cell r="L5802">
            <v>0</v>
          </cell>
          <cell r="M5802">
            <v>0</v>
          </cell>
          <cell r="N5802">
            <v>0</v>
          </cell>
          <cell r="O5802" t="str">
            <v>+++</v>
          </cell>
        </row>
        <row r="5803">
          <cell r="A5803" t="str">
            <v>420.45.41.000-5100.11</v>
          </cell>
          <cell r="B5803" t="str">
            <v>420</v>
          </cell>
          <cell r="C5803" t="str">
            <v>45</v>
          </cell>
          <cell r="D5803" t="str">
            <v>41</v>
          </cell>
          <cell r="E5803" t="str">
            <v>000</v>
          </cell>
          <cell r="F5803" t="str">
            <v>5100.11</v>
          </cell>
          <cell r="G5803" t="str">
            <v>Benefits Medicare</v>
          </cell>
          <cell r="H5803">
            <v>0</v>
          </cell>
          <cell r="I5803">
            <v>0</v>
          </cell>
          <cell r="J5803">
            <v>0</v>
          </cell>
          <cell r="K5803">
            <v>0</v>
          </cell>
          <cell r="L5803">
            <v>0</v>
          </cell>
          <cell r="M5803">
            <v>0</v>
          </cell>
          <cell r="N5803">
            <v>0</v>
          </cell>
          <cell r="O5803" t="str">
            <v>+++</v>
          </cell>
        </row>
        <row r="5804">
          <cell r="A5804" t="str">
            <v>420.45.41.000-5100.15</v>
          </cell>
          <cell r="B5804" t="str">
            <v>420</v>
          </cell>
          <cell r="C5804" t="str">
            <v>45</v>
          </cell>
          <cell r="D5804" t="str">
            <v>41</v>
          </cell>
          <cell r="E5804" t="str">
            <v>000</v>
          </cell>
          <cell r="F5804" t="str">
            <v>5100.15</v>
          </cell>
          <cell r="G5804" t="str">
            <v>Benefits Cell Phone Allowance</v>
          </cell>
          <cell r="H5804">
            <v>0</v>
          </cell>
          <cell r="I5804">
            <v>0</v>
          </cell>
          <cell r="J5804">
            <v>0</v>
          </cell>
          <cell r="K5804">
            <v>0</v>
          </cell>
          <cell r="L5804">
            <v>0</v>
          </cell>
          <cell r="M5804">
            <v>0</v>
          </cell>
          <cell r="N5804">
            <v>0</v>
          </cell>
          <cell r="O5804" t="str">
            <v>+++</v>
          </cell>
        </row>
        <row r="5805">
          <cell r="A5805" t="str">
            <v>420.45.41.000-5100.17</v>
          </cell>
          <cell r="B5805" t="str">
            <v>420</v>
          </cell>
          <cell r="C5805" t="str">
            <v>45</v>
          </cell>
          <cell r="D5805" t="str">
            <v>41</v>
          </cell>
          <cell r="E5805" t="str">
            <v>000</v>
          </cell>
          <cell r="F5805" t="str">
            <v>5100.17</v>
          </cell>
          <cell r="G5805" t="str">
            <v>Benefits Other Post Employment Benefits</v>
          </cell>
          <cell r="H5805">
            <v>0</v>
          </cell>
          <cell r="I5805">
            <v>0</v>
          </cell>
          <cell r="J5805">
            <v>0</v>
          </cell>
          <cell r="K5805">
            <v>0</v>
          </cell>
          <cell r="L5805">
            <v>0</v>
          </cell>
          <cell r="M5805">
            <v>0</v>
          </cell>
          <cell r="N5805">
            <v>0</v>
          </cell>
          <cell r="O5805" t="str">
            <v>+++</v>
          </cell>
        </row>
        <row r="5806">
          <cell r="A5806" t="str">
            <v>420.45.41.000-6000.01</v>
          </cell>
          <cell r="B5806" t="str">
            <v>420</v>
          </cell>
          <cell r="C5806" t="str">
            <v>45</v>
          </cell>
          <cell r="D5806" t="str">
            <v>41</v>
          </cell>
          <cell r="E5806" t="str">
            <v>000</v>
          </cell>
          <cell r="F5806" t="str">
            <v>6000.01</v>
          </cell>
          <cell r="G5806" t="str">
            <v>Professional Services General</v>
          </cell>
          <cell r="H5806">
            <v>0</v>
          </cell>
          <cell r="I5806">
            <v>0</v>
          </cell>
          <cell r="J5806">
            <v>0</v>
          </cell>
          <cell r="K5806">
            <v>0</v>
          </cell>
          <cell r="L5806">
            <v>0</v>
          </cell>
          <cell r="M5806">
            <v>0</v>
          </cell>
          <cell r="N5806">
            <v>0</v>
          </cell>
          <cell r="O5806" t="str">
            <v>+++</v>
          </cell>
        </row>
        <row r="5807">
          <cell r="A5807" t="str">
            <v>420.45.41.000-6000.10</v>
          </cell>
          <cell r="B5807" t="str">
            <v>420</v>
          </cell>
          <cell r="C5807" t="str">
            <v>45</v>
          </cell>
          <cell r="D5807" t="str">
            <v>41</v>
          </cell>
          <cell r="E5807" t="str">
            <v>000</v>
          </cell>
          <cell r="F5807" t="str">
            <v>6000.10</v>
          </cell>
          <cell r="G5807" t="str">
            <v>Professional Services Consultant</v>
          </cell>
          <cell r="H5807">
            <v>0</v>
          </cell>
          <cell r="I5807">
            <v>0</v>
          </cell>
          <cell r="J5807">
            <v>0</v>
          </cell>
          <cell r="K5807">
            <v>0</v>
          </cell>
          <cell r="L5807">
            <v>0</v>
          </cell>
          <cell r="M5807">
            <v>0</v>
          </cell>
          <cell r="N5807">
            <v>0</v>
          </cell>
          <cell r="O5807" t="str">
            <v>+++</v>
          </cell>
        </row>
        <row r="5808">
          <cell r="A5808" t="str">
            <v>420.45.41.000-6000.12</v>
          </cell>
          <cell r="B5808" t="str">
            <v>420</v>
          </cell>
          <cell r="C5808" t="str">
            <v>45</v>
          </cell>
          <cell r="D5808" t="str">
            <v>41</v>
          </cell>
          <cell r="E5808" t="str">
            <v>000</v>
          </cell>
          <cell r="F5808" t="str">
            <v>6000.12</v>
          </cell>
          <cell r="G5808" t="str">
            <v>Professional Services Contract Services</v>
          </cell>
          <cell r="H5808">
            <v>0</v>
          </cell>
          <cell r="I5808">
            <v>0</v>
          </cell>
          <cell r="J5808">
            <v>0</v>
          </cell>
          <cell r="K5808">
            <v>0</v>
          </cell>
          <cell r="L5808">
            <v>0</v>
          </cell>
          <cell r="M5808">
            <v>0</v>
          </cell>
          <cell r="N5808">
            <v>0</v>
          </cell>
          <cell r="O5808" t="str">
            <v>+++</v>
          </cell>
        </row>
        <row r="5809">
          <cell r="A5809" t="str">
            <v>420.45.41.000-6000.13</v>
          </cell>
          <cell r="B5809" t="str">
            <v>420</v>
          </cell>
          <cell r="C5809" t="str">
            <v>45</v>
          </cell>
          <cell r="D5809" t="str">
            <v>41</v>
          </cell>
          <cell r="E5809" t="str">
            <v>000</v>
          </cell>
          <cell r="F5809" t="str">
            <v>6000.13</v>
          </cell>
          <cell r="G5809" t="str">
            <v>Professional Services Compliance Monitoring</v>
          </cell>
          <cell r="H5809">
            <v>0</v>
          </cell>
          <cell r="I5809">
            <v>0</v>
          </cell>
          <cell r="J5809">
            <v>0</v>
          </cell>
          <cell r="K5809">
            <v>0</v>
          </cell>
          <cell r="L5809">
            <v>0</v>
          </cell>
          <cell r="M5809">
            <v>0</v>
          </cell>
          <cell r="N5809">
            <v>0</v>
          </cell>
          <cell r="O5809" t="str">
            <v>+++</v>
          </cell>
        </row>
        <row r="5810">
          <cell r="A5810" t="str">
            <v>420.45.41.000-6000.14</v>
          </cell>
          <cell r="B5810" t="str">
            <v>420</v>
          </cell>
          <cell r="C5810" t="str">
            <v>45</v>
          </cell>
          <cell r="D5810" t="str">
            <v>41</v>
          </cell>
          <cell r="E5810" t="str">
            <v>000</v>
          </cell>
          <cell r="F5810" t="str">
            <v>6000.14</v>
          </cell>
          <cell r="G5810" t="str">
            <v>Professional Services IW Pre Analysis</v>
          </cell>
          <cell r="H5810">
            <v>0</v>
          </cell>
          <cell r="I5810">
            <v>0</v>
          </cell>
          <cell r="J5810">
            <v>0</v>
          </cell>
          <cell r="K5810">
            <v>0</v>
          </cell>
          <cell r="L5810">
            <v>0</v>
          </cell>
          <cell r="M5810">
            <v>0</v>
          </cell>
          <cell r="N5810">
            <v>0</v>
          </cell>
          <cell r="O5810" t="str">
            <v>+++</v>
          </cell>
        </row>
        <row r="5811">
          <cell r="A5811" t="str">
            <v>420.45.41.000-6000.18</v>
          </cell>
          <cell r="B5811" t="str">
            <v>420</v>
          </cell>
          <cell r="C5811" t="str">
            <v>45</v>
          </cell>
          <cell r="D5811" t="str">
            <v>41</v>
          </cell>
          <cell r="E5811" t="str">
            <v>000</v>
          </cell>
          <cell r="F5811" t="str">
            <v>6000.18</v>
          </cell>
          <cell r="G5811" t="str">
            <v>Professional Services Legal</v>
          </cell>
          <cell r="H5811">
            <v>0</v>
          </cell>
          <cell r="I5811">
            <v>0</v>
          </cell>
          <cell r="J5811">
            <v>0</v>
          </cell>
          <cell r="K5811">
            <v>0</v>
          </cell>
          <cell r="L5811">
            <v>0</v>
          </cell>
          <cell r="M5811">
            <v>0</v>
          </cell>
          <cell r="N5811">
            <v>0</v>
          </cell>
          <cell r="O5811" t="str">
            <v>+++</v>
          </cell>
        </row>
        <row r="5812">
          <cell r="A5812" t="str">
            <v>420.45.41.000-6100.01</v>
          </cell>
          <cell r="B5812" t="str">
            <v>420</v>
          </cell>
          <cell r="C5812" t="str">
            <v>45</v>
          </cell>
          <cell r="D5812" t="str">
            <v>41</v>
          </cell>
          <cell r="E5812" t="str">
            <v>000</v>
          </cell>
          <cell r="F5812" t="str">
            <v>6100.01</v>
          </cell>
          <cell r="G5812" t="str">
            <v>Utilities Electric</v>
          </cell>
          <cell r="H5812">
            <v>0</v>
          </cell>
          <cell r="I5812">
            <v>0</v>
          </cell>
          <cell r="J5812">
            <v>0</v>
          </cell>
          <cell r="K5812">
            <v>0</v>
          </cell>
          <cell r="L5812">
            <v>0</v>
          </cell>
          <cell r="M5812">
            <v>0</v>
          </cell>
          <cell r="N5812">
            <v>0</v>
          </cell>
          <cell r="O5812" t="str">
            <v>+++</v>
          </cell>
        </row>
        <row r="5813">
          <cell r="A5813" t="str">
            <v>420.45.41.000-6100.02</v>
          </cell>
          <cell r="B5813" t="str">
            <v>420</v>
          </cell>
          <cell r="C5813" t="str">
            <v>45</v>
          </cell>
          <cell r="D5813" t="str">
            <v>41</v>
          </cell>
          <cell r="E5813" t="str">
            <v>000</v>
          </cell>
          <cell r="F5813" t="str">
            <v>6100.02</v>
          </cell>
          <cell r="G5813" t="str">
            <v>Utilities Telephone</v>
          </cell>
          <cell r="H5813">
            <v>0</v>
          </cell>
          <cell r="I5813">
            <v>0</v>
          </cell>
          <cell r="J5813">
            <v>0</v>
          </cell>
          <cell r="K5813">
            <v>0</v>
          </cell>
          <cell r="L5813">
            <v>0</v>
          </cell>
          <cell r="M5813">
            <v>0</v>
          </cell>
          <cell r="N5813">
            <v>0</v>
          </cell>
          <cell r="O5813" t="str">
            <v>+++</v>
          </cell>
        </row>
        <row r="5814">
          <cell r="A5814" t="str">
            <v>420.45.41.000-6100.03</v>
          </cell>
          <cell r="B5814" t="str">
            <v>420</v>
          </cell>
          <cell r="C5814" t="str">
            <v>45</v>
          </cell>
          <cell r="D5814" t="str">
            <v>41</v>
          </cell>
          <cell r="E5814" t="str">
            <v>000</v>
          </cell>
          <cell r="F5814" t="str">
            <v>6100.03</v>
          </cell>
          <cell r="G5814" t="str">
            <v>Utilities Data Transmission / ISP</v>
          </cell>
          <cell r="H5814">
            <v>0</v>
          </cell>
          <cell r="I5814">
            <v>0</v>
          </cell>
          <cell r="J5814">
            <v>0</v>
          </cell>
          <cell r="K5814">
            <v>0</v>
          </cell>
          <cell r="L5814">
            <v>0</v>
          </cell>
          <cell r="M5814">
            <v>0</v>
          </cell>
          <cell r="N5814">
            <v>0</v>
          </cell>
          <cell r="O5814" t="str">
            <v>+++</v>
          </cell>
        </row>
        <row r="5815">
          <cell r="A5815" t="str">
            <v>420.45.41.000-6200.01</v>
          </cell>
          <cell r="B5815" t="str">
            <v>420</v>
          </cell>
          <cell r="C5815" t="str">
            <v>45</v>
          </cell>
          <cell r="D5815" t="str">
            <v>41</v>
          </cell>
          <cell r="E5815" t="str">
            <v>000</v>
          </cell>
          <cell r="F5815" t="str">
            <v>6200.01</v>
          </cell>
          <cell r="G5815" t="str">
            <v>Supplies Office</v>
          </cell>
          <cell r="H5815">
            <v>0</v>
          </cell>
          <cell r="I5815">
            <v>0</v>
          </cell>
          <cell r="J5815">
            <v>0</v>
          </cell>
          <cell r="K5815">
            <v>0</v>
          </cell>
          <cell r="L5815">
            <v>0</v>
          </cell>
          <cell r="M5815">
            <v>0</v>
          </cell>
          <cell r="N5815">
            <v>0</v>
          </cell>
          <cell r="O5815" t="str">
            <v>+++</v>
          </cell>
        </row>
        <row r="5816">
          <cell r="A5816" t="str">
            <v>420.45.41.000-6200.02</v>
          </cell>
          <cell r="B5816" t="str">
            <v>420</v>
          </cell>
          <cell r="C5816" t="str">
            <v>45</v>
          </cell>
          <cell r="D5816" t="str">
            <v>41</v>
          </cell>
          <cell r="E5816" t="str">
            <v>000</v>
          </cell>
          <cell r="F5816" t="str">
            <v>6200.02</v>
          </cell>
          <cell r="G5816" t="str">
            <v>Supplies Special Department</v>
          </cell>
          <cell r="H5816">
            <v>0</v>
          </cell>
          <cell r="I5816">
            <v>0</v>
          </cell>
          <cell r="J5816">
            <v>0</v>
          </cell>
          <cell r="K5816">
            <v>0</v>
          </cell>
          <cell r="L5816">
            <v>0</v>
          </cell>
          <cell r="M5816">
            <v>0</v>
          </cell>
          <cell r="N5816">
            <v>0</v>
          </cell>
          <cell r="O5816" t="str">
            <v>+++</v>
          </cell>
        </row>
        <row r="5817">
          <cell r="A5817" t="str">
            <v>420.45.41.000-6200.03</v>
          </cell>
          <cell r="B5817" t="str">
            <v>420</v>
          </cell>
          <cell r="C5817" t="str">
            <v>45</v>
          </cell>
          <cell r="D5817" t="str">
            <v>41</v>
          </cell>
          <cell r="E5817" t="str">
            <v>000</v>
          </cell>
          <cell r="F5817" t="str">
            <v>6200.03</v>
          </cell>
          <cell r="G5817" t="str">
            <v>Supplies Copier Maintenance &amp; Supplies</v>
          </cell>
          <cell r="H5817">
            <v>0</v>
          </cell>
          <cell r="I5817">
            <v>0</v>
          </cell>
          <cell r="J5817">
            <v>0</v>
          </cell>
          <cell r="K5817">
            <v>0</v>
          </cell>
          <cell r="L5817">
            <v>0</v>
          </cell>
          <cell r="M5817">
            <v>0</v>
          </cell>
          <cell r="N5817">
            <v>0</v>
          </cell>
          <cell r="O5817" t="str">
            <v>+++</v>
          </cell>
        </row>
        <row r="5818">
          <cell r="A5818" t="str">
            <v>420.45.41.000-6200.04</v>
          </cell>
          <cell r="B5818" t="str">
            <v>420</v>
          </cell>
          <cell r="C5818" t="str">
            <v>45</v>
          </cell>
          <cell r="D5818" t="str">
            <v>41</v>
          </cell>
          <cell r="E5818" t="str">
            <v>000</v>
          </cell>
          <cell r="F5818" t="str">
            <v>6200.04</v>
          </cell>
          <cell r="G5818" t="str">
            <v>Supplies Postage</v>
          </cell>
          <cell r="H5818">
            <v>0</v>
          </cell>
          <cell r="I5818">
            <v>0</v>
          </cell>
          <cell r="J5818">
            <v>0</v>
          </cell>
          <cell r="K5818">
            <v>0</v>
          </cell>
          <cell r="L5818">
            <v>0</v>
          </cell>
          <cell r="M5818">
            <v>0</v>
          </cell>
          <cell r="N5818">
            <v>0</v>
          </cell>
          <cell r="O5818" t="str">
            <v>+++</v>
          </cell>
        </row>
        <row r="5819">
          <cell r="A5819" t="str">
            <v>420.45.41.000-6200.05</v>
          </cell>
          <cell r="B5819" t="str">
            <v>420</v>
          </cell>
          <cell r="C5819" t="str">
            <v>45</v>
          </cell>
          <cell r="D5819" t="str">
            <v>41</v>
          </cell>
          <cell r="E5819" t="str">
            <v>000</v>
          </cell>
          <cell r="F5819" t="str">
            <v>6200.05</v>
          </cell>
          <cell r="G5819" t="str">
            <v>Supplies Gasoline</v>
          </cell>
          <cell r="H5819">
            <v>0</v>
          </cell>
          <cell r="I5819">
            <v>0</v>
          </cell>
          <cell r="J5819">
            <v>0</v>
          </cell>
          <cell r="K5819">
            <v>0</v>
          </cell>
          <cell r="L5819">
            <v>0</v>
          </cell>
          <cell r="M5819">
            <v>0</v>
          </cell>
          <cell r="N5819">
            <v>0</v>
          </cell>
          <cell r="O5819" t="str">
            <v>+++</v>
          </cell>
        </row>
        <row r="5820">
          <cell r="A5820" t="str">
            <v>420.45.41.000-6200.09</v>
          </cell>
          <cell r="B5820" t="str">
            <v>420</v>
          </cell>
          <cell r="C5820" t="str">
            <v>45</v>
          </cell>
          <cell r="D5820" t="str">
            <v>41</v>
          </cell>
          <cell r="E5820" t="str">
            <v>000</v>
          </cell>
          <cell r="F5820" t="str">
            <v>6200.09</v>
          </cell>
          <cell r="G5820" t="str">
            <v>Supplies Data Processing</v>
          </cell>
          <cell r="H5820">
            <v>0</v>
          </cell>
          <cell r="I5820">
            <v>0</v>
          </cell>
          <cell r="J5820">
            <v>0</v>
          </cell>
          <cell r="K5820">
            <v>0</v>
          </cell>
          <cell r="L5820">
            <v>0</v>
          </cell>
          <cell r="M5820">
            <v>0</v>
          </cell>
          <cell r="N5820">
            <v>0</v>
          </cell>
          <cell r="O5820" t="str">
            <v>+++</v>
          </cell>
        </row>
        <row r="5821">
          <cell r="A5821" t="str">
            <v>420.45.41.000-6300.01</v>
          </cell>
          <cell r="B5821" t="str">
            <v>420</v>
          </cell>
          <cell r="C5821" t="str">
            <v>45</v>
          </cell>
          <cell r="D5821" t="str">
            <v>41</v>
          </cell>
          <cell r="E5821" t="str">
            <v>000</v>
          </cell>
          <cell r="F5821" t="str">
            <v>6300.01</v>
          </cell>
          <cell r="G5821" t="str">
            <v>Dues &amp; Subscriptions Memberships</v>
          </cell>
          <cell r="H5821">
            <v>0</v>
          </cell>
          <cell r="I5821">
            <v>0</v>
          </cell>
          <cell r="J5821">
            <v>0</v>
          </cell>
          <cell r="K5821">
            <v>0</v>
          </cell>
          <cell r="L5821">
            <v>0</v>
          </cell>
          <cell r="M5821">
            <v>0</v>
          </cell>
          <cell r="N5821">
            <v>0</v>
          </cell>
          <cell r="O5821" t="str">
            <v>+++</v>
          </cell>
        </row>
        <row r="5822">
          <cell r="A5822" t="str">
            <v>420.45.41.000-6300.02</v>
          </cell>
          <cell r="B5822" t="str">
            <v>420</v>
          </cell>
          <cell r="C5822" t="str">
            <v>45</v>
          </cell>
          <cell r="D5822" t="str">
            <v>41</v>
          </cell>
          <cell r="E5822" t="str">
            <v>000</v>
          </cell>
          <cell r="F5822" t="str">
            <v>6300.02</v>
          </cell>
          <cell r="G5822" t="str">
            <v>Dues &amp; Subscriptions Publications</v>
          </cell>
          <cell r="H5822">
            <v>0</v>
          </cell>
          <cell r="I5822">
            <v>0</v>
          </cell>
          <cell r="J5822">
            <v>0</v>
          </cell>
          <cell r="K5822">
            <v>0</v>
          </cell>
          <cell r="L5822">
            <v>0</v>
          </cell>
          <cell r="M5822">
            <v>0</v>
          </cell>
          <cell r="N5822">
            <v>0</v>
          </cell>
          <cell r="O5822" t="str">
            <v>+++</v>
          </cell>
        </row>
        <row r="5823">
          <cell r="A5823" t="str">
            <v>420.45.41.000-6300.03</v>
          </cell>
          <cell r="B5823" t="str">
            <v>420</v>
          </cell>
          <cell r="C5823" t="str">
            <v>45</v>
          </cell>
          <cell r="D5823" t="str">
            <v>41</v>
          </cell>
          <cell r="E5823" t="str">
            <v>000</v>
          </cell>
          <cell r="F5823" t="str">
            <v>6300.03</v>
          </cell>
          <cell r="G5823" t="str">
            <v>Dues &amp; Subscriptions Certifications</v>
          </cell>
          <cell r="H5823">
            <v>0</v>
          </cell>
          <cell r="I5823">
            <v>0</v>
          </cell>
          <cell r="J5823">
            <v>0</v>
          </cell>
          <cell r="K5823">
            <v>0</v>
          </cell>
          <cell r="L5823">
            <v>0</v>
          </cell>
          <cell r="M5823">
            <v>0</v>
          </cell>
          <cell r="N5823">
            <v>0</v>
          </cell>
          <cell r="O5823" t="str">
            <v>+++</v>
          </cell>
        </row>
        <row r="5824">
          <cell r="A5824" t="str">
            <v>420.45.41.000-6350.01</v>
          </cell>
          <cell r="B5824" t="str">
            <v>420</v>
          </cell>
          <cell r="C5824" t="str">
            <v>45</v>
          </cell>
          <cell r="D5824" t="str">
            <v>41</v>
          </cell>
          <cell r="E5824" t="str">
            <v>000</v>
          </cell>
          <cell r="F5824" t="str">
            <v>6350.01</v>
          </cell>
          <cell r="G5824" t="str">
            <v>Maintenance Agreements &amp; Licenses License/Software Maintenance</v>
          </cell>
          <cell r="H5824">
            <v>0</v>
          </cell>
          <cell r="I5824">
            <v>0</v>
          </cell>
          <cell r="J5824">
            <v>0</v>
          </cell>
          <cell r="K5824">
            <v>0</v>
          </cell>
          <cell r="L5824">
            <v>0</v>
          </cell>
          <cell r="M5824">
            <v>0</v>
          </cell>
          <cell r="N5824">
            <v>0</v>
          </cell>
          <cell r="O5824" t="str">
            <v>+++</v>
          </cell>
        </row>
        <row r="5825">
          <cell r="A5825" t="str">
            <v>420.45.41.000-6350.02</v>
          </cell>
          <cell r="B5825" t="str">
            <v>420</v>
          </cell>
          <cell r="C5825" t="str">
            <v>45</v>
          </cell>
          <cell r="D5825" t="str">
            <v>41</v>
          </cell>
          <cell r="E5825" t="str">
            <v>000</v>
          </cell>
          <cell r="F5825" t="str">
            <v>6350.02</v>
          </cell>
          <cell r="G5825" t="str">
            <v>Maintenance Agreements &amp; Licenses Hardware Maintenance</v>
          </cell>
          <cell r="H5825">
            <v>0</v>
          </cell>
          <cell r="I5825">
            <v>0</v>
          </cell>
          <cell r="J5825">
            <v>0</v>
          </cell>
          <cell r="K5825">
            <v>0</v>
          </cell>
          <cell r="L5825">
            <v>0</v>
          </cell>
          <cell r="M5825">
            <v>0</v>
          </cell>
          <cell r="N5825">
            <v>0</v>
          </cell>
          <cell r="O5825" t="str">
            <v>+++</v>
          </cell>
        </row>
        <row r="5826">
          <cell r="A5826" t="str">
            <v>420.45.41.000-6350.03</v>
          </cell>
          <cell r="B5826" t="str">
            <v>420</v>
          </cell>
          <cell r="C5826" t="str">
            <v>45</v>
          </cell>
          <cell r="D5826" t="str">
            <v>41</v>
          </cell>
          <cell r="E5826" t="str">
            <v>000</v>
          </cell>
          <cell r="F5826" t="str">
            <v>6350.03</v>
          </cell>
          <cell r="G5826" t="str">
            <v>Maintenance Agreements &amp; Licenses Maintenance Agreements</v>
          </cell>
          <cell r="H5826">
            <v>0</v>
          </cell>
          <cell r="I5826">
            <v>0</v>
          </cell>
          <cell r="J5826">
            <v>0</v>
          </cell>
          <cell r="K5826">
            <v>0</v>
          </cell>
          <cell r="L5826">
            <v>0</v>
          </cell>
          <cell r="M5826">
            <v>0</v>
          </cell>
          <cell r="N5826">
            <v>0</v>
          </cell>
          <cell r="O5826" t="str">
            <v>+++</v>
          </cell>
        </row>
        <row r="5827">
          <cell r="A5827" t="str">
            <v>420.45.41.000-6350.04</v>
          </cell>
          <cell r="B5827" t="str">
            <v>420</v>
          </cell>
          <cell r="C5827" t="str">
            <v>45</v>
          </cell>
          <cell r="D5827" t="str">
            <v>41</v>
          </cell>
          <cell r="E5827" t="str">
            <v>000</v>
          </cell>
          <cell r="F5827" t="str">
            <v>6350.04</v>
          </cell>
          <cell r="G5827" t="str">
            <v>Maintenance Agreements &amp; Licenses SCADA</v>
          </cell>
          <cell r="H5827">
            <v>0</v>
          </cell>
          <cell r="I5827">
            <v>0</v>
          </cell>
          <cell r="J5827">
            <v>0</v>
          </cell>
          <cell r="K5827">
            <v>0</v>
          </cell>
          <cell r="L5827">
            <v>0</v>
          </cell>
          <cell r="M5827">
            <v>0</v>
          </cell>
          <cell r="N5827">
            <v>0</v>
          </cell>
          <cell r="O5827" t="str">
            <v>+++</v>
          </cell>
        </row>
        <row r="5828">
          <cell r="A5828" t="str">
            <v>420.45.41.000-6350.05</v>
          </cell>
          <cell r="B5828" t="str">
            <v>420</v>
          </cell>
          <cell r="C5828" t="str">
            <v>45</v>
          </cell>
          <cell r="D5828" t="str">
            <v>41</v>
          </cell>
          <cell r="E5828" t="str">
            <v>000</v>
          </cell>
          <cell r="F5828" t="str">
            <v>6350.05</v>
          </cell>
          <cell r="G5828" t="str">
            <v>Maintenance Agreements &amp; Licenses Traffic Control</v>
          </cell>
          <cell r="H5828">
            <v>0</v>
          </cell>
          <cell r="I5828">
            <v>0</v>
          </cell>
          <cell r="J5828">
            <v>0</v>
          </cell>
          <cell r="K5828">
            <v>0</v>
          </cell>
          <cell r="L5828">
            <v>0</v>
          </cell>
          <cell r="M5828">
            <v>0</v>
          </cell>
          <cell r="N5828">
            <v>0</v>
          </cell>
          <cell r="O5828" t="str">
            <v>+++</v>
          </cell>
        </row>
        <row r="5829">
          <cell r="A5829" t="str">
            <v>420.45.41.000-6350.06</v>
          </cell>
          <cell r="B5829" t="str">
            <v>420</v>
          </cell>
          <cell r="C5829" t="str">
            <v>45</v>
          </cell>
          <cell r="D5829" t="str">
            <v>41</v>
          </cell>
          <cell r="E5829" t="str">
            <v>000</v>
          </cell>
          <cell r="F5829" t="str">
            <v>6350.06</v>
          </cell>
          <cell r="G5829" t="str">
            <v>Maintenance Agreements &amp; Licenses Streetlights</v>
          </cell>
          <cell r="H5829">
            <v>0</v>
          </cell>
          <cell r="I5829">
            <v>0</v>
          </cell>
          <cell r="J5829">
            <v>0</v>
          </cell>
          <cell r="K5829">
            <v>0</v>
          </cell>
          <cell r="L5829">
            <v>0</v>
          </cell>
          <cell r="M5829">
            <v>0</v>
          </cell>
          <cell r="N5829">
            <v>0</v>
          </cell>
          <cell r="O5829" t="str">
            <v>+++</v>
          </cell>
        </row>
        <row r="5830">
          <cell r="A5830" t="str">
            <v>420.45.41.000-6400.01</v>
          </cell>
          <cell r="B5830" t="str">
            <v>420</v>
          </cell>
          <cell r="C5830" t="str">
            <v>45</v>
          </cell>
          <cell r="D5830" t="str">
            <v>41</v>
          </cell>
          <cell r="E5830" t="str">
            <v>000</v>
          </cell>
          <cell r="F5830" t="str">
            <v>6400.01</v>
          </cell>
          <cell r="G5830" t="str">
            <v>Repairs &amp; Maintenance Building</v>
          </cell>
          <cell r="H5830">
            <v>0</v>
          </cell>
          <cell r="I5830">
            <v>0</v>
          </cell>
          <cell r="J5830">
            <v>0</v>
          </cell>
          <cell r="K5830">
            <v>0</v>
          </cell>
          <cell r="L5830">
            <v>0</v>
          </cell>
          <cell r="M5830">
            <v>0</v>
          </cell>
          <cell r="N5830">
            <v>0</v>
          </cell>
          <cell r="O5830" t="str">
            <v>+++</v>
          </cell>
        </row>
        <row r="5831">
          <cell r="A5831" t="str">
            <v>420.45.41.000-6400.02</v>
          </cell>
          <cell r="B5831" t="str">
            <v>420</v>
          </cell>
          <cell r="C5831" t="str">
            <v>45</v>
          </cell>
          <cell r="D5831" t="str">
            <v>41</v>
          </cell>
          <cell r="E5831" t="str">
            <v>000</v>
          </cell>
          <cell r="F5831" t="str">
            <v>6400.02</v>
          </cell>
          <cell r="G5831" t="str">
            <v>Repairs &amp; Maintenance Minor Equipment/Other</v>
          </cell>
          <cell r="H5831">
            <v>0</v>
          </cell>
          <cell r="I5831">
            <v>0</v>
          </cell>
          <cell r="J5831">
            <v>0</v>
          </cell>
          <cell r="K5831">
            <v>0</v>
          </cell>
          <cell r="L5831">
            <v>0</v>
          </cell>
          <cell r="M5831">
            <v>0</v>
          </cell>
          <cell r="N5831">
            <v>0</v>
          </cell>
          <cell r="O5831" t="str">
            <v>+++</v>
          </cell>
        </row>
        <row r="5832">
          <cell r="A5832" t="str">
            <v>420.45.41.000-6400.03</v>
          </cell>
          <cell r="B5832" t="str">
            <v>420</v>
          </cell>
          <cell r="C5832" t="str">
            <v>45</v>
          </cell>
          <cell r="D5832" t="str">
            <v>41</v>
          </cell>
          <cell r="E5832" t="str">
            <v>000</v>
          </cell>
          <cell r="F5832" t="str">
            <v>6400.03</v>
          </cell>
          <cell r="G5832" t="str">
            <v>Repairs &amp; Maintenance Major Repair &amp; Contingency</v>
          </cell>
          <cell r="H5832">
            <v>0</v>
          </cell>
          <cell r="I5832">
            <v>0</v>
          </cell>
          <cell r="J5832">
            <v>0</v>
          </cell>
          <cell r="K5832">
            <v>0</v>
          </cell>
          <cell r="L5832">
            <v>0</v>
          </cell>
          <cell r="M5832">
            <v>0</v>
          </cell>
          <cell r="N5832">
            <v>0</v>
          </cell>
          <cell r="O5832" t="str">
            <v>+++</v>
          </cell>
        </row>
        <row r="5833">
          <cell r="A5833" t="str">
            <v>420.45.41.000-6400.04</v>
          </cell>
          <cell r="B5833" t="str">
            <v>420</v>
          </cell>
          <cell r="C5833" t="str">
            <v>45</v>
          </cell>
          <cell r="D5833" t="str">
            <v>41</v>
          </cell>
          <cell r="E5833" t="str">
            <v>000</v>
          </cell>
          <cell r="F5833" t="str">
            <v>6400.04</v>
          </cell>
          <cell r="G5833" t="str">
            <v>Repairs &amp; Maintenance Equipment Rental</v>
          </cell>
          <cell r="H5833">
            <v>0</v>
          </cell>
          <cell r="I5833">
            <v>0</v>
          </cell>
          <cell r="J5833">
            <v>0</v>
          </cell>
          <cell r="K5833">
            <v>0</v>
          </cell>
          <cell r="L5833">
            <v>0</v>
          </cell>
          <cell r="M5833">
            <v>0</v>
          </cell>
          <cell r="N5833">
            <v>0</v>
          </cell>
          <cell r="O5833" t="str">
            <v>+++</v>
          </cell>
        </row>
        <row r="5834">
          <cell r="A5834" t="str">
            <v>420.45.41.000-6400.05</v>
          </cell>
          <cell r="B5834" t="str">
            <v>420</v>
          </cell>
          <cell r="C5834" t="str">
            <v>45</v>
          </cell>
          <cell r="D5834" t="str">
            <v>41</v>
          </cell>
          <cell r="E5834" t="str">
            <v>000</v>
          </cell>
          <cell r="F5834" t="str">
            <v>6400.05</v>
          </cell>
          <cell r="G5834" t="str">
            <v>Repairs &amp; Maintenance Vehicle</v>
          </cell>
          <cell r="H5834">
            <v>0</v>
          </cell>
          <cell r="I5834">
            <v>0</v>
          </cell>
          <cell r="J5834">
            <v>0</v>
          </cell>
          <cell r="K5834">
            <v>0</v>
          </cell>
          <cell r="L5834">
            <v>0</v>
          </cell>
          <cell r="M5834">
            <v>0</v>
          </cell>
          <cell r="N5834">
            <v>0</v>
          </cell>
          <cell r="O5834" t="str">
            <v>+++</v>
          </cell>
        </row>
        <row r="5835">
          <cell r="A5835" t="str">
            <v>420.45.41.000-6600.01</v>
          </cell>
          <cell r="B5835" t="str">
            <v>420</v>
          </cell>
          <cell r="C5835" t="str">
            <v>45</v>
          </cell>
          <cell r="D5835" t="str">
            <v>41</v>
          </cell>
          <cell r="E5835" t="str">
            <v>000</v>
          </cell>
          <cell r="F5835" t="str">
            <v>6600.01</v>
          </cell>
          <cell r="G5835" t="str">
            <v>Administrative Expenses Meetings</v>
          </cell>
          <cell r="H5835">
            <v>0</v>
          </cell>
          <cell r="I5835">
            <v>0</v>
          </cell>
          <cell r="J5835">
            <v>0</v>
          </cell>
          <cell r="K5835">
            <v>0</v>
          </cell>
          <cell r="L5835">
            <v>0</v>
          </cell>
          <cell r="M5835">
            <v>0</v>
          </cell>
          <cell r="N5835">
            <v>0</v>
          </cell>
          <cell r="O5835" t="str">
            <v>+++</v>
          </cell>
        </row>
        <row r="5836">
          <cell r="A5836" t="str">
            <v>420.45.41.000-6600.03</v>
          </cell>
          <cell r="B5836" t="str">
            <v>420</v>
          </cell>
          <cell r="C5836" t="str">
            <v>45</v>
          </cell>
          <cell r="D5836" t="str">
            <v>41</v>
          </cell>
          <cell r="E5836" t="str">
            <v>000</v>
          </cell>
          <cell r="F5836" t="str">
            <v>6600.03</v>
          </cell>
          <cell r="G5836" t="str">
            <v>Administrative Expenses Mileage Reimbursement</v>
          </cell>
          <cell r="H5836">
            <v>0</v>
          </cell>
          <cell r="I5836">
            <v>0</v>
          </cell>
          <cell r="J5836">
            <v>0</v>
          </cell>
          <cell r="K5836">
            <v>0</v>
          </cell>
          <cell r="L5836">
            <v>0</v>
          </cell>
          <cell r="M5836">
            <v>0</v>
          </cell>
          <cell r="N5836">
            <v>0</v>
          </cell>
          <cell r="O5836" t="str">
            <v>+++</v>
          </cell>
        </row>
        <row r="5837">
          <cell r="A5837" t="str">
            <v>420.45.41.000-6600.04</v>
          </cell>
          <cell r="B5837" t="str">
            <v>420</v>
          </cell>
          <cell r="C5837" t="str">
            <v>45</v>
          </cell>
          <cell r="D5837" t="str">
            <v>41</v>
          </cell>
          <cell r="E5837" t="str">
            <v>000</v>
          </cell>
          <cell r="F5837" t="str">
            <v>6600.04</v>
          </cell>
          <cell r="G5837" t="str">
            <v>Administrative Expenses Training/Conferences</v>
          </cell>
          <cell r="H5837">
            <v>0</v>
          </cell>
          <cell r="I5837">
            <v>0</v>
          </cell>
          <cell r="J5837">
            <v>0</v>
          </cell>
          <cell r="K5837">
            <v>0</v>
          </cell>
          <cell r="L5837">
            <v>0</v>
          </cell>
          <cell r="M5837">
            <v>0</v>
          </cell>
          <cell r="N5837">
            <v>0</v>
          </cell>
          <cell r="O5837" t="str">
            <v>+++</v>
          </cell>
        </row>
        <row r="5838">
          <cell r="A5838" t="str">
            <v>420.45.41.000-6600.05</v>
          </cell>
          <cell r="B5838" t="str">
            <v>420</v>
          </cell>
          <cell r="C5838" t="str">
            <v>45</v>
          </cell>
          <cell r="D5838" t="str">
            <v>41</v>
          </cell>
          <cell r="E5838" t="str">
            <v>000</v>
          </cell>
          <cell r="F5838" t="str">
            <v>6600.05</v>
          </cell>
          <cell r="G5838" t="str">
            <v>Administrative Expenses Public/Legal Advertisement</v>
          </cell>
          <cell r="H5838">
            <v>0</v>
          </cell>
          <cell r="I5838">
            <v>0</v>
          </cell>
          <cell r="J5838">
            <v>0</v>
          </cell>
          <cell r="K5838">
            <v>0</v>
          </cell>
          <cell r="L5838">
            <v>0</v>
          </cell>
          <cell r="M5838">
            <v>0</v>
          </cell>
          <cell r="N5838">
            <v>0</v>
          </cell>
          <cell r="O5838" t="str">
            <v>+++</v>
          </cell>
        </row>
        <row r="5839">
          <cell r="A5839" t="str">
            <v>420.45.41.000-6600.06</v>
          </cell>
          <cell r="B5839" t="str">
            <v>420</v>
          </cell>
          <cell r="C5839" t="str">
            <v>45</v>
          </cell>
          <cell r="D5839" t="str">
            <v>41</v>
          </cell>
          <cell r="E5839" t="str">
            <v>000</v>
          </cell>
          <cell r="F5839" t="str">
            <v>6600.06</v>
          </cell>
          <cell r="G5839" t="str">
            <v>Administrative Expenses Property/Building Rental</v>
          </cell>
          <cell r="H5839">
            <v>0</v>
          </cell>
          <cell r="I5839">
            <v>0</v>
          </cell>
          <cell r="J5839">
            <v>0</v>
          </cell>
          <cell r="K5839">
            <v>0</v>
          </cell>
          <cell r="L5839">
            <v>0</v>
          </cell>
          <cell r="M5839">
            <v>0</v>
          </cell>
          <cell r="N5839">
            <v>0</v>
          </cell>
          <cell r="O5839" t="str">
            <v>+++</v>
          </cell>
        </row>
        <row r="5840">
          <cell r="A5840" t="str">
            <v>420.45.41.000-6600.07</v>
          </cell>
          <cell r="B5840" t="str">
            <v>420</v>
          </cell>
          <cell r="C5840" t="str">
            <v>45</v>
          </cell>
          <cell r="D5840" t="str">
            <v>41</v>
          </cell>
          <cell r="E5840" t="str">
            <v>000</v>
          </cell>
          <cell r="F5840" t="str">
            <v>6600.07</v>
          </cell>
          <cell r="G5840" t="str">
            <v>Administrative Expenses Employee Recruitment</v>
          </cell>
          <cell r="H5840">
            <v>0</v>
          </cell>
          <cell r="I5840">
            <v>0</v>
          </cell>
          <cell r="J5840">
            <v>0</v>
          </cell>
          <cell r="K5840">
            <v>0</v>
          </cell>
          <cell r="L5840">
            <v>0</v>
          </cell>
          <cell r="M5840">
            <v>0</v>
          </cell>
          <cell r="N5840">
            <v>0</v>
          </cell>
          <cell r="O5840" t="str">
            <v>+++</v>
          </cell>
        </row>
        <row r="5841">
          <cell r="A5841" t="str">
            <v>420.45.41.000-6600.08</v>
          </cell>
          <cell r="B5841" t="str">
            <v>420</v>
          </cell>
          <cell r="C5841" t="str">
            <v>45</v>
          </cell>
          <cell r="D5841" t="str">
            <v>41</v>
          </cell>
          <cell r="E5841" t="str">
            <v>000</v>
          </cell>
          <cell r="F5841" t="str">
            <v>6600.08</v>
          </cell>
          <cell r="G5841" t="str">
            <v>Administrative Expenses Employee Recognition</v>
          </cell>
          <cell r="H5841">
            <v>0</v>
          </cell>
          <cell r="I5841">
            <v>0</v>
          </cell>
          <cell r="J5841">
            <v>0</v>
          </cell>
          <cell r="K5841">
            <v>0</v>
          </cell>
          <cell r="L5841">
            <v>0</v>
          </cell>
          <cell r="M5841">
            <v>0</v>
          </cell>
          <cell r="N5841">
            <v>0</v>
          </cell>
          <cell r="O5841" t="str">
            <v>+++</v>
          </cell>
        </row>
        <row r="5842">
          <cell r="A5842" t="str">
            <v>420.45.41.000-6600.14</v>
          </cell>
          <cell r="B5842" t="str">
            <v>420</v>
          </cell>
          <cell r="C5842" t="str">
            <v>45</v>
          </cell>
          <cell r="D5842" t="str">
            <v>41</v>
          </cell>
          <cell r="E5842" t="str">
            <v>000</v>
          </cell>
          <cell r="F5842" t="str">
            <v>6600.14</v>
          </cell>
          <cell r="G5842" t="str">
            <v>Administrative Expenses Filing/Recording Fee</v>
          </cell>
          <cell r="H5842">
            <v>0</v>
          </cell>
          <cell r="I5842">
            <v>0</v>
          </cell>
          <cell r="J5842">
            <v>0</v>
          </cell>
          <cell r="K5842">
            <v>0</v>
          </cell>
          <cell r="L5842">
            <v>0</v>
          </cell>
          <cell r="M5842">
            <v>0</v>
          </cell>
          <cell r="N5842">
            <v>0</v>
          </cell>
          <cell r="O5842" t="str">
            <v>+++</v>
          </cell>
        </row>
        <row r="5843">
          <cell r="A5843" t="str">
            <v>420.45.41.000-6600.24</v>
          </cell>
          <cell r="B5843" t="str">
            <v>420</v>
          </cell>
          <cell r="C5843" t="str">
            <v>45</v>
          </cell>
          <cell r="D5843" t="str">
            <v>41</v>
          </cell>
          <cell r="E5843" t="str">
            <v>000</v>
          </cell>
          <cell r="F5843" t="str">
            <v>6600.24</v>
          </cell>
          <cell r="G5843" t="str">
            <v>Administrative Expenses Marketing</v>
          </cell>
          <cell r="H5843">
            <v>0</v>
          </cell>
          <cell r="I5843">
            <v>0</v>
          </cell>
          <cell r="J5843">
            <v>0</v>
          </cell>
          <cell r="K5843">
            <v>0</v>
          </cell>
          <cell r="L5843">
            <v>0</v>
          </cell>
          <cell r="M5843">
            <v>0</v>
          </cell>
          <cell r="N5843">
            <v>0</v>
          </cell>
          <cell r="O5843" t="str">
            <v>+++</v>
          </cell>
        </row>
        <row r="5844">
          <cell r="A5844" t="str">
            <v>420.45.41.000-6600.25</v>
          </cell>
          <cell r="B5844" t="str">
            <v>420</v>
          </cell>
          <cell r="C5844" t="str">
            <v>45</v>
          </cell>
          <cell r="D5844" t="str">
            <v>41</v>
          </cell>
          <cell r="E5844" t="str">
            <v>000</v>
          </cell>
          <cell r="F5844" t="str">
            <v>6600.25</v>
          </cell>
          <cell r="G5844" t="str">
            <v>Administrative Expenses Support Services-Indirect Labor</v>
          </cell>
          <cell r="H5844">
            <v>0</v>
          </cell>
          <cell r="I5844">
            <v>0</v>
          </cell>
          <cell r="J5844">
            <v>0</v>
          </cell>
          <cell r="K5844">
            <v>0</v>
          </cell>
          <cell r="L5844">
            <v>0</v>
          </cell>
          <cell r="M5844">
            <v>0</v>
          </cell>
          <cell r="N5844">
            <v>0</v>
          </cell>
          <cell r="O5844" t="str">
            <v>+++</v>
          </cell>
        </row>
        <row r="5845">
          <cell r="A5845" t="str">
            <v>420.45.41.000-6600.26</v>
          </cell>
          <cell r="B5845" t="str">
            <v>420</v>
          </cell>
          <cell r="C5845" t="str">
            <v>45</v>
          </cell>
          <cell r="D5845" t="str">
            <v>41</v>
          </cell>
          <cell r="E5845" t="str">
            <v>000</v>
          </cell>
          <cell r="F5845" t="str">
            <v>6600.26</v>
          </cell>
          <cell r="G5845" t="str">
            <v>Administrative Expenses Support Services-IT</v>
          </cell>
          <cell r="H5845">
            <v>0</v>
          </cell>
          <cell r="I5845">
            <v>0</v>
          </cell>
          <cell r="J5845">
            <v>0</v>
          </cell>
          <cell r="K5845">
            <v>0</v>
          </cell>
          <cell r="L5845">
            <v>0</v>
          </cell>
          <cell r="M5845">
            <v>0</v>
          </cell>
          <cell r="N5845">
            <v>0</v>
          </cell>
          <cell r="O5845" t="str">
            <v>+++</v>
          </cell>
        </row>
        <row r="5846">
          <cell r="A5846" t="str">
            <v>420.45.41.000-6600.27</v>
          </cell>
          <cell r="B5846" t="str">
            <v>420</v>
          </cell>
          <cell r="C5846" t="str">
            <v>45</v>
          </cell>
          <cell r="D5846" t="str">
            <v>41</v>
          </cell>
          <cell r="E5846" t="str">
            <v>000</v>
          </cell>
          <cell r="F5846" t="str">
            <v>6600.27</v>
          </cell>
          <cell r="G5846" t="str">
            <v>Administrative Expenses Support Services-Direct Labor</v>
          </cell>
          <cell r="H5846">
            <v>0</v>
          </cell>
          <cell r="I5846">
            <v>0</v>
          </cell>
          <cell r="J5846">
            <v>0</v>
          </cell>
          <cell r="K5846">
            <v>0</v>
          </cell>
          <cell r="L5846">
            <v>0</v>
          </cell>
          <cell r="M5846">
            <v>0</v>
          </cell>
          <cell r="N5846">
            <v>0</v>
          </cell>
          <cell r="O5846" t="str">
            <v>+++</v>
          </cell>
        </row>
        <row r="5847">
          <cell r="A5847" t="str">
            <v>420.45.41.000-6600.29</v>
          </cell>
          <cell r="B5847" t="str">
            <v>420</v>
          </cell>
          <cell r="C5847" t="str">
            <v>45</v>
          </cell>
          <cell r="D5847" t="str">
            <v>41</v>
          </cell>
          <cell r="E5847" t="str">
            <v>000</v>
          </cell>
          <cell r="F5847" t="str">
            <v>6600.29</v>
          </cell>
          <cell r="G5847" t="str">
            <v>Administrative Expenses Administration &amp; Planning</v>
          </cell>
          <cell r="H5847">
            <v>0</v>
          </cell>
          <cell r="I5847">
            <v>0</v>
          </cell>
          <cell r="J5847">
            <v>0</v>
          </cell>
          <cell r="K5847">
            <v>0</v>
          </cell>
          <cell r="L5847">
            <v>0</v>
          </cell>
          <cell r="M5847">
            <v>0</v>
          </cell>
          <cell r="N5847">
            <v>0</v>
          </cell>
          <cell r="O5847" t="str">
            <v>+++</v>
          </cell>
        </row>
        <row r="5848">
          <cell r="A5848" t="str">
            <v>420.45.41.000-6600.30</v>
          </cell>
          <cell r="B5848" t="str">
            <v>420</v>
          </cell>
          <cell r="C5848" t="str">
            <v>45</v>
          </cell>
          <cell r="D5848" t="str">
            <v>41</v>
          </cell>
          <cell r="E5848" t="str">
            <v>000</v>
          </cell>
          <cell r="F5848" t="str">
            <v>6600.30</v>
          </cell>
          <cell r="G5848" t="str">
            <v>Administrative Expenses Other Expenses</v>
          </cell>
          <cell r="H5848">
            <v>0</v>
          </cell>
          <cell r="I5848">
            <v>0</v>
          </cell>
          <cell r="J5848">
            <v>0</v>
          </cell>
          <cell r="K5848">
            <v>0</v>
          </cell>
          <cell r="L5848">
            <v>0</v>
          </cell>
          <cell r="M5848">
            <v>0</v>
          </cell>
          <cell r="N5848">
            <v>0</v>
          </cell>
          <cell r="O5848" t="str">
            <v>+++</v>
          </cell>
        </row>
        <row r="5849">
          <cell r="A5849" t="str">
            <v>420.45.41.000-7000.03</v>
          </cell>
          <cell r="B5849" t="str">
            <v>420</v>
          </cell>
          <cell r="C5849" t="str">
            <v>45</v>
          </cell>
          <cell r="D5849" t="str">
            <v>41</v>
          </cell>
          <cell r="E5849" t="str">
            <v>000</v>
          </cell>
          <cell r="F5849" t="str">
            <v>7000.03</v>
          </cell>
          <cell r="G5849" t="str">
            <v>Capital Outlay Operations Equip-Minor</v>
          </cell>
          <cell r="H5849">
            <v>0</v>
          </cell>
          <cell r="I5849">
            <v>0</v>
          </cell>
          <cell r="J5849">
            <v>0</v>
          </cell>
          <cell r="K5849">
            <v>0</v>
          </cell>
          <cell r="L5849">
            <v>0</v>
          </cell>
          <cell r="M5849">
            <v>0</v>
          </cell>
          <cell r="N5849">
            <v>0</v>
          </cell>
          <cell r="O5849" t="str">
            <v>+++</v>
          </cell>
        </row>
        <row r="5850">
          <cell r="A5850" t="str">
            <v>420.45.41.000-7000.04</v>
          </cell>
          <cell r="B5850" t="str">
            <v>420</v>
          </cell>
          <cell r="C5850" t="str">
            <v>45</v>
          </cell>
          <cell r="D5850" t="str">
            <v>41</v>
          </cell>
          <cell r="E5850" t="str">
            <v>000</v>
          </cell>
          <cell r="F5850" t="str">
            <v>7000.04</v>
          </cell>
          <cell r="G5850" t="str">
            <v>Capital Outlay Operations Equipment-Major</v>
          </cell>
          <cell r="H5850">
            <v>0</v>
          </cell>
          <cell r="I5850">
            <v>0</v>
          </cell>
          <cell r="J5850">
            <v>0</v>
          </cell>
          <cell r="K5850">
            <v>0</v>
          </cell>
          <cell r="L5850">
            <v>0</v>
          </cell>
          <cell r="M5850">
            <v>0</v>
          </cell>
          <cell r="N5850">
            <v>0</v>
          </cell>
          <cell r="O5850" t="str">
            <v>+++</v>
          </cell>
        </row>
        <row r="5851">
          <cell r="A5851" t="str">
            <v>420.45.41.000-7000.07</v>
          </cell>
          <cell r="B5851" t="str">
            <v>420</v>
          </cell>
          <cell r="C5851" t="str">
            <v>45</v>
          </cell>
          <cell r="D5851" t="str">
            <v>41</v>
          </cell>
          <cell r="E5851" t="str">
            <v>000</v>
          </cell>
          <cell r="F5851" t="str">
            <v>7000.07</v>
          </cell>
          <cell r="G5851" t="str">
            <v>Capital Outlay Computer Hardware</v>
          </cell>
          <cell r="H5851">
            <v>0</v>
          </cell>
          <cell r="I5851">
            <v>0</v>
          </cell>
          <cell r="J5851">
            <v>0</v>
          </cell>
          <cell r="K5851">
            <v>0</v>
          </cell>
          <cell r="L5851">
            <v>0</v>
          </cell>
          <cell r="M5851">
            <v>0</v>
          </cell>
          <cell r="N5851">
            <v>0</v>
          </cell>
          <cell r="O5851" t="str">
            <v>+++</v>
          </cell>
        </row>
        <row r="5852">
          <cell r="A5852" t="str">
            <v>420.45.41.000-7000.08</v>
          </cell>
          <cell r="B5852" t="str">
            <v>420</v>
          </cell>
          <cell r="C5852" t="str">
            <v>45</v>
          </cell>
          <cell r="D5852" t="str">
            <v>41</v>
          </cell>
          <cell r="E5852" t="str">
            <v>000</v>
          </cell>
          <cell r="F5852" t="str">
            <v>7000.08</v>
          </cell>
          <cell r="G5852" t="str">
            <v>Capital Outlay Computer Software</v>
          </cell>
          <cell r="H5852">
            <v>0</v>
          </cell>
          <cell r="I5852">
            <v>0</v>
          </cell>
          <cell r="J5852">
            <v>0</v>
          </cell>
          <cell r="K5852">
            <v>0</v>
          </cell>
          <cell r="L5852">
            <v>0</v>
          </cell>
          <cell r="M5852">
            <v>0</v>
          </cell>
          <cell r="N5852">
            <v>0</v>
          </cell>
          <cell r="O5852" t="str">
            <v>+++</v>
          </cell>
        </row>
        <row r="5853">
          <cell r="A5853" t="str">
            <v>420.45.41.000-7000.12</v>
          </cell>
          <cell r="B5853" t="str">
            <v>420</v>
          </cell>
          <cell r="C5853" t="str">
            <v>45</v>
          </cell>
          <cell r="D5853" t="str">
            <v>41</v>
          </cell>
          <cell r="E5853" t="str">
            <v>000</v>
          </cell>
          <cell r="F5853" t="str">
            <v>7000.12</v>
          </cell>
          <cell r="G5853" t="str">
            <v>Capital Outlay Furniture</v>
          </cell>
          <cell r="H5853">
            <v>0</v>
          </cell>
          <cell r="I5853">
            <v>0</v>
          </cell>
          <cell r="J5853">
            <v>0</v>
          </cell>
          <cell r="K5853">
            <v>0</v>
          </cell>
          <cell r="L5853">
            <v>0</v>
          </cell>
          <cell r="M5853">
            <v>0</v>
          </cell>
          <cell r="N5853">
            <v>0</v>
          </cell>
          <cell r="O5853" t="str">
            <v>+++</v>
          </cell>
        </row>
        <row r="5854">
          <cell r="A5854" t="str">
            <v>420.45.41.000-7000.99</v>
          </cell>
          <cell r="B5854" t="str">
            <v>420</v>
          </cell>
          <cell r="C5854" t="str">
            <v>45</v>
          </cell>
          <cell r="D5854" t="str">
            <v>41</v>
          </cell>
          <cell r="E5854" t="str">
            <v>000</v>
          </cell>
          <cell r="F5854" t="str">
            <v>7000.99</v>
          </cell>
          <cell r="G5854" t="str">
            <v>Capital Outlay General</v>
          </cell>
          <cell r="H5854">
            <v>0</v>
          </cell>
          <cell r="I5854">
            <v>0</v>
          </cell>
          <cell r="J5854">
            <v>0</v>
          </cell>
          <cell r="K5854">
            <v>0</v>
          </cell>
          <cell r="L5854">
            <v>0</v>
          </cell>
          <cell r="M5854">
            <v>0</v>
          </cell>
          <cell r="N5854">
            <v>0</v>
          </cell>
          <cell r="O5854"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tBudgetaryBudgetCrossOrganiza"/>
    </sheetNames>
    <sheetDataSet>
      <sheetData sheetId="0">
        <row r="573">
          <cell r="A573" t="str">
            <v>420.00.00.900-4400.10</v>
          </cell>
          <cell r="B573" t="str">
            <v>420</v>
          </cell>
          <cell r="C573" t="str">
            <v>00</v>
          </cell>
          <cell r="D573" t="str">
            <v>00</v>
          </cell>
          <cell r="E573" t="str">
            <v>900</v>
          </cell>
          <cell r="F573" t="str">
            <v>4400.10</v>
          </cell>
          <cell r="G573" t="str">
            <v>Intergovernmental Revenues Gas Tax-2105 Apportionment</v>
          </cell>
          <cell r="H573">
            <v>452540</v>
          </cell>
          <cell r="I573">
            <v>0</v>
          </cell>
          <cell r="J573">
            <v>452540</v>
          </cell>
          <cell r="K573">
            <v>0</v>
          </cell>
          <cell r="L573">
            <v>0</v>
          </cell>
          <cell r="M573">
            <v>70146.81</v>
          </cell>
          <cell r="N573">
            <v>382393.19</v>
          </cell>
          <cell r="O573">
            <v>0.16</v>
          </cell>
        </row>
        <row r="574">
          <cell r="A574" t="str">
            <v>420.00.00.900-4400.11</v>
          </cell>
          <cell r="B574" t="str">
            <v>420</v>
          </cell>
          <cell r="C574" t="str">
            <v>00</v>
          </cell>
          <cell r="D574" t="str">
            <v>00</v>
          </cell>
          <cell r="E574" t="str">
            <v>900</v>
          </cell>
          <cell r="F574" t="str">
            <v>4400.11</v>
          </cell>
          <cell r="G574" t="str">
            <v>Intergovernmental Revenues Gas Tax-2106 Apportionment</v>
          </cell>
          <cell r="H574">
            <v>269830</v>
          </cell>
          <cell r="I574">
            <v>0</v>
          </cell>
          <cell r="J574">
            <v>269830</v>
          </cell>
          <cell r="K574">
            <v>0</v>
          </cell>
          <cell r="L574">
            <v>0</v>
          </cell>
          <cell r="M574">
            <v>42250.34</v>
          </cell>
          <cell r="N574">
            <v>227579.66</v>
          </cell>
          <cell r="O574">
            <v>0.16</v>
          </cell>
        </row>
        <row r="575">
          <cell r="A575" t="str">
            <v>420.00.00.900-4400.12</v>
          </cell>
          <cell r="B575" t="str">
            <v>420</v>
          </cell>
          <cell r="C575" t="str">
            <v>00</v>
          </cell>
          <cell r="D575" t="str">
            <v>00</v>
          </cell>
          <cell r="E575" t="str">
            <v>900</v>
          </cell>
          <cell r="F575" t="str">
            <v>4400.12</v>
          </cell>
          <cell r="G575" t="str">
            <v>Intergovernmental Revenues Gas Tax-2107 Apportionment</v>
          </cell>
          <cell r="H575">
            <v>550000</v>
          </cell>
          <cell r="I575">
            <v>0</v>
          </cell>
          <cell r="J575">
            <v>550000</v>
          </cell>
          <cell r="K575">
            <v>0</v>
          </cell>
          <cell r="L575">
            <v>0</v>
          </cell>
          <cell r="M575">
            <v>96773.34</v>
          </cell>
          <cell r="N575">
            <v>453226.66</v>
          </cell>
          <cell r="O575">
            <v>0.18</v>
          </cell>
        </row>
        <row r="576">
          <cell r="A576" t="str">
            <v>420.00.00.900-4400.13</v>
          </cell>
          <cell r="B576" t="str">
            <v>420</v>
          </cell>
          <cell r="C576" t="str">
            <v>00</v>
          </cell>
          <cell r="D576" t="str">
            <v>00</v>
          </cell>
          <cell r="E576" t="str">
            <v>900</v>
          </cell>
          <cell r="F576" t="str">
            <v>4400.13</v>
          </cell>
          <cell r="G576" t="str">
            <v>Intergovernmental Revenues Gas Tax 2107.5 Apportionment</v>
          </cell>
          <cell r="H576">
            <v>7500</v>
          </cell>
          <cell r="I576">
            <v>0</v>
          </cell>
          <cell r="J576">
            <v>7500</v>
          </cell>
          <cell r="K576">
            <v>0</v>
          </cell>
          <cell r="L576">
            <v>0</v>
          </cell>
          <cell r="M576">
            <v>7500</v>
          </cell>
          <cell r="N576">
            <v>0</v>
          </cell>
          <cell r="O576">
            <v>1</v>
          </cell>
        </row>
        <row r="577">
          <cell r="A577" t="str">
            <v>420.00.00.900-4400.14</v>
          </cell>
          <cell r="B577" t="str">
            <v>420</v>
          </cell>
          <cell r="C577" t="str">
            <v>00</v>
          </cell>
          <cell r="D577" t="str">
            <v>00</v>
          </cell>
          <cell r="E577" t="str">
            <v>900</v>
          </cell>
          <cell r="F577" t="str">
            <v>4400.14</v>
          </cell>
          <cell r="G577" t="str">
            <v>Intergovernmental Revenues Gas Tax-2103 Apportionment</v>
          </cell>
          <cell r="H577">
            <v>350000</v>
          </cell>
          <cell r="I577">
            <v>0</v>
          </cell>
          <cell r="J577">
            <v>350000</v>
          </cell>
          <cell r="K577">
            <v>0</v>
          </cell>
          <cell r="L577">
            <v>0</v>
          </cell>
          <cell r="M577">
            <v>125702.55</v>
          </cell>
          <cell r="N577">
            <v>224297.45</v>
          </cell>
          <cell r="O577">
            <v>0.36</v>
          </cell>
        </row>
        <row r="578">
          <cell r="A578" t="str">
            <v>420.00.00.900-4400.15</v>
          </cell>
          <cell r="B578" t="str">
            <v>420</v>
          </cell>
          <cell r="C578" t="str">
            <v>00</v>
          </cell>
          <cell r="D578" t="str">
            <v>00</v>
          </cell>
          <cell r="E578" t="str">
            <v>900</v>
          </cell>
          <cell r="F578" t="str">
            <v>4400.15</v>
          </cell>
          <cell r="G578" t="str">
            <v>Intergovernmental Revenues Gas Tax Traffic Congestion</v>
          </cell>
          <cell r="H578">
            <v>0</v>
          </cell>
          <cell r="I578">
            <v>0</v>
          </cell>
          <cell r="J578">
            <v>0</v>
          </cell>
          <cell r="K578">
            <v>0</v>
          </cell>
          <cell r="L578">
            <v>0</v>
          </cell>
          <cell r="M578">
            <v>0</v>
          </cell>
          <cell r="N578">
            <v>0</v>
          </cell>
          <cell r="O578" t="str">
            <v>+++</v>
          </cell>
        </row>
        <row r="579">
          <cell r="A579" t="str">
            <v>420.00.00.900-4400.29</v>
          </cell>
          <cell r="B579" t="str">
            <v>420</v>
          </cell>
          <cell r="C579" t="str">
            <v>00</v>
          </cell>
          <cell r="D579" t="str">
            <v>00</v>
          </cell>
          <cell r="E579" t="str">
            <v>900</v>
          </cell>
          <cell r="F579" t="str">
            <v>4400.29</v>
          </cell>
          <cell r="G579" t="str">
            <v>Intergovernmental Revenues Gas Tax 2031 Apportionment</v>
          </cell>
          <cell r="H579">
            <v>1340000</v>
          </cell>
          <cell r="I579">
            <v>0</v>
          </cell>
          <cell r="J579">
            <v>1340000</v>
          </cell>
          <cell r="K579">
            <v>0</v>
          </cell>
          <cell r="L579">
            <v>0</v>
          </cell>
          <cell r="M579">
            <v>349519.37</v>
          </cell>
          <cell r="N579">
            <v>990480.63</v>
          </cell>
          <cell r="O579">
            <v>0.26</v>
          </cell>
        </row>
        <row r="580">
          <cell r="A580" t="str">
            <v>420.00.00.900-4400.30</v>
          </cell>
          <cell r="B580" t="str">
            <v>420</v>
          </cell>
          <cell r="C580" t="str">
            <v>00</v>
          </cell>
          <cell r="D580" t="str">
            <v>00</v>
          </cell>
          <cell r="E580" t="str">
            <v>900</v>
          </cell>
          <cell r="F580" t="str">
            <v>4400.30</v>
          </cell>
          <cell r="G580" t="str">
            <v>Intergovernmental Revenues Gas Tax Repayment</v>
          </cell>
          <cell r="H580">
            <v>91730</v>
          </cell>
          <cell r="I580">
            <v>0</v>
          </cell>
          <cell r="J580">
            <v>91730</v>
          </cell>
          <cell r="K580">
            <v>0</v>
          </cell>
          <cell r="L580">
            <v>0</v>
          </cell>
          <cell r="M580">
            <v>0</v>
          </cell>
          <cell r="N580">
            <v>91730</v>
          </cell>
          <cell r="O580">
            <v>0</v>
          </cell>
        </row>
        <row r="581">
          <cell r="A581" t="str">
            <v>420.00.00.900-4510.11</v>
          </cell>
          <cell r="B581" t="str">
            <v>420</v>
          </cell>
          <cell r="C581" t="str">
            <v>00</v>
          </cell>
          <cell r="D581" t="str">
            <v>00</v>
          </cell>
          <cell r="E581" t="str">
            <v>900</v>
          </cell>
          <cell r="F581" t="str">
            <v>4510.11</v>
          </cell>
          <cell r="G581" t="str">
            <v>Charges for Services-Transportation Street Maintenance</v>
          </cell>
          <cell r="H581">
            <v>0</v>
          </cell>
          <cell r="I581">
            <v>0</v>
          </cell>
          <cell r="J581">
            <v>0</v>
          </cell>
          <cell r="K581">
            <v>0</v>
          </cell>
          <cell r="L581">
            <v>0</v>
          </cell>
          <cell r="M581">
            <v>0</v>
          </cell>
          <cell r="N581">
            <v>0</v>
          </cell>
          <cell r="O581" t="str">
            <v>+++</v>
          </cell>
        </row>
        <row r="582">
          <cell r="A582" t="str">
            <v>420.00.00.900-4700.01</v>
          </cell>
          <cell r="B582" t="str">
            <v>420</v>
          </cell>
          <cell r="C582" t="str">
            <v>00</v>
          </cell>
          <cell r="D582" t="str">
            <v>00</v>
          </cell>
          <cell r="E582" t="str">
            <v>900</v>
          </cell>
          <cell r="F582" t="str">
            <v>4700.01</v>
          </cell>
          <cell r="G582" t="str">
            <v>Investment Earnings Interest on Investments</v>
          </cell>
          <cell r="H582">
            <v>11000</v>
          </cell>
          <cell r="I582">
            <v>0</v>
          </cell>
          <cell r="J582">
            <v>11000</v>
          </cell>
          <cell r="K582">
            <v>0</v>
          </cell>
          <cell r="L582">
            <v>0</v>
          </cell>
          <cell r="M582">
            <v>0</v>
          </cell>
          <cell r="N582">
            <v>11000</v>
          </cell>
          <cell r="O582">
            <v>0</v>
          </cell>
        </row>
        <row r="583">
          <cell r="A583" t="str">
            <v>420.00.00.900-4700.15</v>
          </cell>
          <cell r="B583" t="str">
            <v>420</v>
          </cell>
          <cell r="C583" t="str">
            <v>00</v>
          </cell>
          <cell r="D583" t="str">
            <v>00</v>
          </cell>
          <cell r="E583" t="str">
            <v>900</v>
          </cell>
          <cell r="F583" t="str">
            <v>4700.15</v>
          </cell>
          <cell r="G583" t="str">
            <v>Investment Earnings AB2928/Congestion Relief</v>
          </cell>
          <cell r="H583">
            <v>0</v>
          </cell>
          <cell r="I583">
            <v>0</v>
          </cell>
          <cell r="J583">
            <v>0</v>
          </cell>
          <cell r="K583">
            <v>0</v>
          </cell>
          <cell r="L583">
            <v>0</v>
          </cell>
          <cell r="M583">
            <v>0</v>
          </cell>
          <cell r="N583">
            <v>0</v>
          </cell>
          <cell r="O583" t="str">
            <v>+++</v>
          </cell>
        </row>
        <row r="584">
          <cell r="A584" t="str">
            <v>420.00.00.900-4700.21</v>
          </cell>
          <cell r="B584" t="str">
            <v>420</v>
          </cell>
          <cell r="C584" t="str">
            <v>00</v>
          </cell>
          <cell r="D584" t="str">
            <v>00</v>
          </cell>
          <cell r="E584" t="str">
            <v>900</v>
          </cell>
          <cell r="F584" t="str">
            <v>4700.21</v>
          </cell>
          <cell r="G584" t="str">
            <v>Investment Earnings Unallocated Investment Expense</v>
          </cell>
          <cell r="H584">
            <v>-1500</v>
          </cell>
          <cell r="I584">
            <v>0</v>
          </cell>
          <cell r="J584">
            <v>-1500</v>
          </cell>
          <cell r="K584">
            <v>0</v>
          </cell>
          <cell r="L584">
            <v>0</v>
          </cell>
          <cell r="M584">
            <v>0</v>
          </cell>
          <cell r="N584">
            <v>-1500</v>
          </cell>
          <cell r="O584">
            <v>0</v>
          </cell>
        </row>
        <row r="585">
          <cell r="A585" t="str">
            <v>420.00.00.900-4850.07</v>
          </cell>
          <cell r="B585" t="str">
            <v>420</v>
          </cell>
          <cell r="C585" t="str">
            <v>00</v>
          </cell>
          <cell r="D585" t="str">
            <v>00</v>
          </cell>
          <cell r="E585" t="str">
            <v>900</v>
          </cell>
          <cell r="F585" t="str">
            <v>4850.07</v>
          </cell>
          <cell r="G585" t="str">
            <v>Other Revenue Misc Reimbursement</v>
          </cell>
          <cell r="H585">
            <v>0</v>
          </cell>
          <cell r="I585">
            <v>0</v>
          </cell>
          <cell r="J585">
            <v>0</v>
          </cell>
          <cell r="K585">
            <v>0</v>
          </cell>
          <cell r="L585">
            <v>0</v>
          </cell>
          <cell r="M585">
            <v>0</v>
          </cell>
          <cell r="N585">
            <v>0</v>
          </cell>
          <cell r="O585" t="str">
            <v>+++</v>
          </cell>
        </row>
        <row r="586">
          <cell r="A586" t="str">
            <v>420.00.00.900-4900.01</v>
          </cell>
          <cell r="B586" t="str">
            <v>420</v>
          </cell>
          <cell r="C586" t="str">
            <v>00</v>
          </cell>
          <cell r="D586" t="str">
            <v>00</v>
          </cell>
          <cell r="E586" t="str">
            <v>900</v>
          </cell>
          <cell r="F586" t="str">
            <v>4900.01</v>
          </cell>
          <cell r="G586" t="str">
            <v>Other Financing Sources Op Transfer In-General Fund</v>
          </cell>
          <cell r="H586">
            <v>0</v>
          </cell>
          <cell r="I586">
            <v>0</v>
          </cell>
          <cell r="J586">
            <v>0</v>
          </cell>
          <cell r="K586">
            <v>0</v>
          </cell>
          <cell r="L586">
            <v>0</v>
          </cell>
          <cell r="M586">
            <v>0</v>
          </cell>
          <cell r="N586">
            <v>0</v>
          </cell>
          <cell r="O586" t="str">
            <v>+++</v>
          </cell>
        </row>
        <row r="587">
          <cell r="A587" t="str">
            <v>420.00.00.900-4900.25</v>
          </cell>
          <cell r="B587" t="str">
            <v>420</v>
          </cell>
          <cell r="C587" t="str">
            <v>00</v>
          </cell>
          <cell r="D587" t="str">
            <v>00</v>
          </cell>
          <cell r="E587" t="str">
            <v>900</v>
          </cell>
          <cell r="F587" t="str">
            <v>4900.25</v>
          </cell>
          <cell r="G587" t="str">
            <v>Other Financing Sources Op Transfer In-Dev Mitigation</v>
          </cell>
          <cell r="H587">
            <v>0</v>
          </cell>
          <cell r="I587">
            <v>0</v>
          </cell>
          <cell r="J587">
            <v>0</v>
          </cell>
          <cell r="K587">
            <v>0</v>
          </cell>
          <cell r="L587">
            <v>0</v>
          </cell>
          <cell r="M587">
            <v>0</v>
          </cell>
          <cell r="N587">
            <v>0</v>
          </cell>
          <cell r="O587" t="str">
            <v>+++</v>
          </cell>
        </row>
        <row r="588">
          <cell r="A588" t="str">
            <v>420.00.00.900-4900.44</v>
          </cell>
          <cell r="B588" t="str">
            <v>420</v>
          </cell>
          <cell r="C588" t="str">
            <v>00</v>
          </cell>
          <cell r="D588" t="str">
            <v>00</v>
          </cell>
          <cell r="E588" t="str">
            <v>900</v>
          </cell>
          <cell r="F588" t="str">
            <v>4900.44</v>
          </cell>
          <cell r="G588" t="str">
            <v>Other Financing Sources Op Transfer In-Measure K</v>
          </cell>
          <cell r="H588">
            <v>0</v>
          </cell>
          <cell r="I588">
            <v>0</v>
          </cell>
          <cell r="J588">
            <v>0</v>
          </cell>
          <cell r="K588">
            <v>0</v>
          </cell>
          <cell r="L588">
            <v>0</v>
          </cell>
          <cell r="M588">
            <v>0</v>
          </cell>
          <cell r="N588">
            <v>0</v>
          </cell>
          <cell r="O588" t="str">
            <v>+++</v>
          </cell>
        </row>
        <row r="589">
          <cell r="A589" t="str">
            <v>420.00.00.900-4900.88</v>
          </cell>
          <cell r="B589" t="str">
            <v>420</v>
          </cell>
          <cell r="C589" t="str">
            <v>00</v>
          </cell>
          <cell r="D589" t="str">
            <v>00</v>
          </cell>
          <cell r="E589" t="str">
            <v>900</v>
          </cell>
          <cell r="F589" t="str">
            <v>4900.88</v>
          </cell>
          <cell r="G589" t="str">
            <v>Other Financing Sources Op Transfer In-Payroll Tax Ben</v>
          </cell>
          <cell r="H589">
            <v>0</v>
          </cell>
          <cell r="I589">
            <v>0</v>
          </cell>
          <cell r="J589">
            <v>0</v>
          </cell>
          <cell r="K589">
            <v>0</v>
          </cell>
          <cell r="L589">
            <v>0</v>
          </cell>
          <cell r="M589">
            <v>0</v>
          </cell>
          <cell r="N589">
            <v>0</v>
          </cell>
          <cell r="O589" t="str">
            <v>+++</v>
          </cell>
        </row>
      </sheetData>
    </sheetDataSet>
  </externalBook>
</externalLink>
</file>

<file path=xl/queryTables/queryTable1.xml><?xml version="1.0" encoding="utf-8"?>
<queryTable xmlns="http://schemas.openxmlformats.org/spreadsheetml/2006/main" name="qsysprt"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3"/>
  <sheetViews>
    <sheetView tabSelected="1" view="pageBreakPreview" zoomScale="110" zoomScaleNormal="100" zoomScaleSheetLayoutView="110" workbookViewId="0">
      <selection activeCell="AO8" sqref="AO8"/>
    </sheetView>
  </sheetViews>
  <sheetFormatPr defaultRowHeight="15" outlineLevelRow="1" outlineLevelCol="1" x14ac:dyDescent="0.25"/>
  <cols>
    <col min="1" max="1" width="7.85546875" style="30" customWidth="1"/>
    <col min="2" max="2" width="1.42578125" style="35" customWidth="1"/>
    <col min="3" max="3" width="1.85546875" style="35" customWidth="1"/>
    <col min="4" max="4" width="22.5703125" style="35" customWidth="1"/>
    <col min="5" max="5" width="2.28515625" style="35" customWidth="1"/>
    <col min="6" max="6" width="13.42578125" style="40" hidden="1" customWidth="1" outlineLevel="1"/>
    <col min="7" max="7" width="13.42578125" style="35" hidden="1" customWidth="1" outlineLevel="1"/>
    <col min="8" max="12" width="12.85546875" style="35" hidden="1" customWidth="1" outlineLevel="1"/>
    <col min="13" max="13" width="11.5703125" style="35" hidden="1" customWidth="1" outlineLevel="1"/>
    <col min="14" max="14" width="9" style="35" hidden="1" customWidth="1" outlineLevel="1"/>
    <col min="15" max="15" width="29" style="35" hidden="1" customWidth="1" outlineLevel="1"/>
    <col min="16" max="16" width="2.7109375" style="35" hidden="1" customWidth="1" outlineLevel="1"/>
    <col min="17" max="18" width="13.42578125" style="35" hidden="1" customWidth="1" outlineLevel="1"/>
    <col min="19" max="19" width="13.5703125" style="35" hidden="1" customWidth="1" outlineLevel="1"/>
    <col min="20" max="20" width="14.140625" style="35" hidden="1" customWidth="1" outlineLevel="1"/>
    <col min="21" max="21" width="12.28515625" style="35" hidden="1" customWidth="1" outlineLevel="1"/>
    <col min="22" max="22" width="14.140625" style="35" hidden="1" customWidth="1" outlineLevel="1"/>
    <col min="23" max="23" width="12.7109375" style="35" customWidth="1" collapsed="1"/>
    <col min="24" max="24" width="11.85546875" style="35" hidden="1" customWidth="1" outlineLevel="1"/>
    <col min="25" max="25" width="5.7109375" style="35" hidden="1" customWidth="1" outlineLevel="1"/>
    <col min="26" max="26" width="29" style="35" hidden="1" customWidth="1" outlineLevel="1"/>
    <col min="27" max="27" width="2.28515625" style="35" customWidth="1" collapsed="1"/>
    <col min="28" max="28" width="13.28515625" style="40" hidden="1" customWidth="1" outlineLevel="1"/>
    <col min="29" max="29" width="13.42578125" style="35" hidden="1" customWidth="1" outlineLevel="1"/>
    <col min="30" max="31" width="11.85546875" style="35" hidden="1" customWidth="1" outlineLevel="1"/>
    <col min="32" max="32" width="12.28515625" style="35" hidden="1" customWidth="1" outlineLevel="1"/>
    <col min="33" max="33" width="11.85546875" style="35" hidden="1" customWidth="1" outlineLevel="1"/>
    <col min="34" max="34" width="12.7109375" style="35" customWidth="1" collapsed="1"/>
    <col min="35" max="35" width="13.28515625" style="35" hidden="1" customWidth="1" outlineLevel="1"/>
    <col min="36" max="36" width="8.140625" style="35" hidden="1" customWidth="1" outlineLevel="1"/>
    <col min="37" max="37" width="25.28515625" style="35" hidden="1" customWidth="1" outlineLevel="1"/>
    <col min="38" max="38" width="2.28515625" style="35" customWidth="1" collapsed="1"/>
    <col min="39" max="39" width="12.7109375" style="40" hidden="1" customWidth="1" outlineLevel="1"/>
    <col min="40" max="40" width="13.42578125" style="35" customWidth="1" collapsed="1"/>
    <col min="41" max="41" width="13.42578125" style="35" customWidth="1"/>
    <col min="42" max="43" width="11.85546875" style="35" hidden="1" customWidth="1" outlineLevel="1"/>
    <col min="44" max="44" width="12.28515625" style="35" hidden="1" customWidth="1" outlineLevel="1"/>
    <col min="45" max="45" width="11.85546875" style="35" hidden="1" customWidth="1" outlineLevel="1"/>
    <col min="46" max="46" width="12.7109375" style="35" hidden="1" customWidth="1" outlineLevel="1"/>
    <col min="47" max="47" width="13.28515625" style="35" hidden="1" customWidth="1" outlineLevel="1"/>
    <col min="48" max="48" width="6.28515625" style="35" hidden="1" customWidth="1" outlineLevel="1"/>
    <col min="49" max="49" width="32.85546875" style="35" customWidth="1" collapsed="1"/>
    <col min="50" max="50" width="2.7109375" style="35" hidden="1" customWidth="1" outlineLevel="1"/>
    <col min="51" max="51" width="12.7109375" style="40" hidden="1" customWidth="1" outlineLevel="1"/>
    <col min="52" max="52" width="13.140625" style="35" hidden="1" customWidth="1" outlineLevel="1"/>
    <col min="53" max="53" width="5.7109375" style="35" hidden="1" customWidth="1" outlineLevel="1"/>
    <col min="54" max="54" width="13.42578125" style="35" hidden="1" customWidth="1" outlineLevel="1"/>
    <col min="55" max="56" width="11.85546875" style="35" hidden="1" customWidth="1" outlineLevel="1"/>
    <col min="57" max="57" width="12.28515625" style="35" hidden="1" customWidth="1" outlineLevel="1"/>
    <col min="58" max="58" width="11.85546875" style="35" hidden="1" customWidth="1" outlineLevel="1"/>
    <col min="59" max="59" width="14" style="35" hidden="1" customWidth="1" outlineLevel="1"/>
    <col min="60" max="60" width="13.28515625" style="35" hidden="1" customWidth="1" outlineLevel="1"/>
    <col min="61" max="61" width="5.7109375" style="35" hidden="1" customWidth="1" outlineLevel="1"/>
    <col min="62" max="62" width="34.5703125" style="35" hidden="1" customWidth="1" outlineLevel="1"/>
    <col min="63" max="63" width="9.140625" style="35" collapsed="1"/>
    <col min="64" max="255" width="9.140625" style="35"/>
    <col min="256" max="256" width="7.85546875" style="35" customWidth="1"/>
    <col min="257" max="258" width="3" style="35" customWidth="1"/>
    <col min="259" max="259" width="22.5703125" style="35" customWidth="1"/>
    <col min="260" max="260" width="2.28515625" style="35" customWidth="1"/>
    <col min="261" max="266" width="0" style="35" hidden="1" customWidth="1"/>
    <col min="267" max="267" width="12.85546875" style="35" customWidth="1"/>
    <col min="268" max="270" width="0" style="35" hidden="1" customWidth="1"/>
    <col min="271" max="271" width="2.7109375" style="35" customWidth="1"/>
    <col min="272" max="277" width="0" style="35" hidden="1" customWidth="1"/>
    <col min="278" max="278" width="12.7109375" style="35" customWidth="1"/>
    <col min="279" max="281" width="0" style="35" hidden="1" customWidth="1"/>
    <col min="282" max="282" width="2.28515625" style="35" customWidth="1"/>
    <col min="283" max="288" width="0" style="35" hidden="1" customWidth="1"/>
    <col min="289" max="289" width="12.7109375" style="35" customWidth="1"/>
    <col min="290" max="292" width="0" style="35" hidden="1" customWidth="1"/>
    <col min="293" max="293" width="2.28515625" style="35" customWidth="1"/>
    <col min="294" max="294" width="12.7109375" style="35" customWidth="1"/>
    <col min="295" max="301" width="0" style="35" hidden="1" customWidth="1"/>
    <col min="302" max="302" width="12.7109375" style="35" customWidth="1"/>
    <col min="303" max="305" width="0" style="35" hidden="1" customWidth="1"/>
    <col min="306" max="306" width="2.7109375" style="35" customWidth="1"/>
    <col min="307" max="307" width="12.7109375" style="35" customWidth="1"/>
    <col min="308" max="308" width="13.140625" style="35" bestFit="1" customWidth="1"/>
    <col min="309" max="309" width="5.7109375" style="35" customWidth="1"/>
    <col min="310" max="317" width="0" style="35" hidden="1" customWidth="1"/>
    <col min="318" max="318" width="34.5703125" style="35" customWidth="1"/>
    <col min="319" max="511" width="9.140625" style="35"/>
    <col min="512" max="512" width="7.85546875" style="35" customWidth="1"/>
    <col min="513" max="514" width="3" style="35" customWidth="1"/>
    <col min="515" max="515" width="22.5703125" style="35" customWidth="1"/>
    <col min="516" max="516" width="2.28515625" style="35" customWidth="1"/>
    <col min="517" max="522" width="0" style="35" hidden="1" customWidth="1"/>
    <col min="523" max="523" width="12.85546875" style="35" customWidth="1"/>
    <col min="524" max="526" width="0" style="35" hidden="1" customWidth="1"/>
    <col min="527" max="527" width="2.7109375" style="35" customWidth="1"/>
    <col min="528" max="533" width="0" style="35" hidden="1" customWidth="1"/>
    <col min="534" max="534" width="12.7109375" style="35" customWidth="1"/>
    <col min="535" max="537" width="0" style="35" hidden="1" customWidth="1"/>
    <col min="538" max="538" width="2.28515625" style="35" customWidth="1"/>
    <col min="539" max="544" width="0" style="35" hidden="1" customWidth="1"/>
    <col min="545" max="545" width="12.7109375" style="35" customWidth="1"/>
    <col min="546" max="548" width="0" style="35" hidden="1" customWidth="1"/>
    <col min="549" max="549" width="2.28515625" style="35" customWidth="1"/>
    <col min="550" max="550" width="12.7109375" style="35" customWidth="1"/>
    <col min="551" max="557" width="0" style="35" hidden="1" customWidth="1"/>
    <col min="558" max="558" width="12.7109375" style="35" customWidth="1"/>
    <col min="559" max="561" width="0" style="35" hidden="1" customWidth="1"/>
    <col min="562" max="562" width="2.7109375" style="35" customWidth="1"/>
    <col min="563" max="563" width="12.7109375" style="35" customWidth="1"/>
    <col min="564" max="564" width="13.140625" style="35" bestFit="1" customWidth="1"/>
    <col min="565" max="565" width="5.7109375" style="35" customWidth="1"/>
    <col min="566" max="573" width="0" style="35" hidden="1" customWidth="1"/>
    <col min="574" max="574" width="34.5703125" style="35" customWidth="1"/>
    <col min="575" max="767" width="9.140625" style="35"/>
    <col min="768" max="768" width="7.85546875" style="35" customWidth="1"/>
    <col min="769" max="770" width="3" style="35" customWidth="1"/>
    <col min="771" max="771" width="22.5703125" style="35" customWidth="1"/>
    <col min="772" max="772" width="2.28515625" style="35" customWidth="1"/>
    <col min="773" max="778" width="0" style="35" hidden="1" customWidth="1"/>
    <col min="779" max="779" width="12.85546875" style="35" customWidth="1"/>
    <col min="780" max="782" width="0" style="35" hidden="1" customWidth="1"/>
    <col min="783" max="783" width="2.7109375" style="35" customWidth="1"/>
    <col min="784" max="789" width="0" style="35" hidden="1" customWidth="1"/>
    <col min="790" max="790" width="12.7109375" style="35" customWidth="1"/>
    <col min="791" max="793" width="0" style="35" hidden="1" customWidth="1"/>
    <col min="794" max="794" width="2.28515625" style="35" customWidth="1"/>
    <col min="795" max="800" width="0" style="35" hidden="1" customWidth="1"/>
    <col min="801" max="801" width="12.7109375" style="35" customWidth="1"/>
    <col min="802" max="804" width="0" style="35" hidden="1" customWidth="1"/>
    <col min="805" max="805" width="2.28515625" style="35" customWidth="1"/>
    <col min="806" max="806" width="12.7109375" style="35" customWidth="1"/>
    <col min="807" max="813" width="0" style="35" hidden="1" customWidth="1"/>
    <col min="814" max="814" width="12.7109375" style="35" customWidth="1"/>
    <col min="815" max="817" width="0" style="35" hidden="1" customWidth="1"/>
    <col min="818" max="818" width="2.7109375" style="35" customWidth="1"/>
    <col min="819" max="819" width="12.7109375" style="35" customWidth="1"/>
    <col min="820" max="820" width="13.140625" style="35" bestFit="1" customWidth="1"/>
    <col min="821" max="821" width="5.7109375" style="35" customWidth="1"/>
    <col min="822" max="829" width="0" style="35" hidden="1" customWidth="1"/>
    <col min="830" max="830" width="34.5703125" style="35" customWidth="1"/>
    <col min="831" max="1023" width="9.140625" style="35"/>
    <col min="1024" max="1024" width="7.85546875" style="35" customWidth="1"/>
    <col min="1025" max="1026" width="3" style="35" customWidth="1"/>
    <col min="1027" max="1027" width="22.5703125" style="35" customWidth="1"/>
    <col min="1028" max="1028" width="2.28515625" style="35" customWidth="1"/>
    <col min="1029" max="1034" width="0" style="35" hidden="1" customWidth="1"/>
    <col min="1035" max="1035" width="12.85546875" style="35" customWidth="1"/>
    <col min="1036" max="1038" width="0" style="35" hidden="1" customWidth="1"/>
    <col min="1039" max="1039" width="2.7109375" style="35" customWidth="1"/>
    <col min="1040" max="1045" width="0" style="35" hidden="1" customWidth="1"/>
    <col min="1046" max="1046" width="12.7109375" style="35" customWidth="1"/>
    <col min="1047" max="1049" width="0" style="35" hidden="1" customWidth="1"/>
    <col min="1050" max="1050" width="2.28515625" style="35" customWidth="1"/>
    <col min="1051" max="1056" width="0" style="35" hidden="1" customWidth="1"/>
    <col min="1057" max="1057" width="12.7109375" style="35" customWidth="1"/>
    <col min="1058" max="1060" width="0" style="35" hidden="1" customWidth="1"/>
    <col min="1061" max="1061" width="2.28515625" style="35" customWidth="1"/>
    <col min="1062" max="1062" width="12.7109375" style="35" customWidth="1"/>
    <col min="1063" max="1069" width="0" style="35" hidden="1" customWidth="1"/>
    <col min="1070" max="1070" width="12.7109375" style="35" customWidth="1"/>
    <col min="1071" max="1073" width="0" style="35" hidden="1" customWidth="1"/>
    <col min="1074" max="1074" width="2.7109375" style="35" customWidth="1"/>
    <col min="1075" max="1075" width="12.7109375" style="35" customWidth="1"/>
    <col min="1076" max="1076" width="13.140625" style="35" bestFit="1" customWidth="1"/>
    <col min="1077" max="1077" width="5.7109375" style="35" customWidth="1"/>
    <col min="1078" max="1085" width="0" style="35" hidden="1" customWidth="1"/>
    <col min="1086" max="1086" width="34.5703125" style="35" customWidth="1"/>
    <col min="1087" max="1279" width="9.140625" style="35"/>
    <col min="1280" max="1280" width="7.85546875" style="35" customWidth="1"/>
    <col min="1281" max="1282" width="3" style="35" customWidth="1"/>
    <col min="1283" max="1283" width="22.5703125" style="35" customWidth="1"/>
    <col min="1284" max="1284" width="2.28515625" style="35" customWidth="1"/>
    <col min="1285" max="1290" width="0" style="35" hidden="1" customWidth="1"/>
    <col min="1291" max="1291" width="12.85546875" style="35" customWidth="1"/>
    <col min="1292" max="1294" width="0" style="35" hidden="1" customWidth="1"/>
    <col min="1295" max="1295" width="2.7109375" style="35" customWidth="1"/>
    <col min="1296" max="1301" width="0" style="35" hidden="1" customWidth="1"/>
    <col min="1302" max="1302" width="12.7109375" style="35" customWidth="1"/>
    <col min="1303" max="1305" width="0" style="35" hidden="1" customWidth="1"/>
    <col min="1306" max="1306" width="2.28515625" style="35" customWidth="1"/>
    <col min="1307" max="1312" width="0" style="35" hidden="1" customWidth="1"/>
    <col min="1313" max="1313" width="12.7109375" style="35" customWidth="1"/>
    <col min="1314" max="1316" width="0" style="35" hidden="1" customWidth="1"/>
    <col min="1317" max="1317" width="2.28515625" style="35" customWidth="1"/>
    <col min="1318" max="1318" width="12.7109375" style="35" customWidth="1"/>
    <col min="1319" max="1325" width="0" style="35" hidden="1" customWidth="1"/>
    <col min="1326" max="1326" width="12.7109375" style="35" customWidth="1"/>
    <col min="1327" max="1329" width="0" style="35" hidden="1" customWidth="1"/>
    <col min="1330" max="1330" width="2.7109375" style="35" customWidth="1"/>
    <col min="1331" max="1331" width="12.7109375" style="35" customWidth="1"/>
    <col min="1332" max="1332" width="13.140625" style="35" bestFit="1" customWidth="1"/>
    <col min="1333" max="1333" width="5.7109375" style="35" customWidth="1"/>
    <col min="1334" max="1341" width="0" style="35" hidden="1" customWidth="1"/>
    <col min="1342" max="1342" width="34.5703125" style="35" customWidth="1"/>
    <col min="1343" max="1535" width="9.140625" style="35"/>
    <col min="1536" max="1536" width="7.85546875" style="35" customWidth="1"/>
    <col min="1537" max="1538" width="3" style="35" customWidth="1"/>
    <col min="1539" max="1539" width="22.5703125" style="35" customWidth="1"/>
    <col min="1540" max="1540" width="2.28515625" style="35" customWidth="1"/>
    <col min="1541" max="1546" width="0" style="35" hidden="1" customWidth="1"/>
    <col min="1547" max="1547" width="12.85546875" style="35" customWidth="1"/>
    <col min="1548" max="1550" width="0" style="35" hidden="1" customWidth="1"/>
    <col min="1551" max="1551" width="2.7109375" style="35" customWidth="1"/>
    <col min="1552" max="1557" width="0" style="35" hidden="1" customWidth="1"/>
    <col min="1558" max="1558" width="12.7109375" style="35" customWidth="1"/>
    <col min="1559" max="1561" width="0" style="35" hidden="1" customWidth="1"/>
    <col min="1562" max="1562" width="2.28515625" style="35" customWidth="1"/>
    <col min="1563" max="1568" width="0" style="35" hidden="1" customWidth="1"/>
    <col min="1569" max="1569" width="12.7109375" style="35" customWidth="1"/>
    <col min="1570" max="1572" width="0" style="35" hidden="1" customWidth="1"/>
    <col min="1573" max="1573" width="2.28515625" style="35" customWidth="1"/>
    <col min="1574" max="1574" width="12.7109375" style="35" customWidth="1"/>
    <col min="1575" max="1581" width="0" style="35" hidden="1" customWidth="1"/>
    <col min="1582" max="1582" width="12.7109375" style="35" customWidth="1"/>
    <col min="1583" max="1585" width="0" style="35" hidden="1" customWidth="1"/>
    <col min="1586" max="1586" width="2.7109375" style="35" customWidth="1"/>
    <col min="1587" max="1587" width="12.7109375" style="35" customWidth="1"/>
    <col min="1588" max="1588" width="13.140625" style="35" bestFit="1" customWidth="1"/>
    <col min="1589" max="1589" width="5.7109375" style="35" customWidth="1"/>
    <col min="1590" max="1597" width="0" style="35" hidden="1" customWidth="1"/>
    <col min="1598" max="1598" width="34.5703125" style="35" customWidth="1"/>
    <col min="1599" max="1791" width="9.140625" style="35"/>
    <col min="1792" max="1792" width="7.85546875" style="35" customWidth="1"/>
    <col min="1793" max="1794" width="3" style="35" customWidth="1"/>
    <col min="1795" max="1795" width="22.5703125" style="35" customWidth="1"/>
    <col min="1796" max="1796" width="2.28515625" style="35" customWidth="1"/>
    <col min="1797" max="1802" width="0" style="35" hidden="1" customWidth="1"/>
    <col min="1803" max="1803" width="12.85546875" style="35" customWidth="1"/>
    <col min="1804" max="1806" width="0" style="35" hidden="1" customWidth="1"/>
    <col min="1807" max="1807" width="2.7109375" style="35" customWidth="1"/>
    <col min="1808" max="1813" width="0" style="35" hidden="1" customWidth="1"/>
    <col min="1814" max="1814" width="12.7109375" style="35" customWidth="1"/>
    <col min="1815" max="1817" width="0" style="35" hidden="1" customWidth="1"/>
    <col min="1818" max="1818" width="2.28515625" style="35" customWidth="1"/>
    <col min="1819" max="1824" width="0" style="35" hidden="1" customWidth="1"/>
    <col min="1825" max="1825" width="12.7109375" style="35" customWidth="1"/>
    <col min="1826" max="1828" width="0" style="35" hidden="1" customWidth="1"/>
    <col min="1829" max="1829" width="2.28515625" style="35" customWidth="1"/>
    <col min="1830" max="1830" width="12.7109375" style="35" customWidth="1"/>
    <col min="1831" max="1837" width="0" style="35" hidden="1" customWidth="1"/>
    <col min="1838" max="1838" width="12.7109375" style="35" customWidth="1"/>
    <col min="1839" max="1841" width="0" style="35" hidden="1" customWidth="1"/>
    <col min="1842" max="1842" width="2.7109375" style="35" customWidth="1"/>
    <col min="1843" max="1843" width="12.7109375" style="35" customWidth="1"/>
    <col min="1844" max="1844" width="13.140625" style="35" bestFit="1" customWidth="1"/>
    <col min="1845" max="1845" width="5.7109375" style="35" customWidth="1"/>
    <col min="1846" max="1853" width="0" style="35" hidden="1" customWidth="1"/>
    <col min="1854" max="1854" width="34.5703125" style="35" customWidth="1"/>
    <col min="1855" max="2047" width="9.140625" style="35"/>
    <col min="2048" max="2048" width="7.85546875" style="35" customWidth="1"/>
    <col min="2049" max="2050" width="3" style="35" customWidth="1"/>
    <col min="2051" max="2051" width="22.5703125" style="35" customWidth="1"/>
    <col min="2052" max="2052" width="2.28515625" style="35" customWidth="1"/>
    <col min="2053" max="2058" width="0" style="35" hidden="1" customWidth="1"/>
    <col min="2059" max="2059" width="12.85546875" style="35" customWidth="1"/>
    <col min="2060" max="2062" width="0" style="35" hidden="1" customWidth="1"/>
    <col min="2063" max="2063" width="2.7109375" style="35" customWidth="1"/>
    <col min="2064" max="2069" width="0" style="35" hidden="1" customWidth="1"/>
    <col min="2070" max="2070" width="12.7109375" style="35" customWidth="1"/>
    <col min="2071" max="2073" width="0" style="35" hidden="1" customWidth="1"/>
    <col min="2074" max="2074" width="2.28515625" style="35" customWidth="1"/>
    <col min="2075" max="2080" width="0" style="35" hidden="1" customWidth="1"/>
    <col min="2081" max="2081" width="12.7109375" style="35" customWidth="1"/>
    <col min="2082" max="2084" width="0" style="35" hidden="1" customWidth="1"/>
    <col min="2085" max="2085" width="2.28515625" style="35" customWidth="1"/>
    <col min="2086" max="2086" width="12.7109375" style="35" customWidth="1"/>
    <col min="2087" max="2093" width="0" style="35" hidden="1" customWidth="1"/>
    <col min="2094" max="2094" width="12.7109375" style="35" customWidth="1"/>
    <col min="2095" max="2097" width="0" style="35" hidden="1" customWidth="1"/>
    <col min="2098" max="2098" width="2.7109375" style="35" customWidth="1"/>
    <col min="2099" max="2099" width="12.7109375" style="35" customWidth="1"/>
    <col min="2100" max="2100" width="13.140625" style="35" bestFit="1" customWidth="1"/>
    <col min="2101" max="2101" width="5.7109375" style="35" customWidth="1"/>
    <col min="2102" max="2109" width="0" style="35" hidden="1" customWidth="1"/>
    <col min="2110" max="2110" width="34.5703125" style="35" customWidth="1"/>
    <col min="2111" max="2303" width="9.140625" style="35"/>
    <col min="2304" max="2304" width="7.85546875" style="35" customWidth="1"/>
    <col min="2305" max="2306" width="3" style="35" customWidth="1"/>
    <col min="2307" max="2307" width="22.5703125" style="35" customWidth="1"/>
    <col min="2308" max="2308" width="2.28515625" style="35" customWidth="1"/>
    <col min="2309" max="2314" width="0" style="35" hidden="1" customWidth="1"/>
    <col min="2315" max="2315" width="12.85546875" style="35" customWidth="1"/>
    <col min="2316" max="2318" width="0" style="35" hidden="1" customWidth="1"/>
    <col min="2319" max="2319" width="2.7109375" style="35" customWidth="1"/>
    <col min="2320" max="2325" width="0" style="35" hidden="1" customWidth="1"/>
    <col min="2326" max="2326" width="12.7109375" style="35" customWidth="1"/>
    <col min="2327" max="2329" width="0" style="35" hidden="1" customWidth="1"/>
    <col min="2330" max="2330" width="2.28515625" style="35" customWidth="1"/>
    <col min="2331" max="2336" width="0" style="35" hidden="1" customWidth="1"/>
    <col min="2337" max="2337" width="12.7109375" style="35" customWidth="1"/>
    <col min="2338" max="2340" width="0" style="35" hidden="1" customWidth="1"/>
    <col min="2341" max="2341" width="2.28515625" style="35" customWidth="1"/>
    <col min="2342" max="2342" width="12.7109375" style="35" customWidth="1"/>
    <col min="2343" max="2349" width="0" style="35" hidden="1" customWidth="1"/>
    <col min="2350" max="2350" width="12.7109375" style="35" customWidth="1"/>
    <col min="2351" max="2353" width="0" style="35" hidden="1" customWidth="1"/>
    <col min="2354" max="2354" width="2.7109375" style="35" customWidth="1"/>
    <col min="2355" max="2355" width="12.7109375" style="35" customWidth="1"/>
    <col min="2356" max="2356" width="13.140625" style="35" bestFit="1" customWidth="1"/>
    <col min="2357" max="2357" width="5.7109375" style="35" customWidth="1"/>
    <col min="2358" max="2365" width="0" style="35" hidden="1" customWidth="1"/>
    <col min="2366" max="2366" width="34.5703125" style="35" customWidth="1"/>
    <col min="2367" max="2559" width="9.140625" style="35"/>
    <col min="2560" max="2560" width="7.85546875" style="35" customWidth="1"/>
    <col min="2561" max="2562" width="3" style="35" customWidth="1"/>
    <col min="2563" max="2563" width="22.5703125" style="35" customWidth="1"/>
    <col min="2564" max="2564" width="2.28515625" style="35" customWidth="1"/>
    <col min="2565" max="2570" width="0" style="35" hidden="1" customWidth="1"/>
    <col min="2571" max="2571" width="12.85546875" style="35" customWidth="1"/>
    <col min="2572" max="2574" width="0" style="35" hidden="1" customWidth="1"/>
    <col min="2575" max="2575" width="2.7109375" style="35" customWidth="1"/>
    <col min="2576" max="2581" width="0" style="35" hidden="1" customWidth="1"/>
    <col min="2582" max="2582" width="12.7109375" style="35" customWidth="1"/>
    <col min="2583" max="2585" width="0" style="35" hidden="1" customWidth="1"/>
    <col min="2586" max="2586" width="2.28515625" style="35" customWidth="1"/>
    <col min="2587" max="2592" width="0" style="35" hidden="1" customWidth="1"/>
    <col min="2593" max="2593" width="12.7109375" style="35" customWidth="1"/>
    <col min="2594" max="2596" width="0" style="35" hidden="1" customWidth="1"/>
    <col min="2597" max="2597" width="2.28515625" style="35" customWidth="1"/>
    <col min="2598" max="2598" width="12.7109375" style="35" customWidth="1"/>
    <col min="2599" max="2605" width="0" style="35" hidden="1" customWidth="1"/>
    <col min="2606" max="2606" width="12.7109375" style="35" customWidth="1"/>
    <col min="2607" max="2609" width="0" style="35" hidden="1" customWidth="1"/>
    <col min="2610" max="2610" width="2.7109375" style="35" customWidth="1"/>
    <col min="2611" max="2611" width="12.7109375" style="35" customWidth="1"/>
    <col min="2612" max="2612" width="13.140625" style="35" bestFit="1" customWidth="1"/>
    <col min="2613" max="2613" width="5.7109375" style="35" customWidth="1"/>
    <col min="2614" max="2621" width="0" style="35" hidden="1" customWidth="1"/>
    <col min="2622" max="2622" width="34.5703125" style="35" customWidth="1"/>
    <col min="2623" max="2815" width="9.140625" style="35"/>
    <col min="2816" max="2816" width="7.85546875" style="35" customWidth="1"/>
    <col min="2817" max="2818" width="3" style="35" customWidth="1"/>
    <col min="2819" max="2819" width="22.5703125" style="35" customWidth="1"/>
    <col min="2820" max="2820" width="2.28515625" style="35" customWidth="1"/>
    <col min="2821" max="2826" width="0" style="35" hidden="1" customWidth="1"/>
    <col min="2827" max="2827" width="12.85546875" style="35" customWidth="1"/>
    <col min="2828" max="2830" width="0" style="35" hidden="1" customWidth="1"/>
    <col min="2831" max="2831" width="2.7109375" style="35" customWidth="1"/>
    <col min="2832" max="2837" width="0" style="35" hidden="1" customWidth="1"/>
    <col min="2838" max="2838" width="12.7109375" style="35" customWidth="1"/>
    <col min="2839" max="2841" width="0" style="35" hidden="1" customWidth="1"/>
    <col min="2842" max="2842" width="2.28515625" style="35" customWidth="1"/>
    <col min="2843" max="2848" width="0" style="35" hidden="1" customWidth="1"/>
    <col min="2849" max="2849" width="12.7109375" style="35" customWidth="1"/>
    <col min="2850" max="2852" width="0" style="35" hidden="1" customWidth="1"/>
    <col min="2853" max="2853" width="2.28515625" style="35" customWidth="1"/>
    <col min="2854" max="2854" width="12.7109375" style="35" customWidth="1"/>
    <col min="2855" max="2861" width="0" style="35" hidden="1" customWidth="1"/>
    <col min="2862" max="2862" width="12.7109375" style="35" customWidth="1"/>
    <col min="2863" max="2865" width="0" style="35" hidden="1" customWidth="1"/>
    <col min="2866" max="2866" width="2.7109375" style="35" customWidth="1"/>
    <col min="2867" max="2867" width="12.7109375" style="35" customWidth="1"/>
    <col min="2868" max="2868" width="13.140625" style="35" bestFit="1" customWidth="1"/>
    <col min="2869" max="2869" width="5.7109375" style="35" customWidth="1"/>
    <col min="2870" max="2877" width="0" style="35" hidden="1" customWidth="1"/>
    <col min="2878" max="2878" width="34.5703125" style="35" customWidth="1"/>
    <col min="2879" max="3071" width="9.140625" style="35"/>
    <col min="3072" max="3072" width="7.85546875" style="35" customWidth="1"/>
    <col min="3073" max="3074" width="3" style="35" customWidth="1"/>
    <col min="3075" max="3075" width="22.5703125" style="35" customWidth="1"/>
    <col min="3076" max="3076" width="2.28515625" style="35" customWidth="1"/>
    <col min="3077" max="3082" width="0" style="35" hidden="1" customWidth="1"/>
    <col min="3083" max="3083" width="12.85546875" style="35" customWidth="1"/>
    <col min="3084" max="3086" width="0" style="35" hidden="1" customWidth="1"/>
    <col min="3087" max="3087" width="2.7109375" style="35" customWidth="1"/>
    <col min="3088" max="3093" width="0" style="35" hidden="1" customWidth="1"/>
    <col min="3094" max="3094" width="12.7109375" style="35" customWidth="1"/>
    <col min="3095" max="3097" width="0" style="35" hidden="1" customWidth="1"/>
    <col min="3098" max="3098" width="2.28515625" style="35" customWidth="1"/>
    <col min="3099" max="3104" width="0" style="35" hidden="1" customWidth="1"/>
    <col min="3105" max="3105" width="12.7109375" style="35" customWidth="1"/>
    <col min="3106" max="3108" width="0" style="35" hidden="1" customWidth="1"/>
    <col min="3109" max="3109" width="2.28515625" style="35" customWidth="1"/>
    <col min="3110" max="3110" width="12.7109375" style="35" customWidth="1"/>
    <col min="3111" max="3117" width="0" style="35" hidden="1" customWidth="1"/>
    <col min="3118" max="3118" width="12.7109375" style="35" customWidth="1"/>
    <col min="3119" max="3121" width="0" style="35" hidden="1" customWidth="1"/>
    <col min="3122" max="3122" width="2.7109375" style="35" customWidth="1"/>
    <col min="3123" max="3123" width="12.7109375" style="35" customWidth="1"/>
    <col min="3124" max="3124" width="13.140625" style="35" bestFit="1" customWidth="1"/>
    <col min="3125" max="3125" width="5.7109375" style="35" customWidth="1"/>
    <col min="3126" max="3133" width="0" style="35" hidden="1" customWidth="1"/>
    <col min="3134" max="3134" width="34.5703125" style="35" customWidth="1"/>
    <col min="3135" max="3327" width="9.140625" style="35"/>
    <col min="3328" max="3328" width="7.85546875" style="35" customWidth="1"/>
    <col min="3329" max="3330" width="3" style="35" customWidth="1"/>
    <col min="3331" max="3331" width="22.5703125" style="35" customWidth="1"/>
    <col min="3332" max="3332" width="2.28515625" style="35" customWidth="1"/>
    <col min="3333" max="3338" width="0" style="35" hidden="1" customWidth="1"/>
    <col min="3339" max="3339" width="12.85546875" style="35" customWidth="1"/>
    <col min="3340" max="3342" width="0" style="35" hidden="1" customWidth="1"/>
    <col min="3343" max="3343" width="2.7109375" style="35" customWidth="1"/>
    <col min="3344" max="3349" width="0" style="35" hidden="1" customWidth="1"/>
    <col min="3350" max="3350" width="12.7109375" style="35" customWidth="1"/>
    <col min="3351" max="3353" width="0" style="35" hidden="1" customWidth="1"/>
    <col min="3354" max="3354" width="2.28515625" style="35" customWidth="1"/>
    <col min="3355" max="3360" width="0" style="35" hidden="1" customWidth="1"/>
    <col min="3361" max="3361" width="12.7109375" style="35" customWidth="1"/>
    <col min="3362" max="3364" width="0" style="35" hidden="1" customWidth="1"/>
    <col min="3365" max="3365" width="2.28515625" style="35" customWidth="1"/>
    <col min="3366" max="3366" width="12.7109375" style="35" customWidth="1"/>
    <col min="3367" max="3373" width="0" style="35" hidden="1" customWidth="1"/>
    <col min="3374" max="3374" width="12.7109375" style="35" customWidth="1"/>
    <col min="3375" max="3377" width="0" style="35" hidden="1" customWidth="1"/>
    <col min="3378" max="3378" width="2.7109375" style="35" customWidth="1"/>
    <col min="3379" max="3379" width="12.7109375" style="35" customWidth="1"/>
    <col min="3380" max="3380" width="13.140625" style="35" bestFit="1" customWidth="1"/>
    <col min="3381" max="3381" width="5.7109375" style="35" customWidth="1"/>
    <col min="3382" max="3389" width="0" style="35" hidden="1" customWidth="1"/>
    <col min="3390" max="3390" width="34.5703125" style="35" customWidth="1"/>
    <col min="3391" max="3583" width="9.140625" style="35"/>
    <col min="3584" max="3584" width="7.85546875" style="35" customWidth="1"/>
    <col min="3585" max="3586" width="3" style="35" customWidth="1"/>
    <col min="3587" max="3587" width="22.5703125" style="35" customWidth="1"/>
    <col min="3588" max="3588" width="2.28515625" style="35" customWidth="1"/>
    <col min="3589" max="3594" width="0" style="35" hidden="1" customWidth="1"/>
    <col min="3595" max="3595" width="12.85546875" style="35" customWidth="1"/>
    <col min="3596" max="3598" width="0" style="35" hidden="1" customWidth="1"/>
    <col min="3599" max="3599" width="2.7109375" style="35" customWidth="1"/>
    <col min="3600" max="3605" width="0" style="35" hidden="1" customWidth="1"/>
    <col min="3606" max="3606" width="12.7109375" style="35" customWidth="1"/>
    <col min="3607" max="3609" width="0" style="35" hidden="1" customWidth="1"/>
    <col min="3610" max="3610" width="2.28515625" style="35" customWidth="1"/>
    <col min="3611" max="3616" width="0" style="35" hidden="1" customWidth="1"/>
    <col min="3617" max="3617" width="12.7109375" style="35" customWidth="1"/>
    <col min="3618" max="3620" width="0" style="35" hidden="1" customWidth="1"/>
    <col min="3621" max="3621" width="2.28515625" style="35" customWidth="1"/>
    <col min="3622" max="3622" width="12.7109375" style="35" customWidth="1"/>
    <col min="3623" max="3629" width="0" style="35" hidden="1" customWidth="1"/>
    <col min="3630" max="3630" width="12.7109375" style="35" customWidth="1"/>
    <col min="3631" max="3633" width="0" style="35" hidden="1" customWidth="1"/>
    <col min="3634" max="3634" width="2.7109375" style="35" customWidth="1"/>
    <col min="3635" max="3635" width="12.7109375" style="35" customWidth="1"/>
    <col min="3636" max="3636" width="13.140625" style="35" bestFit="1" customWidth="1"/>
    <col min="3637" max="3637" width="5.7109375" style="35" customWidth="1"/>
    <col min="3638" max="3645" width="0" style="35" hidden="1" customWidth="1"/>
    <col min="3646" max="3646" width="34.5703125" style="35" customWidth="1"/>
    <col min="3647" max="3839" width="9.140625" style="35"/>
    <col min="3840" max="3840" width="7.85546875" style="35" customWidth="1"/>
    <col min="3841" max="3842" width="3" style="35" customWidth="1"/>
    <col min="3843" max="3843" width="22.5703125" style="35" customWidth="1"/>
    <col min="3844" max="3844" width="2.28515625" style="35" customWidth="1"/>
    <col min="3845" max="3850" width="0" style="35" hidden="1" customWidth="1"/>
    <col min="3851" max="3851" width="12.85546875" style="35" customWidth="1"/>
    <col min="3852" max="3854" width="0" style="35" hidden="1" customWidth="1"/>
    <col min="3855" max="3855" width="2.7109375" style="35" customWidth="1"/>
    <col min="3856" max="3861" width="0" style="35" hidden="1" customWidth="1"/>
    <col min="3862" max="3862" width="12.7109375" style="35" customWidth="1"/>
    <col min="3863" max="3865" width="0" style="35" hidden="1" customWidth="1"/>
    <col min="3866" max="3866" width="2.28515625" style="35" customWidth="1"/>
    <col min="3867" max="3872" width="0" style="35" hidden="1" customWidth="1"/>
    <col min="3873" max="3873" width="12.7109375" style="35" customWidth="1"/>
    <col min="3874" max="3876" width="0" style="35" hidden="1" customWidth="1"/>
    <col min="3877" max="3877" width="2.28515625" style="35" customWidth="1"/>
    <col min="3878" max="3878" width="12.7109375" style="35" customWidth="1"/>
    <col min="3879" max="3885" width="0" style="35" hidden="1" customWidth="1"/>
    <col min="3886" max="3886" width="12.7109375" style="35" customWidth="1"/>
    <col min="3887" max="3889" width="0" style="35" hidden="1" customWidth="1"/>
    <col min="3890" max="3890" width="2.7109375" style="35" customWidth="1"/>
    <col min="3891" max="3891" width="12.7109375" style="35" customWidth="1"/>
    <col min="3892" max="3892" width="13.140625" style="35" bestFit="1" customWidth="1"/>
    <col min="3893" max="3893" width="5.7109375" style="35" customWidth="1"/>
    <col min="3894" max="3901" width="0" style="35" hidden="1" customWidth="1"/>
    <col min="3902" max="3902" width="34.5703125" style="35" customWidth="1"/>
    <col min="3903" max="4095" width="9.140625" style="35"/>
    <col min="4096" max="4096" width="7.85546875" style="35" customWidth="1"/>
    <col min="4097" max="4098" width="3" style="35" customWidth="1"/>
    <col min="4099" max="4099" width="22.5703125" style="35" customWidth="1"/>
    <col min="4100" max="4100" width="2.28515625" style="35" customWidth="1"/>
    <col min="4101" max="4106" width="0" style="35" hidden="1" customWidth="1"/>
    <col min="4107" max="4107" width="12.85546875" style="35" customWidth="1"/>
    <col min="4108" max="4110" width="0" style="35" hidden="1" customWidth="1"/>
    <col min="4111" max="4111" width="2.7109375" style="35" customWidth="1"/>
    <col min="4112" max="4117" width="0" style="35" hidden="1" customWidth="1"/>
    <col min="4118" max="4118" width="12.7109375" style="35" customWidth="1"/>
    <col min="4119" max="4121" width="0" style="35" hidden="1" customWidth="1"/>
    <col min="4122" max="4122" width="2.28515625" style="35" customWidth="1"/>
    <col min="4123" max="4128" width="0" style="35" hidden="1" customWidth="1"/>
    <col min="4129" max="4129" width="12.7109375" style="35" customWidth="1"/>
    <col min="4130" max="4132" width="0" style="35" hidden="1" customWidth="1"/>
    <col min="4133" max="4133" width="2.28515625" style="35" customWidth="1"/>
    <col min="4134" max="4134" width="12.7109375" style="35" customWidth="1"/>
    <col min="4135" max="4141" width="0" style="35" hidden="1" customWidth="1"/>
    <col min="4142" max="4142" width="12.7109375" style="35" customWidth="1"/>
    <col min="4143" max="4145" width="0" style="35" hidden="1" customWidth="1"/>
    <col min="4146" max="4146" width="2.7109375" style="35" customWidth="1"/>
    <col min="4147" max="4147" width="12.7109375" style="35" customWidth="1"/>
    <col min="4148" max="4148" width="13.140625" style="35" bestFit="1" customWidth="1"/>
    <col min="4149" max="4149" width="5.7109375" style="35" customWidth="1"/>
    <col min="4150" max="4157" width="0" style="35" hidden="1" customWidth="1"/>
    <col min="4158" max="4158" width="34.5703125" style="35" customWidth="1"/>
    <col min="4159" max="4351" width="9.140625" style="35"/>
    <col min="4352" max="4352" width="7.85546875" style="35" customWidth="1"/>
    <col min="4353" max="4354" width="3" style="35" customWidth="1"/>
    <col min="4355" max="4355" width="22.5703125" style="35" customWidth="1"/>
    <col min="4356" max="4356" width="2.28515625" style="35" customWidth="1"/>
    <col min="4357" max="4362" width="0" style="35" hidden="1" customWidth="1"/>
    <col min="4363" max="4363" width="12.85546875" style="35" customWidth="1"/>
    <col min="4364" max="4366" width="0" style="35" hidden="1" customWidth="1"/>
    <col min="4367" max="4367" width="2.7109375" style="35" customWidth="1"/>
    <col min="4368" max="4373" width="0" style="35" hidden="1" customWidth="1"/>
    <col min="4374" max="4374" width="12.7109375" style="35" customWidth="1"/>
    <col min="4375" max="4377" width="0" style="35" hidden="1" customWidth="1"/>
    <col min="4378" max="4378" width="2.28515625" style="35" customWidth="1"/>
    <col min="4379" max="4384" width="0" style="35" hidden="1" customWidth="1"/>
    <col min="4385" max="4385" width="12.7109375" style="35" customWidth="1"/>
    <col min="4386" max="4388" width="0" style="35" hidden="1" customWidth="1"/>
    <col min="4389" max="4389" width="2.28515625" style="35" customWidth="1"/>
    <col min="4390" max="4390" width="12.7109375" style="35" customWidth="1"/>
    <col min="4391" max="4397" width="0" style="35" hidden="1" customWidth="1"/>
    <col min="4398" max="4398" width="12.7109375" style="35" customWidth="1"/>
    <col min="4399" max="4401" width="0" style="35" hidden="1" customWidth="1"/>
    <col min="4402" max="4402" width="2.7109375" style="35" customWidth="1"/>
    <col min="4403" max="4403" width="12.7109375" style="35" customWidth="1"/>
    <col min="4404" max="4404" width="13.140625" style="35" bestFit="1" customWidth="1"/>
    <col min="4405" max="4405" width="5.7109375" style="35" customWidth="1"/>
    <col min="4406" max="4413" width="0" style="35" hidden="1" customWidth="1"/>
    <col min="4414" max="4414" width="34.5703125" style="35" customWidth="1"/>
    <col min="4415" max="4607" width="9.140625" style="35"/>
    <col min="4608" max="4608" width="7.85546875" style="35" customWidth="1"/>
    <col min="4609" max="4610" width="3" style="35" customWidth="1"/>
    <col min="4611" max="4611" width="22.5703125" style="35" customWidth="1"/>
    <col min="4612" max="4612" width="2.28515625" style="35" customWidth="1"/>
    <col min="4613" max="4618" width="0" style="35" hidden="1" customWidth="1"/>
    <col min="4619" max="4619" width="12.85546875" style="35" customWidth="1"/>
    <col min="4620" max="4622" width="0" style="35" hidden="1" customWidth="1"/>
    <col min="4623" max="4623" width="2.7109375" style="35" customWidth="1"/>
    <col min="4624" max="4629" width="0" style="35" hidden="1" customWidth="1"/>
    <col min="4630" max="4630" width="12.7109375" style="35" customWidth="1"/>
    <col min="4631" max="4633" width="0" style="35" hidden="1" customWidth="1"/>
    <col min="4634" max="4634" width="2.28515625" style="35" customWidth="1"/>
    <col min="4635" max="4640" width="0" style="35" hidden="1" customWidth="1"/>
    <col min="4641" max="4641" width="12.7109375" style="35" customWidth="1"/>
    <col min="4642" max="4644" width="0" style="35" hidden="1" customWidth="1"/>
    <col min="4645" max="4645" width="2.28515625" style="35" customWidth="1"/>
    <col min="4646" max="4646" width="12.7109375" style="35" customWidth="1"/>
    <col min="4647" max="4653" width="0" style="35" hidden="1" customWidth="1"/>
    <col min="4654" max="4654" width="12.7109375" style="35" customWidth="1"/>
    <col min="4655" max="4657" width="0" style="35" hidden="1" customWidth="1"/>
    <col min="4658" max="4658" width="2.7109375" style="35" customWidth="1"/>
    <col min="4659" max="4659" width="12.7109375" style="35" customWidth="1"/>
    <col min="4660" max="4660" width="13.140625" style="35" bestFit="1" customWidth="1"/>
    <col min="4661" max="4661" width="5.7109375" style="35" customWidth="1"/>
    <col min="4662" max="4669" width="0" style="35" hidden="1" customWidth="1"/>
    <col min="4670" max="4670" width="34.5703125" style="35" customWidth="1"/>
    <col min="4671" max="4863" width="9.140625" style="35"/>
    <col min="4864" max="4864" width="7.85546875" style="35" customWidth="1"/>
    <col min="4865" max="4866" width="3" style="35" customWidth="1"/>
    <col min="4867" max="4867" width="22.5703125" style="35" customWidth="1"/>
    <col min="4868" max="4868" width="2.28515625" style="35" customWidth="1"/>
    <col min="4869" max="4874" width="0" style="35" hidden="1" customWidth="1"/>
    <col min="4875" max="4875" width="12.85546875" style="35" customWidth="1"/>
    <col min="4876" max="4878" width="0" style="35" hidden="1" customWidth="1"/>
    <col min="4879" max="4879" width="2.7109375" style="35" customWidth="1"/>
    <col min="4880" max="4885" width="0" style="35" hidden="1" customWidth="1"/>
    <col min="4886" max="4886" width="12.7109375" style="35" customWidth="1"/>
    <col min="4887" max="4889" width="0" style="35" hidden="1" customWidth="1"/>
    <col min="4890" max="4890" width="2.28515625" style="35" customWidth="1"/>
    <col min="4891" max="4896" width="0" style="35" hidden="1" customWidth="1"/>
    <col min="4897" max="4897" width="12.7109375" style="35" customWidth="1"/>
    <col min="4898" max="4900" width="0" style="35" hidden="1" customWidth="1"/>
    <col min="4901" max="4901" width="2.28515625" style="35" customWidth="1"/>
    <col min="4902" max="4902" width="12.7109375" style="35" customWidth="1"/>
    <col min="4903" max="4909" width="0" style="35" hidden="1" customWidth="1"/>
    <col min="4910" max="4910" width="12.7109375" style="35" customWidth="1"/>
    <col min="4911" max="4913" width="0" style="35" hidden="1" customWidth="1"/>
    <col min="4914" max="4914" width="2.7109375" style="35" customWidth="1"/>
    <col min="4915" max="4915" width="12.7109375" style="35" customWidth="1"/>
    <col min="4916" max="4916" width="13.140625" style="35" bestFit="1" customWidth="1"/>
    <col min="4917" max="4917" width="5.7109375" style="35" customWidth="1"/>
    <col min="4918" max="4925" width="0" style="35" hidden="1" customWidth="1"/>
    <col min="4926" max="4926" width="34.5703125" style="35" customWidth="1"/>
    <col min="4927" max="5119" width="9.140625" style="35"/>
    <col min="5120" max="5120" width="7.85546875" style="35" customWidth="1"/>
    <col min="5121" max="5122" width="3" style="35" customWidth="1"/>
    <col min="5123" max="5123" width="22.5703125" style="35" customWidth="1"/>
    <col min="5124" max="5124" width="2.28515625" style="35" customWidth="1"/>
    <col min="5125" max="5130" width="0" style="35" hidden="1" customWidth="1"/>
    <col min="5131" max="5131" width="12.85546875" style="35" customWidth="1"/>
    <col min="5132" max="5134" width="0" style="35" hidden="1" customWidth="1"/>
    <col min="5135" max="5135" width="2.7109375" style="35" customWidth="1"/>
    <col min="5136" max="5141" width="0" style="35" hidden="1" customWidth="1"/>
    <col min="5142" max="5142" width="12.7109375" style="35" customWidth="1"/>
    <col min="5143" max="5145" width="0" style="35" hidden="1" customWidth="1"/>
    <col min="5146" max="5146" width="2.28515625" style="35" customWidth="1"/>
    <col min="5147" max="5152" width="0" style="35" hidden="1" customWidth="1"/>
    <col min="5153" max="5153" width="12.7109375" style="35" customWidth="1"/>
    <col min="5154" max="5156" width="0" style="35" hidden="1" customWidth="1"/>
    <col min="5157" max="5157" width="2.28515625" style="35" customWidth="1"/>
    <col min="5158" max="5158" width="12.7109375" style="35" customWidth="1"/>
    <col min="5159" max="5165" width="0" style="35" hidden="1" customWidth="1"/>
    <col min="5166" max="5166" width="12.7109375" style="35" customWidth="1"/>
    <col min="5167" max="5169" width="0" style="35" hidden="1" customWidth="1"/>
    <col min="5170" max="5170" width="2.7109375" style="35" customWidth="1"/>
    <col min="5171" max="5171" width="12.7109375" style="35" customWidth="1"/>
    <col min="5172" max="5172" width="13.140625" style="35" bestFit="1" customWidth="1"/>
    <col min="5173" max="5173" width="5.7109375" style="35" customWidth="1"/>
    <col min="5174" max="5181" width="0" style="35" hidden="1" customWidth="1"/>
    <col min="5182" max="5182" width="34.5703125" style="35" customWidth="1"/>
    <col min="5183" max="5375" width="9.140625" style="35"/>
    <col min="5376" max="5376" width="7.85546875" style="35" customWidth="1"/>
    <col min="5377" max="5378" width="3" style="35" customWidth="1"/>
    <col min="5379" max="5379" width="22.5703125" style="35" customWidth="1"/>
    <col min="5380" max="5380" width="2.28515625" style="35" customWidth="1"/>
    <col min="5381" max="5386" width="0" style="35" hidden="1" customWidth="1"/>
    <col min="5387" max="5387" width="12.85546875" style="35" customWidth="1"/>
    <col min="5388" max="5390" width="0" style="35" hidden="1" customWidth="1"/>
    <col min="5391" max="5391" width="2.7109375" style="35" customWidth="1"/>
    <col min="5392" max="5397" width="0" style="35" hidden="1" customWidth="1"/>
    <col min="5398" max="5398" width="12.7109375" style="35" customWidth="1"/>
    <col min="5399" max="5401" width="0" style="35" hidden="1" customWidth="1"/>
    <col min="5402" max="5402" width="2.28515625" style="35" customWidth="1"/>
    <col min="5403" max="5408" width="0" style="35" hidden="1" customWidth="1"/>
    <col min="5409" max="5409" width="12.7109375" style="35" customWidth="1"/>
    <col min="5410" max="5412" width="0" style="35" hidden="1" customWidth="1"/>
    <col min="5413" max="5413" width="2.28515625" style="35" customWidth="1"/>
    <col min="5414" max="5414" width="12.7109375" style="35" customWidth="1"/>
    <col min="5415" max="5421" width="0" style="35" hidden="1" customWidth="1"/>
    <col min="5422" max="5422" width="12.7109375" style="35" customWidth="1"/>
    <col min="5423" max="5425" width="0" style="35" hidden="1" customWidth="1"/>
    <col min="5426" max="5426" width="2.7109375" style="35" customWidth="1"/>
    <col min="5427" max="5427" width="12.7109375" style="35" customWidth="1"/>
    <col min="5428" max="5428" width="13.140625" style="35" bestFit="1" customWidth="1"/>
    <col min="5429" max="5429" width="5.7109375" style="35" customWidth="1"/>
    <col min="5430" max="5437" width="0" style="35" hidden="1" customWidth="1"/>
    <col min="5438" max="5438" width="34.5703125" style="35" customWidth="1"/>
    <col min="5439" max="5631" width="9.140625" style="35"/>
    <col min="5632" max="5632" width="7.85546875" style="35" customWidth="1"/>
    <col min="5633" max="5634" width="3" style="35" customWidth="1"/>
    <col min="5635" max="5635" width="22.5703125" style="35" customWidth="1"/>
    <col min="5636" max="5636" width="2.28515625" style="35" customWidth="1"/>
    <col min="5637" max="5642" width="0" style="35" hidden="1" customWidth="1"/>
    <col min="5643" max="5643" width="12.85546875" style="35" customWidth="1"/>
    <col min="5644" max="5646" width="0" style="35" hidden="1" customWidth="1"/>
    <col min="5647" max="5647" width="2.7109375" style="35" customWidth="1"/>
    <col min="5648" max="5653" width="0" style="35" hidden="1" customWidth="1"/>
    <col min="5654" max="5654" width="12.7109375" style="35" customWidth="1"/>
    <col min="5655" max="5657" width="0" style="35" hidden="1" customWidth="1"/>
    <col min="5658" max="5658" width="2.28515625" style="35" customWidth="1"/>
    <col min="5659" max="5664" width="0" style="35" hidden="1" customWidth="1"/>
    <col min="5665" max="5665" width="12.7109375" style="35" customWidth="1"/>
    <col min="5666" max="5668" width="0" style="35" hidden="1" customWidth="1"/>
    <col min="5669" max="5669" width="2.28515625" style="35" customWidth="1"/>
    <col min="5670" max="5670" width="12.7109375" style="35" customWidth="1"/>
    <col min="5671" max="5677" width="0" style="35" hidden="1" customWidth="1"/>
    <col min="5678" max="5678" width="12.7109375" style="35" customWidth="1"/>
    <col min="5679" max="5681" width="0" style="35" hidden="1" customWidth="1"/>
    <col min="5682" max="5682" width="2.7109375" style="35" customWidth="1"/>
    <col min="5683" max="5683" width="12.7109375" style="35" customWidth="1"/>
    <col min="5684" max="5684" width="13.140625" style="35" bestFit="1" customWidth="1"/>
    <col min="5685" max="5685" width="5.7109375" style="35" customWidth="1"/>
    <col min="5686" max="5693" width="0" style="35" hidden="1" customWidth="1"/>
    <col min="5694" max="5694" width="34.5703125" style="35" customWidth="1"/>
    <col min="5695" max="5887" width="9.140625" style="35"/>
    <col min="5888" max="5888" width="7.85546875" style="35" customWidth="1"/>
    <col min="5889" max="5890" width="3" style="35" customWidth="1"/>
    <col min="5891" max="5891" width="22.5703125" style="35" customWidth="1"/>
    <col min="5892" max="5892" width="2.28515625" style="35" customWidth="1"/>
    <col min="5893" max="5898" width="0" style="35" hidden="1" customWidth="1"/>
    <col min="5899" max="5899" width="12.85546875" style="35" customWidth="1"/>
    <col min="5900" max="5902" width="0" style="35" hidden="1" customWidth="1"/>
    <col min="5903" max="5903" width="2.7109375" style="35" customWidth="1"/>
    <col min="5904" max="5909" width="0" style="35" hidden="1" customWidth="1"/>
    <col min="5910" max="5910" width="12.7109375" style="35" customWidth="1"/>
    <col min="5911" max="5913" width="0" style="35" hidden="1" customWidth="1"/>
    <col min="5914" max="5914" width="2.28515625" style="35" customWidth="1"/>
    <col min="5915" max="5920" width="0" style="35" hidden="1" customWidth="1"/>
    <col min="5921" max="5921" width="12.7109375" style="35" customWidth="1"/>
    <col min="5922" max="5924" width="0" style="35" hidden="1" customWidth="1"/>
    <col min="5925" max="5925" width="2.28515625" style="35" customWidth="1"/>
    <col min="5926" max="5926" width="12.7109375" style="35" customWidth="1"/>
    <col min="5927" max="5933" width="0" style="35" hidden="1" customWidth="1"/>
    <col min="5934" max="5934" width="12.7109375" style="35" customWidth="1"/>
    <col min="5935" max="5937" width="0" style="35" hidden="1" customWidth="1"/>
    <col min="5938" max="5938" width="2.7109375" style="35" customWidth="1"/>
    <col min="5939" max="5939" width="12.7109375" style="35" customWidth="1"/>
    <col min="5940" max="5940" width="13.140625" style="35" bestFit="1" customWidth="1"/>
    <col min="5941" max="5941" width="5.7109375" style="35" customWidth="1"/>
    <col min="5942" max="5949" width="0" style="35" hidden="1" customWidth="1"/>
    <col min="5950" max="5950" width="34.5703125" style="35" customWidth="1"/>
    <col min="5951" max="6143" width="9.140625" style="35"/>
    <col min="6144" max="6144" width="7.85546875" style="35" customWidth="1"/>
    <col min="6145" max="6146" width="3" style="35" customWidth="1"/>
    <col min="6147" max="6147" width="22.5703125" style="35" customWidth="1"/>
    <col min="6148" max="6148" width="2.28515625" style="35" customWidth="1"/>
    <col min="6149" max="6154" width="0" style="35" hidden="1" customWidth="1"/>
    <col min="6155" max="6155" width="12.85546875" style="35" customWidth="1"/>
    <col min="6156" max="6158" width="0" style="35" hidden="1" customWidth="1"/>
    <col min="6159" max="6159" width="2.7109375" style="35" customWidth="1"/>
    <col min="6160" max="6165" width="0" style="35" hidden="1" customWidth="1"/>
    <col min="6166" max="6166" width="12.7109375" style="35" customWidth="1"/>
    <col min="6167" max="6169" width="0" style="35" hidden="1" customWidth="1"/>
    <col min="6170" max="6170" width="2.28515625" style="35" customWidth="1"/>
    <col min="6171" max="6176" width="0" style="35" hidden="1" customWidth="1"/>
    <col min="6177" max="6177" width="12.7109375" style="35" customWidth="1"/>
    <col min="6178" max="6180" width="0" style="35" hidden="1" customWidth="1"/>
    <col min="6181" max="6181" width="2.28515625" style="35" customWidth="1"/>
    <col min="6182" max="6182" width="12.7109375" style="35" customWidth="1"/>
    <col min="6183" max="6189" width="0" style="35" hidden="1" customWidth="1"/>
    <col min="6190" max="6190" width="12.7109375" style="35" customWidth="1"/>
    <col min="6191" max="6193" width="0" style="35" hidden="1" customWidth="1"/>
    <col min="6194" max="6194" width="2.7109375" style="35" customWidth="1"/>
    <col min="6195" max="6195" width="12.7109375" style="35" customWidth="1"/>
    <col min="6196" max="6196" width="13.140625" style="35" bestFit="1" customWidth="1"/>
    <col min="6197" max="6197" width="5.7109375" style="35" customWidth="1"/>
    <col min="6198" max="6205" width="0" style="35" hidden="1" customWidth="1"/>
    <col min="6206" max="6206" width="34.5703125" style="35" customWidth="1"/>
    <col min="6207" max="6399" width="9.140625" style="35"/>
    <col min="6400" max="6400" width="7.85546875" style="35" customWidth="1"/>
    <col min="6401" max="6402" width="3" style="35" customWidth="1"/>
    <col min="6403" max="6403" width="22.5703125" style="35" customWidth="1"/>
    <col min="6404" max="6404" width="2.28515625" style="35" customWidth="1"/>
    <col min="6405" max="6410" width="0" style="35" hidden="1" customWidth="1"/>
    <col min="6411" max="6411" width="12.85546875" style="35" customWidth="1"/>
    <col min="6412" max="6414" width="0" style="35" hidden="1" customWidth="1"/>
    <col min="6415" max="6415" width="2.7109375" style="35" customWidth="1"/>
    <col min="6416" max="6421" width="0" style="35" hidden="1" customWidth="1"/>
    <col min="6422" max="6422" width="12.7109375" style="35" customWidth="1"/>
    <col min="6423" max="6425" width="0" style="35" hidden="1" customWidth="1"/>
    <col min="6426" max="6426" width="2.28515625" style="35" customWidth="1"/>
    <col min="6427" max="6432" width="0" style="35" hidden="1" customWidth="1"/>
    <col min="6433" max="6433" width="12.7109375" style="35" customWidth="1"/>
    <col min="6434" max="6436" width="0" style="35" hidden="1" customWidth="1"/>
    <col min="6437" max="6437" width="2.28515625" style="35" customWidth="1"/>
    <col min="6438" max="6438" width="12.7109375" style="35" customWidth="1"/>
    <col min="6439" max="6445" width="0" style="35" hidden="1" customWidth="1"/>
    <col min="6446" max="6446" width="12.7109375" style="35" customWidth="1"/>
    <col min="6447" max="6449" width="0" style="35" hidden="1" customWidth="1"/>
    <col min="6450" max="6450" width="2.7109375" style="35" customWidth="1"/>
    <col min="6451" max="6451" width="12.7109375" style="35" customWidth="1"/>
    <col min="6452" max="6452" width="13.140625" style="35" bestFit="1" customWidth="1"/>
    <col min="6453" max="6453" width="5.7109375" style="35" customWidth="1"/>
    <col min="6454" max="6461" width="0" style="35" hidden="1" customWidth="1"/>
    <col min="6462" max="6462" width="34.5703125" style="35" customWidth="1"/>
    <col min="6463" max="6655" width="9.140625" style="35"/>
    <col min="6656" max="6656" width="7.85546875" style="35" customWidth="1"/>
    <col min="6657" max="6658" width="3" style="35" customWidth="1"/>
    <col min="6659" max="6659" width="22.5703125" style="35" customWidth="1"/>
    <col min="6660" max="6660" width="2.28515625" style="35" customWidth="1"/>
    <col min="6661" max="6666" width="0" style="35" hidden="1" customWidth="1"/>
    <col min="6667" max="6667" width="12.85546875" style="35" customWidth="1"/>
    <col min="6668" max="6670" width="0" style="35" hidden="1" customWidth="1"/>
    <col min="6671" max="6671" width="2.7109375" style="35" customWidth="1"/>
    <col min="6672" max="6677" width="0" style="35" hidden="1" customWidth="1"/>
    <col min="6678" max="6678" width="12.7109375" style="35" customWidth="1"/>
    <col min="6679" max="6681" width="0" style="35" hidden="1" customWidth="1"/>
    <col min="6682" max="6682" width="2.28515625" style="35" customWidth="1"/>
    <col min="6683" max="6688" width="0" style="35" hidden="1" customWidth="1"/>
    <col min="6689" max="6689" width="12.7109375" style="35" customWidth="1"/>
    <col min="6690" max="6692" width="0" style="35" hidden="1" customWidth="1"/>
    <col min="6693" max="6693" width="2.28515625" style="35" customWidth="1"/>
    <col min="6694" max="6694" width="12.7109375" style="35" customWidth="1"/>
    <col min="6695" max="6701" width="0" style="35" hidden="1" customWidth="1"/>
    <col min="6702" max="6702" width="12.7109375" style="35" customWidth="1"/>
    <col min="6703" max="6705" width="0" style="35" hidden="1" customWidth="1"/>
    <col min="6706" max="6706" width="2.7109375" style="35" customWidth="1"/>
    <col min="6707" max="6707" width="12.7109375" style="35" customWidth="1"/>
    <col min="6708" max="6708" width="13.140625" style="35" bestFit="1" customWidth="1"/>
    <col min="6709" max="6709" width="5.7109375" style="35" customWidth="1"/>
    <col min="6710" max="6717" width="0" style="35" hidden="1" customWidth="1"/>
    <col min="6718" max="6718" width="34.5703125" style="35" customWidth="1"/>
    <col min="6719" max="6911" width="9.140625" style="35"/>
    <col min="6912" max="6912" width="7.85546875" style="35" customWidth="1"/>
    <col min="6913" max="6914" width="3" style="35" customWidth="1"/>
    <col min="6915" max="6915" width="22.5703125" style="35" customWidth="1"/>
    <col min="6916" max="6916" width="2.28515625" style="35" customWidth="1"/>
    <col min="6917" max="6922" width="0" style="35" hidden="1" customWidth="1"/>
    <col min="6923" max="6923" width="12.85546875" style="35" customWidth="1"/>
    <col min="6924" max="6926" width="0" style="35" hidden="1" customWidth="1"/>
    <col min="6927" max="6927" width="2.7109375" style="35" customWidth="1"/>
    <col min="6928" max="6933" width="0" style="35" hidden="1" customWidth="1"/>
    <col min="6934" max="6934" width="12.7109375" style="35" customWidth="1"/>
    <col min="6935" max="6937" width="0" style="35" hidden="1" customWidth="1"/>
    <col min="6938" max="6938" width="2.28515625" style="35" customWidth="1"/>
    <col min="6939" max="6944" width="0" style="35" hidden="1" customWidth="1"/>
    <col min="6945" max="6945" width="12.7109375" style="35" customWidth="1"/>
    <col min="6946" max="6948" width="0" style="35" hidden="1" customWidth="1"/>
    <col min="6949" max="6949" width="2.28515625" style="35" customWidth="1"/>
    <col min="6950" max="6950" width="12.7109375" style="35" customWidth="1"/>
    <col min="6951" max="6957" width="0" style="35" hidden="1" customWidth="1"/>
    <col min="6958" max="6958" width="12.7109375" style="35" customWidth="1"/>
    <col min="6959" max="6961" width="0" style="35" hidden="1" customWidth="1"/>
    <col min="6962" max="6962" width="2.7109375" style="35" customWidth="1"/>
    <col min="6963" max="6963" width="12.7109375" style="35" customWidth="1"/>
    <col min="6964" max="6964" width="13.140625" style="35" bestFit="1" customWidth="1"/>
    <col min="6965" max="6965" width="5.7109375" style="35" customWidth="1"/>
    <col min="6966" max="6973" width="0" style="35" hidden="1" customWidth="1"/>
    <col min="6974" max="6974" width="34.5703125" style="35" customWidth="1"/>
    <col min="6975" max="7167" width="9.140625" style="35"/>
    <col min="7168" max="7168" width="7.85546875" style="35" customWidth="1"/>
    <col min="7169" max="7170" width="3" style="35" customWidth="1"/>
    <col min="7171" max="7171" width="22.5703125" style="35" customWidth="1"/>
    <col min="7172" max="7172" width="2.28515625" style="35" customWidth="1"/>
    <col min="7173" max="7178" width="0" style="35" hidden="1" customWidth="1"/>
    <col min="7179" max="7179" width="12.85546875" style="35" customWidth="1"/>
    <col min="7180" max="7182" width="0" style="35" hidden="1" customWidth="1"/>
    <col min="7183" max="7183" width="2.7109375" style="35" customWidth="1"/>
    <col min="7184" max="7189" width="0" style="35" hidden="1" customWidth="1"/>
    <col min="7190" max="7190" width="12.7109375" style="35" customWidth="1"/>
    <col min="7191" max="7193" width="0" style="35" hidden="1" customWidth="1"/>
    <col min="7194" max="7194" width="2.28515625" style="35" customWidth="1"/>
    <col min="7195" max="7200" width="0" style="35" hidden="1" customWidth="1"/>
    <col min="7201" max="7201" width="12.7109375" style="35" customWidth="1"/>
    <col min="7202" max="7204" width="0" style="35" hidden="1" customWidth="1"/>
    <col min="7205" max="7205" width="2.28515625" style="35" customWidth="1"/>
    <col min="7206" max="7206" width="12.7109375" style="35" customWidth="1"/>
    <col min="7207" max="7213" width="0" style="35" hidden="1" customWidth="1"/>
    <col min="7214" max="7214" width="12.7109375" style="35" customWidth="1"/>
    <col min="7215" max="7217" width="0" style="35" hidden="1" customWidth="1"/>
    <col min="7218" max="7218" width="2.7109375" style="35" customWidth="1"/>
    <col min="7219" max="7219" width="12.7109375" style="35" customWidth="1"/>
    <col min="7220" max="7220" width="13.140625" style="35" bestFit="1" customWidth="1"/>
    <col min="7221" max="7221" width="5.7109375" style="35" customWidth="1"/>
    <col min="7222" max="7229" width="0" style="35" hidden="1" customWidth="1"/>
    <col min="7230" max="7230" width="34.5703125" style="35" customWidth="1"/>
    <col min="7231" max="7423" width="9.140625" style="35"/>
    <col min="7424" max="7424" width="7.85546875" style="35" customWidth="1"/>
    <col min="7425" max="7426" width="3" style="35" customWidth="1"/>
    <col min="7427" max="7427" width="22.5703125" style="35" customWidth="1"/>
    <col min="7428" max="7428" width="2.28515625" style="35" customWidth="1"/>
    <col min="7429" max="7434" width="0" style="35" hidden="1" customWidth="1"/>
    <col min="7435" max="7435" width="12.85546875" style="35" customWidth="1"/>
    <col min="7436" max="7438" width="0" style="35" hidden="1" customWidth="1"/>
    <col min="7439" max="7439" width="2.7109375" style="35" customWidth="1"/>
    <col min="7440" max="7445" width="0" style="35" hidden="1" customWidth="1"/>
    <col min="7446" max="7446" width="12.7109375" style="35" customWidth="1"/>
    <col min="7447" max="7449" width="0" style="35" hidden="1" customWidth="1"/>
    <col min="7450" max="7450" width="2.28515625" style="35" customWidth="1"/>
    <col min="7451" max="7456" width="0" style="35" hidden="1" customWidth="1"/>
    <col min="7457" max="7457" width="12.7109375" style="35" customWidth="1"/>
    <col min="7458" max="7460" width="0" style="35" hidden="1" customWidth="1"/>
    <col min="7461" max="7461" width="2.28515625" style="35" customWidth="1"/>
    <col min="7462" max="7462" width="12.7109375" style="35" customWidth="1"/>
    <col min="7463" max="7469" width="0" style="35" hidden="1" customWidth="1"/>
    <col min="7470" max="7470" width="12.7109375" style="35" customWidth="1"/>
    <col min="7471" max="7473" width="0" style="35" hidden="1" customWidth="1"/>
    <col min="7474" max="7474" width="2.7109375" style="35" customWidth="1"/>
    <col min="7475" max="7475" width="12.7109375" style="35" customWidth="1"/>
    <col min="7476" max="7476" width="13.140625" style="35" bestFit="1" customWidth="1"/>
    <col min="7477" max="7477" width="5.7109375" style="35" customWidth="1"/>
    <col min="7478" max="7485" width="0" style="35" hidden="1" customWidth="1"/>
    <col min="7486" max="7486" width="34.5703125" style="35" customWidth="1"/>
    <col min="7487" max="7679" width="9.140625" style="35"/>
    <col min="7680" max="7680" width="7.85546875" style="35" customWidth="1"/>
    <col min="7681" max="7682" width="3" style="35" customWidth="1"/>
    <col min="7683" max="7683" width="22.5703125" style="35" customWidth="1"/>
    <col min="7684" max="7684" width="2.28515625" style="35" customWidth="1"/>
    <col min="7685" max="7690" width="0" style="35" hidden="1" customWidth="1"/>
    <col min="7691" max="7691" width="12.85546875" style="35" customWidth="1"/>
    <col min="7692" max="7694" width="0" style="35" hidden="1" customWidth="1"/>
    <col min="7695" max="7695" width="2.7109375" style="35" customWidth="1"/>
    <col min="7696" max="7701" width="0" style="35" hidden="1" customWidth="1"/>
    <col min="7702" max="7702" width="12.7109375" style="35" customWidth="1"/>
    <col min="7703" max="7705" width="0" style="35" hidden="1" customWidth="1"/>
    <col min="7706" max="7706" width="2.28515625" style="35" customWidth="1"/>
    <col min="7707" max="7712" width="0" style="35" hidden="1" customWidth="1"/>
    <col min="7713" max="7713" width="12.7109375" style="35" customWidth="1"/>
    <col min="7714" max="7716" width="0" style="35" hidden="1" customWidth="1"/>
    <col min="7717" max="7717" width="2.28515625" style="35" customWidth="1"/>
    <col min="7718" max="7718" width="12.7109375" style="35" customWidth="1"/>
    <col min="7719" max="7725" width="0" style="35" hidden="1" customWidth="1"/>
    <col min="7726" max="7726" width="12.7109375" style="35" customWidth="1"/>
    <col min="7727" max="7729" width="0" style="35" hidden="1" customWidth="1"/>
    <col min="7730" max="7730" width="2.7109375" style="35" customWidth="1"/>
    <col min="7731" max="7731" width="12.7109375" style="35" customWidth="1"/>
    <col min="7732" max="7732" width="13.140625" style="35" bestFit="1" customWidth="1"/>
    <col min="7733" max="7733" width="5.7109375" style="35" customWidth="1"/>
    <col min="7734" max="7741" width="0" style="35" hidden="1" customWidth="1"/>
    <col min="7742" max="7742" width="34.5703125" style="35" customWidth="1"/>
    <col min="7743" max="7935" width="9.140625" style="35"/>
    <col min="7936" max="7936" width="7.85546875" style="35" customWidth="1"/>
    <col min="7937" max="7938" width="3" style="35" customWidth="1"/>
    <col min="7939" max="7939" width="22.5703125" style="35" customWidth="1"/>
    <col min="7940" max="7940" width="2.28515625" style="35" customWidth="1"/>
    <col min="7941" max="7946" width="0" style="35" hidden="1" customWidth="1"/>
    <col min="7947" max="7947" width="12.85546875" style="35" customWidth="1"/>
    <col min="7948" max="7950" width="0" style="35" hidden="1" customWidth="1"/>
    <col min="7951" max="7951" width="2.7109375" style="35" customWidth="1"/>
    <col min="7952" max="7957" width="0" style="35" hidden="1" customWidth="1"/>
    <col min="7958" max="7958" width="12.7109375" style="35" customWidth="1"/>
    <col min="7959" max="7961" width="0" style="35" hidden="1" customWidth="1"/>
    <col min="7962" max="7962" width="2.28515625" style="35" customWidth="1"/>
    <col min="7963" max="7968" width="0" style="35" hidden="1" customWidth="1"/>
    <col min="7969" max="7969" width="12.7109375" style="35" customWidth="1"/>
    <col min="7970" max="7972" width="0" style="35" hidden="1" customWidth="1"/>
    <col min="7973" max="7973" width="2.28515625" style="35" customWidth="1"/>
    <col min="7974" max="7974" width="12.7109375" style="35" customWidth="1"/>
    <col min="7975" max="7981" width="0" style="35" hidden="1" customWidth="1"/>
    <col min="7982" max="7982" width="12.7109375" style="35" customWidth="1"/>
    <col min="7983" max="7985" width="0" style="35" hidden="1" customWidth="1"/>
    <col min="7986" max="7986" width="2.7109375" style="35" customWidth="1"/>
    <col min="7987" max="7987" width="12.7109375" style="35" customWidth="1"/>
    <col min="7988" max="7988" width="13.140625" style="35" bestFit="1" customWidth="1"/>
    <col min="7989" max="7989" width="5.7109375" style="35" customWidth="1"/>
    <col min="7990" max="7997" width="0" style="35" hidden="1" customWidth="1"/>
    <col min="7998" max="7998" width="34.5703125" style="35" customWidth="1"/>
    <col min="7999" max="8191" width="9.140625" style="35"/>
    <col min="8192" max="8192" width="7.85546875" style="35" customWidth="1"/>
    <col min="8193" max="8194" width="3" style="35" customWidth="1"/>
    <col min="8195" max="8195" width="22.5703125" style="35" customWidth="1"/>
    <col min="8196" max="8196" width="2.28515625" style="35" customWidth="1"/>
    <col min="8197" max="8202" width="0" style="35" hidden="1" customWidth="1"/>
    <col min="8203" max="8203" width="12.85546875" style="35" customWidth="1"/>
    <col min="8204" max="8206" width="0" style="35" hidden="1" customWidth="1"/>
    <col min="8207" max="8207" width="2.7109375" style="35" customWidth="1"/>
    <col min="8208" max="8213" width="0" style="35" hidden="1" customWidth="1"/>
    <col min="8214" max="8214" width="12.7109375" style="35" customWidth="1"/>
    <col min="8215" max="8217" width="0" style="35" hidden="1" customWidth="1"/>
    <col min="8218" max="8218" width="2.28515625" style="35" customWidth="1"/>
    <col min="8219" max="8224" width="0" style="35" hidden="1" customWidth="1"/>
    <col min="8225" max="8225" width="12.7109375" style="35" customWidth="1"/>
    <col min="8226" max="8228" width="0" style="35" hidden="1" customWidth="1"/>
    <col min="8229" max="8229" width="2.28515625" style="35" customWidth="1"/>
    <col min="8230" max="8230" width="12.7109375" style="35" customWidth="1"/>
    <col min="8231" max="8237" width="0" style="35" hidden="1" customWidth="1"/>
    <col min="8238" max="8238" width="12.7109375" style="35" customWidth="1"/>
    <col min="8239" max="8241" width="0" style="35" hidden="1" customWidth="1"/>
    <col min="8242" max="8242" width="2.7109375" style="35" customWidth="1"/>
    <col min="8243" max="8243" width="12.7109375" style="35" customWidth="1"/>
    <col min="8244" max="8244" width="13.140625" style="35" bestFit="1" customWidth="1"/>
    <col min="8245" max="8245" width="5.7109375" style="35" customWidth="1"/>
    <col min="8246" max="8253" width="0" style="35" hidden="1" customWidth="1"/>
    <col min="8254" max="8254" width="34.5703125" style="35" customWidth="1"/>
    <col min="8255" max="8447" width="9.140625" style="35"/>
    <col min="8448" max="8448" width="7.85546875" style="35" customWidth="1"/>
    <col min="8449" max="8450" width="3" style="35" customWidth="1"/>
    <col min="8451" max="8451" width="22.5703125" style="35" customWidth="1"/>
    <col min="8452" max="8452" width="2.28515625" style="35" customWidth="1"/>
    <col min="8453" max="8458" width="0" style="35" hidden="1" customWidth="1"/>
    <col min="8459" max="8459" width="12.85546875" style="35" customWidth="1"/>
    <col min="8460" max="8462" width="0" style="35" hidden="1" customWidth="1"/>
    <col min="8463" max="8463" width="2.7109375" style="35" customWidth="1"/>
    <col min="8464" max="8469" width="0" style="35" hidden="1" customWidth="1"/>
    <col min="8470" max="8470" width="12.7109375" style="35" customWidth="1"/>
    <col min="8471" max="8473" width="0" style="35" hidden="1" customWidth="1"/>
    <col min="8474" max="8474" width="2.28515625" style="35" customWidth="1"/>
    <col min="8475" max="8480" width="0" style="35" hidden="1" customWidth="1"/>
    <col min="8481" max="8481" width="12.7109375" style="35" customWidth="1"/>
    <col min="8482" max="8484" width="0" style="35" hidden="1" customWidth="1"/>
    <col min="8485" max="8485" width="2.28515625" style="35" customWidth="1"/>
    <col min="8486" max="8486" width="12.7109375" style="35" customWidth="1"/>
    <col min="8487" max="8493" width="0" style="35" hidden="1" customWidth="1"/>
    <col min="8494" max="8494" width="12.7109375" style="35" customWidth="1"/>
    <col min="8495" max="8497" width="0" style="35" hidden="1" customWidth="1"/>
    <col min="8498" max="8498" width="2.7109375" style="35" customWidth="1"/>
    <col min="8499" max="8499" width="12.7109375" style="35" customWidth="1"/>
    <col min="8500" max="8500" width="13.140625" style="35" bestFit="1" customWidth="1"/>
    <col min="8501" max="8501" width="5.7109375" style="35" customWidth="1"/>
    <col min="8502" max="8509" width="0" style="35" hidden="1" customWidth="1"/>
    <col min="8510" max="8510" width="34.5703125" style="35" customWidth="1"/>
    <col min="8511" max="8703" width="9.140625" style="35"/>
    <col min="8704" max="8704" width="7.85546875" style="35" customWidth="1"/>
    <col min="8705" max="8706" width="3" style="35" customWidth="1"/>
    <col min="8707" max="8707" width="22.5703125" style="35" customWidth="1"/>
    <col min="8708" max="8708" width="2.28515625" style="35" customWidth="1"/>
    <col min="8709" max="8714" width="0" style="35" hidden="1" customWidth="1"/>
    <col min="8715" max="8715" width="12.85546875" style="35" customWidth="1"/>
    <col min="8716" max="8718" width="0" style="35" hidden="1" customWidth="1"/>
    <col min="8719" max="8719" width="2.7109375" style="35" customWidth="1"/>
    <col min="8720" max="8725" width="0" style="35" hidden="1" customWidth="1"/>
    <col min="8726" max="8726" width="12.7109375" style="35" customWidth="1"/>
    <col min="8727" max="8729" width="0" style="35" hidden="1" customWidth="1"/>
    <col min="8730" max="8730" width="2.28515625" style="35" customWidth="1"/>
    <col min="8731" max="8736" width="0" style="35" hidden="1" customWidth="1"/>
    <col min="8737" max="8737" width="12.7109375" style="35" customWidth="1"/>
    <col min="8738" max="8740" width="0" style="35" hidden="1" customWidth="1"/>
    <col min="8741" max="8741" width="2.28515625" style="35" customWidth="1"/>
    <col min="8742" max="8742" width="12.7109375" style="35" customWidth="1"/>
    <col min="8743" max="8749" width="0" style="35" hidden="1" customWidth="1"/>
    <col min="8750" max="8750" width="12.7109375" style="35" customWidth="1"/>
    <col min="8751" max="8753" width="0" style="35" hidden="1" customWidth="1"/>
    <col min="8754" max="8754" width="2.7109375" style="35" customWidth="1"/>
    <col min="8755" max="8755" width="12.7109375" style="35" customWidth="1"/>
    <col min="8756" max="8756" width="13.140625" style="35" bestFit="1" customWidth="1"/>
    <col min="8757" max="8757" width="5.7109375" style="35" customWidth="1"/>
    <col min="8758" max="8765" width="0" style="35" hidden="1" customWidth="1"/>
    <col min="8766" max="8766" width="34.5703125" style="35" customWidth="1"/>
    <col min="8767" max="8959" width="9.140625" style="35"/>
    <col min="8960" max="8960" width="7.85546875" style="35" customWidth="1"/>
    <col min="8961" max="8962" width="3" style="35" customWidth="1"/>
    <col min="8963" max="8963" width="22.5703125" style="35" customWidth="1"/>
    <col min="8964" max="8964" width="2.28515625" style="35" customWidth="1"/>
    <col min="8965" max="8970" width="0" style="35" hidden="1" customWidth="1"/>
    <col min="8971" max="8971" width="12.85546875" style="35" customWidth="1"/>
    <col min="8972" max="8974" width="0" style="35" hidden="1" customWidth="1"/>
    <col min="8975" max="8975" width="2.7109375" style="35" customWidth="1"/>
    <col min="8976" max="8981" width="0" style="35" hidden="1" customWidth="1"/>
    <col min="8982" max="8982" width="12.7109375" style="35" customWidth="1"/>
    <col min="8983" max="8985" width="0" style="35" hidden="1" customWidth="1"/>
    <col min="8986" max="8986" width="2.28515625" style="35" customWidth="1"/>
    <col min="8987" max="8992" width="0" style="35" hidden="1" customWidth="1"/>
    <col min="8993" max="8993" width="12.7109375" style="35" customWidth="1"/>
    <col min="8994" max="8996" width="0" style="35" hidden="1" customWidth="1"/>
    <col min="8997" max="8997" width="2.28515625" style="35" customWidth="1"/>
    <col min="8998" max="8998" width="12.7109375" style="35" customWidth="1"/>
    <col min="8999" max="9005" width="0" style="35" hidden="1" customWidth="1"/>
    <col min="9006" max="9006" width="12.7109375" style="35" customWidth="1"/>
    <col min="9007" max="9009" width="0" style="35" hidden="1" customWidth="1"/>
    <col min="9010" max="9010" width="2.7109375" style="35" customWidth="1"/>
    <col min="9011" max="9011" width="12.7109375" style="35" customWidth="1"/>
    <col min="9012" max="9012" width="13.140625" style="35" bestFit="1" customWidth="1"/>
    <col min="9013" max="9013" width="5.7109375" style="35" customWidth="1"/>
    <col min="9014" max="9021" width="0" style="35" hidden="1" customWidth="1"/>
    <col min="9022" max="9022" width="34.5703125" style="35" customWidth="1"/>
    <col min="9023" max="9215" width="9.140625" style="35"/>
    <col min="9216" max="9216" width="7.85546875" style="35" customWidth="1"/>
    <col min="9217" max="9218" width="3" style="35" customWidth="1"/>
    <col min="9219" max="9219" width="22.5703125" style="35" customWidth="1"/>
    <col min="9220" max="9220" width="2.28515625" style="35" customWidth="1"/>
    <col min="9221" max="9226" width="0" style="35" hidden="1" customWidth="1"/>
    <col min="9227" max="9227" width="12.85546875" style="35" customWidth="1"/>
    <col min="9228" max="9230" width="0" style="35" hidden="1" customWidth="1"/>
    <col min="9231" max="9231" width="2.7109375" style="35" customWidth="1"/>
    <col min="9232" max="9237" width="0" style="35" hidden="1" customWidth="1"/>
    <col min="9238" max="9238" width="12.7109375" style="35" customWidth="1"/>
    <col min="9239" max="9241" width="0" style="35" hidden="1" customWidth="1"/>
    <col min="9242" max="9242" width="2.28515625" style="35" customWidth="1"/>
    <col min="9243" max="9248" width="0" style="35" hidden="1" customWidth="1"/>
    <col min="9249" max="9249" width="12.7109375" style="35" customWidth="1"/>
    <col min="9250" max="9252" width="0" style="35" hidden="1" customWidth="1"/>
    <col min="9253" max="9253" width="2.28515625" style="35" customWidth="1"/>
    <col min="9254" max="9254" width="12.7109375" style="35" customWidth="1"/>
    <col min="9255" max="9261" width="0" style="35" hidden="1" customWidth="1"/>
    <col min="9262" max="9262" width="12.7109375" style="35" customWidth="1"/>
    <col min="9263" max="9265" width="0" style="35" hidden="1" customWidth="1"/>
    <col min="9266" max="9266" width="2.7109375" style="35" customWidth="1"/>
    <col min="9267" max="9267" width="12.7109375" style="35" customWidth="1"/>
    <col min="9268" max="9268" width="13.140625" style="35" bestFit="1" customWidth="1"/>
    <col min="9269" max="9269" width="5.7109375" style="35" customWidth="1"/>
    <col min="9270" max="9277" width="0" style="35" hidden="1" customWidth="1"/>
    <col min="9278" max="9278" width="34.5703125" style="35" customWidth="1"/>
    <col min="9279" max="9471" width="9.140625" style="35"/>
    <col min="9472" max="9472" width="7.85546875" style="35" customWidth="1"/>
    <col min="9473" max="9474" width="3" style="35" customWidth="1"/>
    <col min="9475" max="9475" width="22.5703125" style="35" customWidth="1"/>
    <col min="9476" max="9476" width="2.28515625" style="35" customWidth="1"/>
    <col min="9477" max="9482" width="0" style="35" hidden="1" customWidth="1"/>
    <col min="9483" max="9483" width="12.85546875" style="35" customWidth="1"/>
    <col min="9484" max="9486" width="0" style="35" hidden="1" customWidth="1"/>
    <col min="9487" max="9487" width="2.7109375" style="35" customWidth="1"/>
    <col min="9488" max="9493" width="0" style="35" hidden="1" customWidth="1"/>
    <col min="9494" max="9494" width="12.7109375" style="35" customWidth="1"/>
    <col min="9495" max="9497" width="0" style="35" hidden="1" customWidth="1"/>
    <col min="9498" max="9498" width="2.28515625" style="35" customWidth="1"/>
    <col min="9499" max="9504" width="0" style="35" hidden="1" customWidth="1"/>
    <col min="9505" max="9505" width="12.7109375" style="35" customWidth="1"/>
    <col min="9506" max="9508" width="0" style="35" hidden="1" customWidth="1"/>
    <col min="9509" max="9509" width="2.28515625" style="35" customWidth="1"/>
    <col min="9510" max="9510" width="12.7109375" style="35" customWidth="1"/>
    <col min="9511" max="9517" width="0" style="35" hidden="1" customWidth="1"/>
    <col min="9518" max="9518" width="12.7109375" style="35" customWidth="1"/>
    <col min="9519" max="9521" width="0" style="35" hidden="1" customWidth="1"/>
    <col min="9522" max="9522" width="2.7109375" style="35" customWidth="1"/>
    <col min="9523" max="9523" width="12.7109375" style="35" customWidth="1"/>
    <col min="9524" max="9524" width="13.140625" style="35" bestFit="1" customWidth="1"/>
    <col min="9525" max="9525" width="5.7109375" style="35" customWidth="1"/>
    <col min="9526" max="9533" width="0" style="35" hidden="1" customWidth="1"/>
    <col min="9534" max="9534" width="34.5703125" style="35" customWidth="1"/>
    <col min="9535" max="9727" width="9.140625" style="35"/>
    <col min="9728" max="9728" width="7.85546875" style="35" customWidth="1"/>
    <col min="9729" max="9730" width="3" style="35" customWidth="1"/>
    <col min="9731" max="9731" width="22.5703125" style="35" customWidth="1"/>
    <col min="9732" max="9732" width="2.28515625" style="35" customWidth="1"/>
    <col min="9733" max="9738" width="0" style="35" hidden="1" customWidth="1"/>
    <col min="9739" max="9739" width="12.85546875" style="35" customWidth="1"/>
    <col min="9740" max="9742" width="0" style="35" hidden="1" customWidth="1"/>
    <col min="9743" max="9743" width="2.7109375" style="35" customWidth="1"/>
    <col min="9744" max="9749" width="0" style="35" hidden="1" customWidth="1"/>
    <col min="9750" max="9750" width="12.7109375" style="35" customWidth="1"/>
    <col min="9751" max="9753" width="0" style="35" hidden="1" customWidth="1"/>
    <col min="9754" max="9754" width="2.28515625" style="35" customWidth="1"/>
    <col min="9755" max="9760" width="0" style="35" hidden="1" customWidth="1"/>
    <col min="9761" max="9761" width="12.7109375" style="35" customWidth="1"/>
    <col min="9762" max="9764" width="0" style="35" hidden="1" customWidth="1"/>
    <col min="9765" max="9765" width="2.28515625" style="35" customWidth="1"/>
    <col min="9766" max="9766" width="12.7109375" style="35" customWidth="1"/>
    <col min="9767" max="9773" width="0" style="35" hidden="1" customWidth="1"/>
    <col min="9774" max="9774" width="12.7109375" style="35" customWidth="1"/>
    <col min="9775" max="9777" width="0" style="35" hidden="1" customWidth="1"/>
    <col min="9778" max="9778" width="2.7109375" style="35" customWidth="1"/>
    <col min="9779" max="9779" width="12.7109375" style="35" customWidth="1"/>
    <col min="9780" max="9780" width="13.140625" style="35" bestFit="1" customWidth="1"/>
    <col min="9781" max="9781" width="5.7109375" style="35" customWidth="1"/>
    <col min="9782" max="9789" width="0" style="35" hidden="1" customWidth="1"/>
    <col min="9790" max="9790" width="34.5703125" style="35" customWidth="1"/>
    <col min="9791" max="9983" width="9.140625" style="35"/>
    <col min="9984" max="9984" width="7.85546875" style="35" customWidth="1"/>
    <col min="9985" max="9986" width="3" style="35" customWidth="1"/>
    <col min="9987" max="9987" width="22.5703125" style="35" customWidth="1"/>
    <col min="9988" max="9988" width="2.28515625" style="35" customWidth="1"/>
    <col min="9989" max="9994" width="0" style="35" hidden="1" customWidth="1"/>
    <col min="9995" max="9995" width="12.85546875" style="35" customWidth="1"/>
    <col min="9996" max="9998" width="0" style="35" hidden="1" customWidth="1"/>
    <col min="9999" max="9999" width="2.7109375" style="35" customWidth="1"/>
    <col min="10000" max="10005" width="0" style="35" hidden="1" customWidth="1"/>
    <col min="10006" max="10006" width="12.7109375" style="35" customWidth="1"/>
    <col min="10007" max="10009" width="0" style="35" hidden="1" customWidth="1"/>
    <col min="10010" max="10010" width="2.28515625" style="35" customWidth="1"/>
    <col min="10011" max="10016" width="0" style="35" hidden="1" customWidth="1"/>
    <col min="10017" max="10017" width="12.7109375" style="35" customWidth="1"/>
    <col min="10018" max="10020" width="0" style="35" hidden="1" customWidth="1"/>
    <col min="10021" max="10021" width="2.28515625" style="35" customWidth="1"/>
    <col min="10022" max="10022" width="12.7109375" style="35" customWidth="1"/>
    <col min="10023" max="10029" width="0" style="35" hidden="1" customWidth="1"/>
    <col min="10030" max="10030" width="12.7109375" style="35" customWidth="1"/>
    <col min="10031" max="10033" width="0" style="35" hidden="1" customWidth="1"/>
    <col min="10034" max="10034" width="2.7109375" style="35" customWidth="1"/>
    <col min="10035" max="10035" width="12.7109375" style="35" customWidth="1"/>
    <col min="10036" max="10036" width="13.140625" style="35" bestFit="1" customWidth="1"/>
    <col min="10037" max="10037" width="5.7109375" style="35" customWidth="1"/>
    <col min="10038" max="10045" width="0" style="35" hidden="1" customWidth="1"/>
    <col min="10046" max="10046" width="34.5703125" style="35" customWidth="1"/>
    <col min="10047" max="10239" width="9.140625" style="35"/>
    <col min="10240" max="10240" width="7.85546875" style="35" customWidth="1"/>
    <col min="10241" max="10242" width="3" style="35" customWidth="1"/>
    <col min="10243" max="10243" width="22.5703125" style="35" customWidth="1"/>
    <col min="10244" max="10244" width="2.28515625" style="35" customWidth="1"/>
    <col min="10245" max="10250" width="0" style="35" hidden="1" customWidth="1"/>
    <col min="10251" max="10251" width="12.85546875" style="35" customWidth="1"/>
    <col min="10252" max="10254" width="0" style="35" hidden="1" customWidth="1"/>
    <col min="10255" max="10255" width="2.7109375" style="35" customWidth="1"/>
    <col min="10256" max="10261" width="0" style="35" hidden="1" customWidth="1"/>
    <col min="10262" max="10262" width="12.7109375" style="35" customWidth="1"/>
    <col min="10263" max="10265" width="0" style="35" hidden="1" customWidth="1"/>
    <col min="10266" max="10266" width="2.28515625" style="35" customWidth="1"/>
    <col min="10267" max="10272" width="0" style="35" hidden="1" customWidth="1"/>
    <col min="10273" max="10273" width="12.7109375" style="35" customWidth="1"/>
    <col min="10274" max="10276" width="0" style="35" hidden="1" customWidth="1"/>
    <col min="10277" max="10277" width="2.28515625" style="35" customWidth="1"/>
    <col min="10278" max="10278" width="12.7109375" style="35" customWidth="1"/>
    <col min="10279" max="10285" width="0" style="35" hidden="1" customWidth="1"/>
    <col min="10286" max="10286" width="12.7109375" style="35" customWidth="1"/>
    <col min="10287" max="10289" width="0" style="35" hidden="1" customWidth="1"/>
    <col min="10290" max="10290" width="2.7109375" style="35" customWidth="1"/>
    <col min="10291" max="10291" width="12.7109375" style="35" customWidth="1"/>
    <col min="10292" max="10292" width="13.140625" style="35" bestFit="1" customWidth="1"/>
    <col min="10293" max="10293" width="5.7109375" style="35" customWidth="1"/>
    <col min="10294" max="10301" width="0" style="35" hidden="1" customWidth="1"/>
    <col min="10302" max="10302" width="34.5703125" style="35" customWidth="1"/>
    <col min="10303" max="10495" width="9.140625" style="35"/>
    <col min="10496" max="10496" width="7.85546875" style="35" customWidth="1"/>
    <col min="10497" max="10498" width="3" style="35" customWidth="1"/>
    <col min="10499" max="10499" width="22.5703125" style="35" customWidth="1"/>
    <col min="10500" max="10500" width="2.28515625" style="35" customWidth="1"/>
    <col min="10501" max="10506" width="0" style="35" hidden="1" customWidth="1"/>
    <col min="10507" max="10507" width="12.85546875" style="35" customWidth="1"/>
    <col min="10508" max="10510" width="0" style="35" hidden="1" customWidth="1"/>
    <col min="10511" max="10511" width="2.7109375" style="35" customWidth="1"/>
    <col min="10512" max="10517" width="0" style="35" hidden="1" customWidth="1"/>
    <col min="10518" max="10518" width="12.7109375" style="35" customWidth="1"/>
    <col min="10519" max="10521" width="0" style="35" hidden="1" customWidth="1"/>
    <col min="10522" max="10522" width="2.28515625" style="35" customWidth="1"/>
    <col min="10523" max="10528" width="0" style="35" hidden="1" customWidth="1"/>
    <col min="10529" max="10529" width="12.7109375" style="35" customWidth="1"/>
    <col min="10530" max="10532" width="0" style="35" hidden="1" customWidth="1"/>
    <col min="10533" max="10533" width="2.28515625" style="35" customWidth="1"/>
    <col min="10534" max="10534" width="12.7109375" style="35" customWidth="1"/>
    <col min="10535" max="10541" width="0" style="35" hidden="1" customWidth="1"/>
    <col min="10542" max="10542" width="12.7109375" style="35" customWidth="1"/>
    <col min="10543" max="10545" width="0" style="35" hidden="1" customWidth="1"/>
    <col min="10546" max="10546" width="2.7109375" style="35" customWidth="1"/>
    <col min="10547" max="10547" width="12.7109375" style="35" customWidth="1"/>
    <col min="10548" max="10548" width="13.140625" style="35" bestFit="1" customWidth="1"/>
    <col min="10549" max="10549" width="5.7109375" style="35" customWidth="1"/>
    <col min="10550" max="10557" width="0" style="35" hidden="1" customWidth="1"/>
    <col min="10558" max="10558" width="34.5703125" style="35" customWidth="1"/>
    <col min="10559" max="10751" width="9.140625" style="35"/>
    <col min="10752" max="10752" width="7.85546875" style="35" customWidth="1"/>
    <col min="10753" max="10754" width="3" style="35" customWidth="1"/>
    <col min="10755" max="10755" width="22.5703125" style="35" customWidth="1"/>
    <col min="10756" max="10756" width="2.28515625" style="35" customWidth="1"/>
    <col min="10757" max="10762" width="0" style="35" hidden="1" customWidth="1"/>
    <col min="10763" max="10763" width="12.85546875" style="35" customWidth="1"/>
    <col min="10764" max="10766" width="0" style="35" hidden="1" customWidth="1"/>
    <col min="10767" max="10767" width="2.7109375" style="35" customWidth="1"/>
    <col min="10768" max="10773" width="0" style="35" hidden="1" customWidth="1"/>
    <col min="10774" max="10774" width="12.7109375" style="35" customWidth="1"/>
    <col min="10775" max="10777" width="0" style="35" hidden="1" customWidth="1"/>
    <col min="10778" max="10778" width="2.28515625" style="35" customWidth="1"/>
    <col min="10779" max="10784" width="0" style="35" hidden="1" customWidth="1"/>
    <col min="10785" max="10785" width="12.7109375" style="35" customWidth="1"/>
    <col min="10786" max="10788" width="0" style="35" hidden="1" customWidth="1"/>
    <col min="10789" max="10789" width="2.28515625" style="35" customWidth="1"/>
    <col min="10790" max="10790" width="12.7109375" style="35" customWidth="1"/>
    <col min="10791" max="10797" width="0" style="35" hidden="1" customWidth="1"/>
    <col min="10798" max="10798" width="12.7109375" style="35" customWidth="1"/>
    <col min="10799" max="10801" width="0" style="35" hidden="1" customWidth="1"/>
    <col min="10802" max="10802" width="2.7109375" style="35" customWidth="1"/>
    <col min="10803" max="10803" width="12.7109375" style="35" customWidth="1"/>
    <col min="10804" max="10804" width="13.140625" style="35" bestFit="1" customWidth="1"/>
    <col min="10805" max="10805" width="5.7109375" style="35" customWidth="1"/>
    <col min="10806" max="10813" width="0" style="35" hidden="1" customWidth="1"/>
    <col min="10814" max="10814" width="34.5703125" style="35" customWidth="1"/>
    <col min="10815" max="11007" width="9.140625" style="35"/>
    <col min="11008" max="11008" width="7.85546875" style="35" customWidth="1"/>
    <col min="11009" max="11010" width="3" style="35" customWidth="1"/>
    <col min="11011" max="11011" width="22.5703125" style="35" customWidth="1"/>
    <col min="11012" max="11012" width="2.28515625" style="35" customWidth="1"/>
    <col min="11013" max="11018" width="0" style="35" hidden="1" customWidth="1"/>
    <col min="11019" max="11019" width="12.85546875" style="35" customWidth="1"/>
    <col min="11020" max="11022" width="0" style="35" hidden="1" customWidth="1"/>
    <col min="11023" max="11023" width="2.7109375" style="35" customWidth="1"/>
    <col min="11024" max="11029" width="0" style="35" hidden="1" customWidth="1"/>
    <col min="11030" max="11030" width="12.7109375" style="35" customWidth="1"/>
    <col min="11031" max="11033" width="0" style="35" hidden="1" customWidth="1"/>
    <col min="11034" max="11034" width="2.28515625" style="35" customWidth="1"/>
    <col min="11035" max="11040" width="0" style="35" hidden="1" customWidth="1"/>
    <col min="11041" max="11041" width="12.7109375" style="35" customWidth="1"/>
    <col min="11042" max="11044" width="0" style="35" hidden="1" customWidth="1"/>
    <col min="11045" max="11045" width="2.28515625" style="35" customWidth="1"/>
    <col min="11046" max="11046" width="12.7109375" style="35" customWidth="1"/>
    <col min="11047" max="11053" width="0" style="35" hidden="1" customWidth="1"/>
    <col min="11054" max="11054" width="12.7109375" style="35" customWidth="1"/>
    <col min="11055" max="11057" width="0" style="35" hidden="1" customWidth="1"/>
    <col min="11058" max="11058" width="2.7109375" style="35" customWidth="1"/>
    <col min="11059" max="11059" width="12.7109375" style="35" customWidth="1"/>
    <col min="11060" max="11060" width="13.140625" style="35" bestFit="1" customWidth="1"/>
    <col min="11061" max="11061" width="5.7109375" style="35" customWidth="1"/>
    <col min="11062" max="11069" width="0" style="35" hidden="1" customWidth="1"/>
    <col min="11070" max="11070" width="34.5703125" style="35" customWidth="1"/>
    <col min="11071" max="11263" width="9.140625" style="35"/>
    <col min="11264" max="11264" width="7.85546875" style="35" customWidth="1"/>
    <col min="11265" max="11266" width="3" style="35" customWidth="1"/>
    <col min="11267" max="11267" width="22.5703125" style="35" customWidth="1"/>
    <col min="11268" max="11268" width="2.28515625" style="35" customWidth="1"/>
    <col min="11269" max="11274" width="0" style="35" hidden="1" customWidth="1"/>
    <col min="11275" max="11275" width="12.85546875" style="35" customWidth="1"/>
    <col min="11276" max="11278" width="0" style="35" hidden="1" customWidth="1"/>
    <col min="11279" max="11279" width="2.7109375" style="35" customWidth="1"/>
    <col min="11280" max="11285" width="0" style="35" hidden="1" customWidth="1"/>
    <col min="11286" max="11286" width="12.7109375" style="35" customWidth="1"/>
    <col min="11287" max="11289" width="0" style="35" hidden="1" customWidth="1"/>
    <col min="11290" max="11290" width="2.28515625" style="35" customWidth="1"/>
    <col min="11291" max="11296" width="0" style="35" hidden="1" customWidth="1"/>
    <col min="11297" max="11297" width="12.7109375" style="35" customWidth="1"/>
    <col min="11298" max="11300" width="0" style="35" hidden="1" customWidth="1"/>
    <col min="11301" max="11301" width="2.28515625" style="35" customWidth="1"/>
    <col min="11302" max="11302" width="12.7109375" style="35" customWidth="1"/>
    <col min="11303" max="11309" width="0" style="35" hidden="1" customWidth="1"/>
    <col min="11310" max="11310" width="12.7109375" style="35" customWidth="1"/>
    <col min="11311" max="11313" width="0" style="35" hidden="1" customWidth="1"/>
    <col min="11314" max="11314" width="2.7109375" style="35" customWidth="1"/>
    <col min="11315" max="11315" width="12.7109375" style="35" customWidth="1"/>
    <col min="11316" max="11316" width="13.140625" style="35" bestFit="1" customWidth="1"/>
    <col min="11317" max="11317" width="5.7109375" style="35" customWidth="1"/>
    <col min="11318" max="11325" width="0" style="35" hidden="1" customWidth="1"/>
    <col min="11326" max="11326" width="34.5703125" style="35" customWidth="1"/>
    <col min="11327" max="11519" width="9.140625" style="35"/>
    <col min="11520" max="11520" width="7.85546875" style="35" customWidth="1"/>
    <col min="11521" max="11522" width="3" style="35" customWidth="1"/>
    <col min="11523" max="11523" width="22.5703125" style="35" customWidth="1"/>
    <col min="11524" max="11524" width="2.28515625" style="35" customWidth="1"/>
    <col min="11525" max="11530" width="0" style="35" hidden="1" customWidth="1"/>
    <col min="11531" max="11531" width="12.85546875" style="35" customWidth="1"/>
    <col min="11532" max="11534" width="0" style="35" hidden="1" customWidth="1"/>
    <col min="11535" max="11535" width="2.7109375" style="35" customWidth="1"/>
    <col min="11536" max="11541" width="0" style="35" hidden="1" customWidth="1"/>
    <col min="11542" max="11542" width="12.7109375" style="35" customWidth="1"/>
    <col min="11543" max="11545" width="0" style="35" hidden="1" customWidth="1"/>
    <col min="11546" max="11546" width="2.28515625" style="35" customWidth="1"/>
    <col min="11547" max="11552" width="0" style="35" hidden="1" customWidth="1"/>
    <col min="11553" max="11553" width="12.7109375" style="35" customWidth="1"/>
    <col min="11554" max="11556" width="0" style="35" hidden="1" customWidth="1"/>
    <col min="11557" max="11557" width="2.28515625" style="35" customWidth="1"/>
    <col min="11558" max="11558" width="12.7109375" style="35" customWidth="1"/>
    <col min="11559" max="11565" width="0" style="35" hidden="1" customWidth="1"/>
    <col min="11566" max="11566" width="12.7109375" style="35" customWidth="1"/>
    <col min="11567" max="11569" width="0" style="35" hidden="1" customWidth="1"/>
    <col min="11570" max="11570" width="2.7109375" style="35" customWidth="1"/>
    <col min="11571" max="11571" width="12.7109375" style="35" customWidth="1"/>
    <col min="11572" max="11572" width="13.140625" style="35" bestFit="1" customWidth="1"/>
    <col min="11573" max="11573" width="5.7109375" style="35" customWidth="1"/>
    <col min="11574" max="11581" width="0" style="35" hidden="1" customWidth="1"/>
    <col min="11582" max="11582" width="34.5703125" style="35" customWidth="1"/>
    <col min="11583" max="11775" width="9.140625" style="35"/>
    <col min="11776" max="11776" width="7.85546875" style="35" customWidth="1"/>
    <col min="11777" max="11778" width="3" style="35" customWidth="1"/>
    <col min="11779" max="11779" width="22.5703125" style="35" customWidth="1"/>
    <col min="11780" max="11780" width="2.28515625" style="35" customWidth="1"/>
    <col min="11781" max="11786" width="0" style="35" hidden="1" customWidth="1"/>
    <col min="11787" max="11787" width="12.85546875" style="35" customWidth="1"/>
    <col min="11788" max="11790" width="0" style="35" hidden="1" customWidth="1"/>
    <col min="11791" max="11791" width="2.7109375" style="35" customWidth="1"/>
    <col min="11792" max="11797" width="0" style="35" hidden="1" customWidth="1"/>
    <col min="11798" max="11798" width="12.7109375" style="35" customWidth="1"/>
    <col min="11799" max="11801" width="0" style="35" hidden="1" customWidth="1"/>
    <col min="11802" max="11802" width="2.28515625" style="35" customWidth="1"/>
    <col min="11803" max="11808" width="0" style="35" hidden="1" customWidth="1"/>
    <col min="11809" max="11809" width="12.7109375" style="35" customWidth="1"/>
    <col min="11810" max="11812" width="0" style="35" hidden="1" customWidth="1"/>
    <col min="11813" max="11813" width="2.28515625" style="35" customWidth="1"/>
    <col min="11814" max="11814" width="12.7109375" style="35" customWidth="1"/>
    <col min="11815" max="11821" width="0" style="35" hidden="1" customWidth="1"/>
    <col min="11822" max="11822" width="12.7109375" style="35" customWidth="1"/>
    <col min="11823" max="11825" width="0" style="35" hidden="1" customWidth="1"/>
    <col min="11826" max="11826" width="2.7109375" style="35" customWidth="1"/>
    <col min="11827" max="11827" width="12.7109375" style="35" customWidth="1"/>
    <col min="11828" max="11828" width="13.140625" style="35" bestFit="1" customWidth="1"/>
    <col min="11829" max="11829" width="5.7109375" style="35" customWidth="1"/>
    <col min="11830" max="11837" width="0" style="35" hidden="1" customWidth="1"/>
    <col min="11838" max="11838" width="34.5703125" style="35" customWidth="1"/>
    <col min="11839" max="12031" width="9.140625" style="35"/>
    <col min="12032" max="12032" width="7.85546875" style="35" customWidth="1"/>
    <col min="12033" max="12034" width="3" style="35" customWidth="1"/>
    <col min="12035" max="12035" width="22.5703125" style="35" customWidth="1"/>
    <col min="12036" max="12036" width="2.28515625" style="35" customWidth="1"/>
    <col min="12037" max="12042" width="0" style="35" hidden="1" customWidth="1"/>
    <col min="12043" max="12043" width="12.85546875" style="35" customWidth="1"/>
    <col min="12044" max="12046" width="0" style="35" hidden="1" customWidth="1"/>
    <col min="12047" max="12047" width="2.7109375" style="35" customWidth="1"/>
    <col min="12048" max="12053" width="0" style="35" hidden="1" customWidth="1"/>
    <col min="12054" max="12054" width="12.7109375" style="35" customWidth="1"/>
    <col min="12055" max="12057" width="0" style="35" hidden="1" customWidth="1"/>
    <col min="12058" max="12058" width="2.28515625" style="35" customWidth="1"/>
    <col min="12059" max="12064" width="0" style="35" hidden="1" customWidth="1"/>
    <col min="12065" max="12065" width="12.7109375" style="35" customWidth="1"/>
    <col min="12066" max="12068" width="0" style="35" hidden="1" customWidth="1"/>
    <col min="12069" max="12069" width="2.28515625" style="35" customWidth="1"/>
    <col min="12070" max="12070" width="12.7109375" style="35" customWidth="1"/>
    <col min="12071" max="12077" width="0" style="35" hidden="1" customWidth="1"/>
    <col min="12078" max="12078" width="12.7109375" style="35" customWidth="1"/>
    <col min="12079" max="12081" width="0" style="35" hidden="1" customWidth="1"/>
    <col min="12082" max="12082" width="2.7109375" style="35" customWidth="1"/>
    <col min="12083" max="12083" width="12.7109375" style="35" customWidth="1"/>
    <col min="12084" max="12084" width="13.140625" style="35" bestFit="1" customWidth="1"/>
    <col min="12085" max="12085" width="5.7109375" style="35" customWidth="1"/>
    <col min="12086" max="12093" width="0" style="35" hidden="1" customWidth="1"/>
    <col min="12094" max="12094" width="34.5703125" style="35" customWidth="1"/>
    <col min="12095" max="12287" width="9.140625" style="35"/>
    <col min="12288" max="12288" width="7.85546875" style="35" customWidth="1"/>
    <col min="12289" max="12290" width="3" style="35" customWidth="1"/>
    <col min="12291" max="12291" width="22.5703125" style="35" customWidth="1"/>
    <col min="12292" max="12292" width="2.28515625" style="35" customWidth="1"/>
    <col min="12293" max="12298" width="0" style="35" hidden="1" customWidth="1"/>
    <col min="12299" max="12299" width="12.85546875" style="35" customWidth="1"/>
    <col min="12300" max="12302" width="0" style="35" hidden="1" customWidth="1"/>
    <col min="12303" max="12303" width="2.7109375" style="35" customWidth="1"/>
    <col min="12304" max="12309" width="0" style="35" hidden="1" customWidth="1"/>
    <col min="12310" max="12310" width="12.7109375" style="35" customWidth="1"/>
    <col min="12311" max="12313" width="0" style="35" hidden="1" customWidth="1"/>
    <col min="12314" max="12314" width="2.28515625" style="35" customWidth="1"/>
    <col min="12315" max="12320" width="0" style="35" hidden="1" customWidth="1"/>
    <col min="12321" max="12321" width="12.7109375" style="35" customWidth="1"/>
    <col min="12322" max="12324" width="0" style="35" hidden="1" customWidth="1"/>
    <col min="12325" max="12325" width="2.28515625" style="35" customWidth="1"/>
    <col min="12326" max="12326" width="12.7109375" style="35" customWidth="1"/>
    <col min="12327" max="12333" width="0" style="35" hidden="1" customWidth="1"/>
    <col min="12334" max="12334" width="12.7109375" style="35" customWidth="1"/>
    <col min="12335" max="12337" width="0" style="35" hidden="1" customWidth="1"/>
    <col min="12338" max="12338" width="2.7109375" style="35" customWidth="1"/>
    <col min="12339" max="12339" width="12.7109375" style="35" customWidth="1"/>
    <col min="12340" max="12340" width="13.140625" style="35" bestFit="1" customWidth="1"/>
    <col min="12341" max="12341" width="5.7109375" style="35" customWidth="1"/>
    <col min="12342" max="12349" width="0" style="35" hidden="1" customWidth="1"/>
    <col min="12350" max="12350" width="34.5703125" style="35" customWidth="1"/>
    <col min="12351" max="12543" width="9.140625" style="35"/>
    <col min="12544" max="12544" width="7.85546875" style="35" customWidth="1"/>
    <col min="12545" max="12546" width="3" style="35" customWidth="1"/>
    <col min="12547" max="12547" width="22.5703125" style="35" customWidth="1"/>
    <col min="12548" max="12548" width="2.28515625" style="35" customWidth="1"/>
    <col min="12549" max="12554" width="0" style="35" hidden="1" customWidth="1"/>
    <col min="12555" max="12555" width="12.85546875" style="35" customWidth="1"/>
    <col min="12556" max="12558" width="0" style="35" hidden="1" customWidth="1"/>
    <col min="12559" max="12559" width="2.7109375" style="35" customWidth="1"/>
    <col min="12560" max="12565" width="0" style="35" hidden="1" customWidth="1"/>
    <col min="12566" max="12566" width="12.7109375" style="35" customWidth="1"/>
    <col min="12567" max="12569" width="0" style="35" hidden="1" customWidth="1"/>
    <col min="12570" max="12570" width="2.28515625" style="35" customWidth="1"/>
    <col min="12571" max="12576" width="0" style="35" hidden="1" customWidth="1"/>
    <col min="12577" max="12577" width="12.7109375" style="35" customWidth="1"/>
    <col min="12578" max="12580" width="0" style="35" hidden="1" customWidth="1"/>
    <col min="12581" max="12581" width="2.28515625" style="35" customWidth="1"/>
    <col min="12582" max="12582" width="12.7109375" style="35" customWidth="1"/>
    <col min="12583" max="12589" width="0" style="35" hidden="1" customWidth="1"/>
    <col min="12590" max="12590" width="12.7109375" style="35" customWidth="1"/>
    <col min="12591" max="12593" width="0" style="35" hidden="1" customWidth="1"/>
    <col min="12594" max="12594" width="2.7109375" style="35" customWidth="1"/>
    <col min="12595" max="12595" width="12.7109375" style="35" customWidth="1"/>
    <col min="12596" max="12596" width="13.140625" style="35" bestFit="1" customWidth="1"/>
    <col min="12597" max="12597" width="5.7109375" style="35" customWidth="1"/>
    <col min="12598" max="12605" width="0" style="35" hidden="1" customWidth="1"/>
    <col min="12606" max="12606" width="34.5703125" style="35" customWidth="1"/>
    <col min="12607" max="12799" width="9.140625" style="35"/>
    <col min="12800" max="12800" width="7.85546875" style="35" customWidth="1"/>
    <col min="12801" max="12802" width="3" style="35" customWidth="1"/>
    <col min="12803" max="12803" width="22.5703125" style="35" customWidth="1"/>
    <col min="12804" max="12804" width="2.28515625" style="35" customWidth="1"/>
    <col min="12805" max="12810" width="0" style="35" hidden="1" customWidth="1"/>
    <col min="12811" max="12811" width="12.85546875" style="35" customWidth="1"/>
    <col min="12812" max="12814" width="0" style="35" hidden="1" customWidth="1"/>
    <col min="12815" max="12815" width="2.7109375" style="35" customWidth="1"/>
    <col min="12816" max="12821" width="0" style="35" hidden="1" customWidth="1"/>
    <col min="12822" max="12822" width="12.7109375" style="35" customWidth="1"/>
    <col min="12823" max="12825" width="0" style="35" hidden="1" customWidth="1"/>
    <col min="12826" max="12826" width="2.28515625" style="35" customWidth="1"/>
    <col min="12827" max="12832" width="0" style="35" hidden="1" customWidth="1"/>
    <col min="12833" max="12833" width="12.7109375" style="35" customWidth="1"/>
    <col min="12834" max="12836" width="0" style="35" hidden="1" customWidth="1"/>
    <col min="12837" max="12837" width="2.28515625" style="35" customWidth="1"/>
    <col min="12838" max="12838" width="12.7109375" style="35" customWidth="1"/>
    <col min="12839" max="12845" width="0" style="35" hidden="1" customWidth="1"/>
    <col min="12846" max="12846" width="12.7109375" style="35" customWidth="1"/>
    <col min="12847" max="12849" width="0" style="35" hidden="1" customWidth="1"/>
    <col min="12850" max="12850" width="2.7109375" style="35" customWidth="1"/>
    <col min="12851" max="12851" width="12.7109375" style="35" customWidth="1"/>
    <col min="12852" max="12852" width="13.140625" style="35" bestFit="1" customWidth="1"/>
    <col min="12853" max="12853" width="5.7109375" style="35" customWidth="1"/>
    <col min="12854" max="12861" width="0" style="35" hidden="1" customWidth="1"/>
    <col min="12862" max="12862" width="34.5703125" style="35" customWidth="1"/>
    <col min="12863" max="13055" width="9.140625" style="35"/>
    <col min="13056" max="13056" width="7.85546875" style="35" customWidth="1"/>
    <col min="13057" max="13058" width="3" style="35" customWidth="1"/>
    <col min="13059" max="13059" width="22.5703125" style="35" customWidth="1"/>
    <col min="13060" max="13060" width="2.28515625" style="35" customWidth="1"/>
    <col min="13061" max="13066" width="0" style="35" hidden="1" customWidth="1"/>
    <col min="13067" max="13067" width="12.85546875" style="35" customWidth="1"/>
    <col min="13068" max="13070" width="0" style="35" hidden="1" customWidth="1"/>
    <col min="13071" max="13071" width="2.7109375" style="35" customWidth="1"/>
    <col min="13072" max="13077" width="0" style="35" hidden="1" customWidth="1"/>
    <col min="13078" max="13078" width="12.7109375" style="35" customWidth="1"/>
    <col min="13079" max="13081" width="0" style="35" hidden="1" customWidth="1"/>
    <col min="13082" max="13082" width="2.28515625" style="35" customWidth="1"/>
    <col min="13083" max="13088" width="0" style="35" hidden="1" customWidth="1"/>
    <col min="13089" max="13089" width="12.7109375" style="35" customWidth="1"/>
    <col min="13090" max="13092" width="0" style="35" hidden="1" customWidth="1"/>
    <col min="13093" max="13093" width="2.28515625" style="35" customWidth="1"/>
    <col min="13094" max="13094" width="12.7109375" style="35" customWidth="1"/>
    <col min="13095" max="13101" width="0" style="35" hidden="1" customWidth="1"/>
    <col min="13102" max="13102" width="12.7109375" style="35" customWidth="1"/>
    <col min="13103" max="13105" width="0" style="35" hidden="1" customWidth="1"/>
    <col min="13106" max="13106" width="2.7109375" style="35" customWidth="1"/>
    <col min="13107" max="13107" width="12.7109375" style="35" customWidth="1"/>
    <col min="13108" max="13108" width="13.140625" style="35" bestFit="1" customWidth="1"/>
    <col min="13109" max="13109" width="5.7109375" style="35" customWidth="1"/>
    <col min="13110" max="13117" width="0" style="35" hidden="1" customWidth="1"/>
    <col min="13118" max="13118" width="34.5703125" style="35" customWidth="1"/>
    <col min="13119" max="13311" width="9.140625" style="35"/>
    <col min="13312" max="13312" width="7.85546875" style="35" customWidth="1"/>
    <col min="13313" max="13314" width="3" style="35" customWidth="1"/>
    <col min="13315" max="13315" width="22.5703125" style="35" customWidth="1"/>
    <col min="13316" max="13316" width="2.28515625" style="35" customWidth="1"/>
    <col min="13317" max="13322" width="0" style="35" hidden="1" customWidth="1"/>
    <col min="13323" max="13323" width="12.85546875" style="35" customWidth="1"/>
    <col min="13324" max="13326" width="0" style="35" hidden="1" customWidth="1"/>
    <col min="13327" max="13327" width="2.7109375" style="35" customWidth="1"/>
    <col min="13328" max="13333" width="0" style="35" hidden="1" customWidth="1"/>
    <col min="13334" max="13334" width="12.7109375" style="35" customWidth="1"/>
    <col min="13335" max="13337" width="0" style="35" hidden="1" customWidth="1"/>
    <col min="13338" max="13338" width="2.28515625" style="35" customWidth="1"/>
    <col min="13339" max="13344" width="0" style="35" hidden="1" customWidth="1"/>
    <col min="13345" max="13345" width="12.7109375" style="35" customWidth="1"/>
    <col min="13346" max="13348" width="0" style="35" hidden="1" customWidth="1"/>
    <col min="13349" max="13349" width="2.28515625" style="35" customWidth="1"/>
    <col min="13350" max="13350" width="12.7109375" style="35" customWidth="1"/>
    <col min="13351" max="13357" width="0" style="35" hidden="1" customWidth="1"/>
    <col min="13358" max="13358" width="12.7109375" style="35" customWidth="1"/>
    <col min="13359" max="13361" width="0" style="35" hidden="1" customWidth="1"/>
    <col min="13362" max="13362" width="2.7109375" style="35" customWidth="1"/>
    <col min="13363" max="13363" width="12.7109375" style="35" customWidth="1"/>
    <col min="13364" max="13364" width="13.140625" style="35" bestFit="1" customWidth="1"/>
    <col min="13365" max="13365" width="5.7109375" style="35" customWidth="1"/>
    <col min="13366" max="13373" width="0" style="35" hidden="1" customWidth="1"/>
    <col min="13374" max="13374" width="34.5703125" style="35" customWidth="1"/>
    <col min="13375" max="13567" width="9.140625" style="35"/>
    <col min="13568" max="13568" width="7.85546875" style="35" customWidth="1"/>
    <col min="13569" max="13570" width="3" style="35" customWidth="1"/>
    <col min="13571" max="13571" width="22.5703125" style="35" customWidth="1"/>
    <col min="13572" max="13572" width="2.28515625" style="35" customWidth="1"/>
    <col min="13573" max="13578" width="0" style="35" hidden="1" customWidth="1"/>
    <col min="13579" max="13579" width="12.85546875" style="35" customWidth="1"/>
    <col min="13580" max="13582" width="0" style="35" hidden="1" customWidth="1"/>
    <col min="13583" max="13583" width="2.7109375" style="35" customWidth="1"/>
    <col min="13584" max="13589" width="0" style="35" hidden="1" customWidth="1"/>
    <col min="13590" max="13590" width="12.7109375" style="35" customWidth="1"/>
    <col min="13591" max="13593" width="0" style="35" hidden="1" customWidth="1"/>
    <col min="13594" max="13594" width="2.28515625" style="35" customWidth="1"/>
    <col min="13595" max="13600" width="0" style="35" hidden="1" customWidth="1"/>
    <col min="13601" max="13601" width="12.7109375" style="35" customWidth="1"/>
    <col min="13602" max="13604" width="0" style="35" hidden="1" customWidth="1"/>
    <col min="13605" max="13605" width="2.28515625" style="35" customWidth="1"/>
    <col min="13606" max="13606" width="12.7109375" style="35" customWidth="1"/>
    <col min="13607" max="13613" width="0" style="35" hidden="1" customWidth="1"/>
    <col min="13614" max="13614" width="12.7109375" style="35" customWidth="1"/>
    <col min="13615" max="13617" width="0" style="35" hidden="1" customWidth="1"/>
    <col min="13618" max="13618" width="2.7109375" style="35" customWidth="1"/>
    <col min="13619" max="13619" width="12.7109375" style="35" customWidth="1"/>
    <col min="13620" max="13620" width="13.140625" style="35" bestFit="1" customWidth="1"/>
    <col min="13621" max="13621" width="5.7109375" style="35" customWidth="1"/>
    <col min="13622" max="13629" width="0" style="35" hidden="1" customWidth="1"/>
    <col min="13630" max="13630" width="34.5703125" style="35" customWidth="1"/>
    <col min="13631" max="13823" width="9.140625" style="35"/>
    <col min="13824" max="13824" width="7.85546875" style="35" customWidth="1"/>
    <col min="13825" max="13826" width="3" style="35" customWidth="1"/>
    <col min="13827" max="13827" width="22.5703125" style="35" customWidth="1"/>
    <col min="13828" max="13828" width="2.28515625" style="35" customWidth="1"/>
    <col min="13829" max="13834" width="0" style="35" hidden="1" customWidth="1"/>
    <col min="13835" max="13835" width="12.85546875" style="35" customWidth="1"/>
    <col min="13836" max="13838" width="0" style="35" hidden="1" customWidth="1"/>
    <col min="13839" max="13839" width="2.7109375" style="35" customWidth="1"/>
    <col min="13840" max="13845" width="0" style="35" hidden="1" customWidth="1"/>
    <col min="13846" max="13846" width="12.7109375" style="35" customWidth="1"/>
    <col min="13847" max="13849" width="0" style="35" hidden="1" customWidth="1"/>
    <col min="13850" max="13850" width="2.28515625" style="35" customWidth="1"/>
    <col min="13851" max="13856" width="0" style="35" hidden="1" customWidth="1"/>
    <col min="13857" max="13857" width="12.7109375" style="35" customWidth="1"/>
    <col min="13858" max="13860" width="0" style="35" hidden="1" customWidth="1"/>
    <col min="13861" max="13861" width="2.28515625" style="35" customWidth="1"/>
    <col min="13862" max="13862" width="12.7109375" style="35" customWidth="1"/>
    <col min="13863" max="13869" width="0" style="35" hidden="1" customWidth="1"/>
    <col min="13870" max="13870" width="12.7109375" style="35" customWidth="1"/>
    <col min="13871" max="13873" width="0" style="35" hidden="1" customWidth="1"/>
    <col min="13874" max="13874" width="2.7109375" style="35" customWidth="1"/>
    <col min="13875" max="13875" width="12.7109375" style="35" customWidth="1"/>
    <col min="13876" max="13876" width="13.140625" style="35" bestFit="1" customWidth="1"/>
    <col min="13877" max="13877" width="5.7109375" style="35" customWidth="1"/>
    <col min="13878" max="13885" width="0" style="35" hidden="1" customWidth="1"/>
    <col min="13886" max="13886" width="34.5703125" style="35" customWidth="1"/>
    <col min="13887" max="14079" width="9.140625" style="35"/>
    <col min="14080" max="14080" width="7.85546875" style="35" customWidth="1"/>
    <col min="14081" max="14082" width="3" style="35" customWidth="1"/>
    <col min="14083" max="14083" width="22.5703125" style="35" customWidth="1"/>
    <col min="14084" max="14084" width="2.28515625" style="35" customWidth="1"/>
    <col min="14085" max="14090" width="0" style="35" hidden="1" customWidth="1"/>
    <col min="14091" max="14091" width="12.85546875" style="35" customWidth="1"/>
    <col min="14092" max="14094" width="0" style="35" hidden="1" customWidth="1"/>
    <col min="14095" max="14095" width="2.7109375" style="35" customWidth="1"/>
    <col min="14096" max="14101" width="0" style="35" hidden="1" customWidth="1"/>
    <col min="14102" max="14102" width="12.7109375" style="35" customWidth="1"/>
    <col min="14103" max="14105" width="0" style="35" hidden="1" customWidth="1"/>
    <col min="14106" max="14106" width="2.28515625" style="35" customWidth="1"/>
    <col min="14107" max="14112" width="0" style="35" hidden="1" customWidth="1"/>
    <col min="14113" max="14113" width="12.7109375" style="35" customWidth="1"/>
    <col min="14114" max="14116" width="0" style="35" hidden="1" customWidth="1"/>
    <col min="14117" max="14117" width="2.28515625" style="35" customWidth="1"/>
    <col min="14118" max="14118" width="12.7109375" style="35" customWidth="1"/>
    <col min="14119" max="14125" width="0" style="35" hidden="1" customWidth="1"/>
    <col min="14126" max="14126" width="12.7109375" style="35" customWidth="1"/>
    <col min="14127" max="14129" width="0" style="35" hidden="1" customWidth="1"/>
    <col min="14130" max="14130" width="2.7109375" style="35" customWidth="1"/>
    <col min="14131" max="14131" width="12.7109375" style="35" customWidth="1"/>
    <col min="14132" max="14132" width="13.140625" style="35" bestFit="1" customWidth="1"/>
    <col min="14133" max="14133" width="5.7109375" style="35" customWidth="1"/>
    <col min="14134" max="14141" width="0" style="35" hidden="1" customWidth="1"/>
    <col min="14142" max="14142" width="34.5703125" style="35" customWidth="1"/>
    <col min="14143" max="14335" width="9.140625" style="35"/>
    <col min="14336" max="14336" width="7.85546875" style="35" customWidth="1"/>
    <col min="14337" max="14338" width="3" style="35" customWidth="1"/>
    <col min="14339" max="14339" width="22.5703125" style="35" customWidth="1"/>
    <col min="14340" max="14340" width="2.28515625" style="35" customWidth="1"/>
    <col min="14341" max="14346" width="0" style="35" hidden="1" customWidth="1"/>
    <col min="14347" max="14347" width="12.85546875" style="35" customWidth="1"/>
    <col min="14348" max="14350" width="0" style="35" hidden="1" customWidth="1"/>
    <col min="14351" max="14351" width="2.7109375" style="35" customWidth="1"/>
    <col min="14352" max="14357" width="0" style="35" hidden="1" customWidth="1"/>
    <col min="14358" max="14358" width="12.7109375" style="35" customWidth="1"/>
    <col min="14359" max="14361" width="0" style="35" hidden="1" customWidth="1"/>
    <col min="14362" max="14362" width="2.28515625" style="35" customWidth="1"/>
    <col min="14363" max="14368" width="0" style="35" hidden="1" customWidth="1"/>
    <col min="14369" max="14369" width="12.7109375" style="35" customWidth="1"/>
    <col min="14370" max="14372" width="0" style="35" hidden="1" customWidth="1"/>
    <col min="14373" max="14373" width="2.28515625" style="35" customWidth="1"/>
    <col min="14374" max="14374" width="12.7109375" style="35" customWidth="1"/>
    <col min="14375" max="14381" width="0" style="35" hidden="1" customWidth="1"/>
    <col min="14382" max="14382" width="12.7109375" style="35" customWidth="1"/>
    <col min="14383" max="14385" width="0" style="35" hidden="1" customWidth="1"/>
    <col min="14386" max="14386" width="2.7109375" style="35" customWidth="1"/>
    <col min="14387" max="14387" width="12.7109375" style="35" customWidth="1"/>
    <col min="14388" max="14388" width="13.140625" style="35" bestFit="1" customWidth="1"/>
    <col min="14389" max="14389" width="5.7109375" style="35" customWidth="1"/>
    <col min="14390" max="14397" width="0" style="35" hidden="1" customWidth="1"/>
    <col min="14398" max="14398" width="34.5703125" style="35" customWidth="1"/>
    <col min="14399" max="14591" width="9.140625" style="35"/>
    <col min="14592" max="14592" width="7.85546875" style="35" customWidth="1"/>
    <col min="14593" max="14594" width="3" style="35" customWidth="1"/>
    <col min="14595" max="14595" width="22.5703125" style="35" customWidth="1"/>
    <col min="14596" max="14596" width="2.28515625" style="35" customWidth="1"/>
    <col min="14597" max="14602" width="0" style="35" hidden="1" customWidth="1"/>
    <col min="14603" max="14603" width="12.85546875" style="35" customWidth="1"/>
    <col min="14604" max="14606" width="0" style="35" hidden="1" customWidth="1"/>
    <col min="14607" max="14607" width="2.7109375" style="35" customWidth="1"/>
    <col min="14608" max="14613" width="0" style="35" hidden="1" customWidth="1"/>
    <col min="14614" max="14614" width="12.7109375" style="35" customWidth="1"/>
    <col min="14615" max="14617" width="0" style="35" hidden="1" customWidth="1"/>
    <col min="14618" max="14618" width="2.28515625" style="35" customWidth="1"/>
    <col min="14619" max="14624" width="0" style="35" hidden="1" customWidth="1"/>
    <col min="14625" max="14625" width="12.7109375" style="35" customWidth="1"/>
    <col min="14626" max="14628" width="0" style="35" hidden="1" customWidth="1"/>
    <col min="14629" max="14629" width="2.28515625" style="35" customWidth="1"/>
    <col min="14630" max="14630" width="12.7109375" style="35" customWidth="1"/>
    <col min="14631" max="14637" width="0" style="35" hidden="1" customWidth="1"/>
    <col min="14638" max="14638" width="12.7109375" style="35" customWidth="1"/>
    <col min="14639" max="14641" width="0" style="35" hidden="1" customWidth="1"/>
    <col min="14642" max="14642" width="2.7109375" style="35" customWidth="1"/>
    <col min="14643" max="14643" width="12.7109375" style="35" customWidth="1"/>
    <col min="14644" max="14644" width="13.140625" style="35" bestFit="1" customWidth="1"/>
    <col min="14645" max="14645" width="5.7109375" style="35" customWidth="1"/>
    <col min="14646" max="14653" width="0" style="35" hidden="1" customWidth="1"/>
    <col min="14654" max="14654" width="34.5703125" style="35" customWidth="1"/>
    <col min="14655" max="14847" width="9.140625" style="35"/>
    <col min="14848" max="14848" width="7.85546875" style="35" customWidth="1"/>
    <col min="14849" max="14850" width="3" style="35" customWidth="1"/>
    <col min="14851" max="14851" width="22.5703125" style="35" customWidth="1"/>
    <col min="14852" max="14852" width="2.28515625" style="35" customWidth="1"/>
    <col min="14853" max="14858" width="0" style="35" hidden="1" customWidth="1"/>
    <col min="14859" max="14859" width="12.85546875" style="35" customWidth="1"/>
    <col min="14860" max="14862" width="0" style="35" hidden="1" customWidth="1"/>
    <col min="14863" max="14863" width="2.7109375" style="35" customWidth="1"/>
    <col min="14864" max="14869" width="0" style="35" hidden="1" customWidth="1"/>
    <col min="14870" max="14870" width="12.7109375" style="35" customWidth="1"/>
    <col min="14871" max="14873" width="0" style="35" hidden="1" customWidth="1"/>
    <col min="14874" max="14874" width="2.28515625" style="35" customWidth="1"/>
    <col min="14875" max="14880" width="0" style="35" hidden="1" customWidth="1"/>
    <col min="14881" max="14881" width="12.7109375" style="35" customWidth="1"/>
    <col min="14882" max="14884" width="0" style="35" hidden="1" customWidth="1"/>
    <col min="14885" max="14885" width="2.28515625" style="35" customWidth="1"/>
    <col min="14886" max="14886" width="12.7109375" style="35" customWidth="1"/>
    <col min="14887" max="14893" width="0" style="35" hidden="1" customWidth="1"/>
    <col min="14894" max="14894" width="12.7109375" style="35" customWidth="1"/>
    <col min="14895" max="14897" width="0" style="35" hidden="1" customWidth="1"/>
    <col min="14898" max="14898" width="2.7109375" style="35" customWidth="1"/>
    <col min="14899" max="14899" width="12.7109375" style="35" customWidth="1"/>
    <col min="14900" max="14900" width="13.140625" style="35" bestFit="1" customWidth="1"/>
    <col min="14901" max="14901" width="5.7109375" style="35" customWidth="1"/>
    <col min="14902" max="14909" width="0" style="35" hidden="1" customWidth="1"/>
    <col min="14910" max="14910" width="34.5703125" style="35" customWidth="1"/>
    <col min="14911" max="15103" width="9.140625" style="35"/>
    <col min="15104" max="15104" width="7.85546875" style="35" customWidth="1"/>
    <col min="15105" max="15106" width="3" style="35" customWidth="1"/>
    <col min="15107" max="15107" width="22.5703125" style="35" customWidth="1"/>
    <col min="15108" max="15108" width="2.28515625" style="35" customWidth="1"/>
    <col min="15109" max="15114" width="0" style="35" hidden="1" customWidth="1"/>
    <col min="15115" max="15115" width="12.85546875" style="35" customWidth="1"/>
    <col min="15116" max="15118" width="0" style="35" hidden="1" customWidth="1"/>
    <col min="15119" max="15119" width="2.7109375" style="35" customWidth="1"/>
    <col min="15120" max="15125" width="0" style="35" hidden="1" customWidth="1"/>
    <col min="15126" max="15126" width="12.7109375" style="35" customWidth="1"/>
    <col min="15127" max="15129" width="0" style="35" hidden="1" customWidth="1"/>
    <col min="15130" max="15130" width="2.28515625" style="35" customWidth="1"/>
    <col min="15131" max="15136" width="0" style="35" hidden="1" customWidth="1"/>
    <col min="15137" max="15137" width="12.7109375" style="35" customWidth="1"/>
    <col min="15138" max="15140" width="0" style="35" hidden="1" customWidth="1"/>
    <col min="15141" max="15141" width="2.28515625" style="35" customWidth="1"/>
    <col min="15142" max="15142" width="12.7109375" style="35" customWidth="1"/>
    <col min="15143" max="15149" width="0" style="35" hidden="1" customWidth="1"/>
    <col min="15150" max="15150" width="12.7109375" style="35" customWidth="1"/>
    <col min="15151" max="15153" width="0" style="35" hidden="1" customWidth="1"/>
    <col min="15154" max="15154" width="2.7109375" style="35" customWidth="1"/>
    <col min="15155" max="15155" width="12.7109375" style="35" customWidth="1"/>
    <col min="15156" max="15156" width="13.140625" style="35" bestFit="1" customWidth="1"/>
    <col min="15157" max="15157" width="5.7109375" style="35" customWidth="1"/>
    <col min="15158" max="15165" width="0" style="35" hidden="1" customWidth="1"/>
    <col min="15166" max="15166" width="34.5703125" style="35" customWidth="1"/>
    <col min="15167" max="15359" width="9.140625" style="35"/>
    <col min="15360" max="15360" width="7.85546875" style="35" customWidth="1"/>
    <col min="15361" max="15362" width="3" style="35" customWidth="1"/>
    <col min="15363" max="15363" width="22.5703125" style="35" customWidth="1"/>
    <col min="15364" max="15364" width="2.28515625" style="35" customWidth="1"/>
    <col min="15365" max="15370" width="0" style="35" hidden="1" customWidth="1"/>
    <col min="15371" max="15371" width="12.85546875" style="35" customWidth="1"/>
    <col min="15372" max="15374" width="0" style="35" hidden="1" customWidth="1"/>
    <col min="15375" max="15375" width="2.7109375" style="35" customWidth="1"/>
    <col min="15376" max="15381" width="0" style="35" hidden="1" customWidth="1"/>
    <col min="15382" max="15382" width="12.7109375" style="35" customWidth="1"/>
    <col min="15383" max="15385" width="0" style="35" hidden="1" customWidth="1"/>
    <col min="15386" max="15386" width="2.28515625" style="35" customWidth="1"/>
    <col min="15387" max="15392" width="0" style="35" hidden="1" customWidth="1"/>
    <col min="15393" max="15393" width="12.7109375" style="35" customWidth="1"/>
    <col min="15394" max="15396" width="0" style="35" hidden="1" customWidth="1"/>
    <col min="15397" max="15397" width="2.28515625" style="35" customWidth="1"/>
    <col min="15398" max="15398" width="12.7109375" style="35" customWidth="1"/>
    <col min="15399" max="15405" width="0" style="35" hidden="1" customWidth="1"/>
    <col min="15406" max="15406" width="12.7109375" style="35" customWidth="1"/>
    <col min="15407" max="15409" width="0" style="35" hidden="1" customWidth="1"/>
    <col min="15410" max="15410" width="2.7109375" style="35" customWidth="1"/>
    <col min="15411" max="15411" width="12.7109375" style="35" customWidth="1"/>
    <col min="15412" max="15412" width="13.140625" style="35" bestFit="1" customWidth="1"/>
    <col min="15413" max="15413" width="5.7109375" style="35" customWidth="1"/>
    <col min="15414" max="15421" width="0" style="35" hidden="1" customWidth="1"/>
    <col min="15422" max="15422" width="34.5703125" style="35" customWidth="1"/>
    <col min="15423" max="15615" width="9.140625" style="35"/>
    <col min="15616" max="15616" width="7.85546875" style="35" customWidth="1"/>
    <col min="15617" max="15618" width="3" style="35" customWidth="1"/>
    <col min="15619" max="15619" width="22.5703125" style="35" customWidth="1"/>
    <col min="15620" max="15620" width="2.28515625" style="35" customWidth="1"/>
    <col min="15621" max="15626" width="0" style="35" hidden="1" customWidth="1"/>
    <col min="15627" max="15627" width="12.85546875" style="35" customWidth="1"/>
    <col min="15628" max="15630" width="0" style="35" hidden="1" customWidth="1"/>
    <col min="15631" max="15631" width="2.7109375" style="35" customWidth="1"/>
    <col min="15632" max="15637" width="0" style="35" hidden="1" customWidth="1"/>
    <col min="15638" max="15638" width="12.7109375" style="35" customWidth="1"/>
    <col min="15639" max="15641" width="0" style="35" hidden="1" customWidth="1"/>
    <col min="15642" max="15642" width="2.28515625" style="35" customWidth="1"/>
    <col min="15643" max="15648" width="0" style="35" hidden="1" customWidth="1"/>
    <col min="15649" max="15649" width="12.7109375" style="35" customWidth="1"/>
    <col min="15650" max="15652" width="0" style="35" hidden="1" customWidth="1"/>
    <col min="15653" max="15653" width="2.28515625" style="35" customWidth="1"/>
    <col min="15654" max="15654" width="12.7109375" style="35" customWidth="1"/>
    <col min="15655" max="15661" width="0" style="35" hidden="1" customWidth="1"/>
    <col min="15662" max="15662" width="12.7109375" style="35" customWidth="1"/>
    <col min="15663" max="15665" width="0" style="35" hidden="1" customWidth="1"/>
    <col min="15666" max="15666" width="2.7109375" style="35" customWidth="1"/>
    <col min="15667" max="15667" width="12.7109375" style="35" customWidth="1"/>
    <col min="15668" max="15668" width="13.140625" style="35" bestFit="1" customWidth="1"/>
    <col min="15669" max="15669" width="5.7109375" style="35" customWidth="1"/>
    <col min="15670" max="15677" width="0" style="35" hidden="1" customWidth="1"/>
    <col min="15678" max="15678" width="34.5703125" style="35" customWidth="1"/>
    <col min="15679" max="15871" width="9.140625" style="35"/>
    <col min="15872" max="15872" width="7.85546875" style="35" customWidth="1"/>
    <col min="15873" max="15874" width="3" style="35" customWidth="1"/>
    <col min="15875" max="15875" width="22.5703125" style="35" customWidth="1"/>
    <col min="15876" max="15876" width="2.28515625" style="35" customWidth="1"/>
    <col min="15877" max="15882" width="0" style="35" hidden="1" customWidth="1"/>
    <col min="15883" max="15883" width="12.85546875" style="35" customWidth="1"/>
    <col min="15884" max="15886" width="0" style="35" hidden="1" customWidth="1"/>
    <col min="15887" max="15887" width="2.7109375" style="35" customWidth="1"/>
    <col min="15888" max="15893" width="0" style="35" hidden="1" customWidth="1"/>
    <col min="15894" max="15894" width="12.7109375" style="35" customWidth="1"/>
    <col min="15895" max="15897" width="0" style="35" hidden="1" customWidth="1"/>
    <col min="15898" max="15898" width="2.28515625" style="35" customWidth="1"/>
    <col min="15899" max="15904" width="0" style="35" hidden="1" customWidth="1"/>
    <col min="15905" max="15905" width="12.7109375" style="35" customWidth="1"/>
    <col min="15906" max="15908" width="0" style="35" hidden="1" customWidth="1"/>
    <col min="15909" max="15909" width="2.28515625" style="35" customWidth="1"/>
    <col min="15910" max="15910" width="12.7109375" style="35" customWidth="1"/>
    <col min="15911" max="15917" width="0" style="35" hidden="1" customWidth="1"/>
    <col min="15918" max="15918" width="12.7109375" style="35" customWidth="1"/>
    <col min="15919" max="15921" width="0" style="35" hidden="1" customWidth="1"/>
    <col min="15922" max="15922" width="2.7109375" style="35" customWidth="1"/>
    <col min="15923" max="15923" width="12.7109375" style="35" customWidth="1"/>
    <col min="15924" max="15924" width="13.140625" style="35" bestFit="1" customWidth="1"/>
    <col min="15925" max="15925" width="5.7109375" style="35" customWidth="1"/>
    <col min="15926" max="15933" width="0" style="35" hidden="1" customWidth="1"/>
    <col min="15934" max="15934" width="34.5703125" style="35" customWidth="1"/>
    <col min="15935" max="16127" width="9.140625" style="35"/>
    <col min="16128" max="16128" width="7.85546875" style="35" customWidth="1"/>
    <col min="16129" max="16130" width="3" style="35" customWidth="1"/>
    <col min="16131" max="16131" width="22.5703125" style="35" customWidth="1"/>
    <col min="16132" max="16132" width="2.28515625" style="35" customWidth="1"/>
    <col min="16133" max="16138" width="0" style="35" hidden="1" customWidth="1"/>
    <col min="16139" max="16139" width="12.85546875" style="35" customWidth="1"/>
    <col min="16140" max="16142" width="0" style="35" hidden="1" customWidth="1"/>
    <col min="16143" max="16143" width="2.7109375" style="35" customWidth="1"/>
    <col min="16144" max="16149" width="0" style="35" hidden="1" customWidth="1"/>
    <col min="16150" max="16150" width="12.7109375" style="35" customWidth="1"/>
    <col min="16151" max="16153" width="0" style="35" hidden="1" customWidth="1"/>
    <col min="16154" max="16154" width="2.28515625" style="35" customWidth="1"/>
    <col min="16155" max="16160" width="0" style="35" hidden="1" customWidth="1"/>
    <col min="16161" max="16161" width="12.7109375" style="35" customWidth="1"/>
    <col min="16162" max="16164" width="0" style="35" hidden="1" customWidth="1"/>
    <col min="16165" max="16165" width="2.28515625" style="35" customWidth="1"/>
    <col min="16166" max="16166" width="12.7109375" style="35" customWidth="1"/>
    <col min="16167" max="16173" width="0" style="35" hidden="1" customWidth="1"/>
    <col min="16174" max="16174" width="12.7109375" style="35" customWidth="1"/>
    <col min="16175" max="16177" width="0" style="35" hidden="1" customWidth="1"/>
    <col min="16178" max="16178" width="2.7109375" style="35" customWidth="1"/>
    <col min="16179" max="16179" width="12.7109375" style="35" customWidth="1"/>
    <col min="16180" max="16180" width="13.140625" style="35" bestFit="1" customWidth="1"/>
    <col min="16181" max="16181" width="5.7109375" style="35" customWidth="1"/>
    <col min="16182" max="16189" width="0" style="35" hidden="1" customWidth="1"/>
    <col min="16190" max="16190" width="34.5703125" style="35" customWidth="1"/>
    <col min="16191" max="16384" width="9.140625" style="35"/>
  </cols>
  <sheetData>
    <row r="1" spans="1:62" x14ac:dyDescent="0.25">
      <c r="B1" s="31" t="s">
        <v>148</v>
      </c>
      <c r="C1" s="31"/>
      <c r="D1" s="31"/>
      <c r="E1" s="31"/>
      <c r="F1" s="32"/>
      <c r="G1" s="31"/>
      <c r="H1" s="31"/>
      <c r="I1" s="31"/>
      <c r="J1" s="31"/>
      <c r="K1" s="31"/>
      <c r="L1" s="31"/>
      <c r="M1" s="31"/>
      <c r="N1" s="31"/>
      <c r="O1" s="31"/>
      <c r="P1" s="33"/>
      <c r="Q1" s="33"/>
      <c r="R1" s="33"/>
      <c r="S1" s="33"/>
      <c r="T1" s="33"/>
      <c r="U1" s="33"/>
      <c r="V1" s="33"/>
      <c r="W1" s="33"/>
      <c r="X1" s="33"/>
      <c r="Y1" s="33"/>
      <c r="Z1" s="33"/>
      <c r="AA1" s="33"/>
      <c r="AB1" s="34"/>
      <c r="AC1" s="33"/>
      <c r="AD1" s="33"/>
      <c r="AE1" s="33"/>
      <c r="AF1" s="33"/>
      <c r="AG1" s="33"/>
      <c r="AH1" s="33"/>
      <c r="AI1" s="33"/>
      <c r="AJ1" s="33"/>
      <c r="AK1" s="33"/>
      <c r="AL1" s="33"/>
      <c r="AM1" s="34"/>
      <c r="AN1" s="33"/>
      <c r="AO1" s="33"/>
      <c r="AP1" s="33"/>
      <c r="AQ1" s="33"/>
      <c r="AR1" s="33"/>
      <c r="AS1" s="33"/>
      <c r="AT1" s="33"/>
      <c r="AU1" s="33"/>
      <c r="AV1" s="33"/>
      <c r="AW1" s="33"/>
      <c r="AX1" s="33"/>
      <c r="AY1" s="34"/>
      <c r="AZ1" s="33"/>
      <c r="BA1" s="33"/>
      <c r="BB1" s="33"/>
      <c r="BC1" s="33"/>
      <c r="BD1" s="33"/>
      <c r="BE1" s="33"/>
      <c r="BF1" s="33"/>
      <c r="BG1" s="33"/>
      <c r="BH1" s="33"/>
      <c r="BI1" s="33"/>
      <c r="BJ1" s="33"/>
    </row>
    <row r="2" spans="1:62" x14ac:dyDescent="0.25">
      <c r="B2" s="31" t="s">
        <v>489</v>
      </c>
      <c r="C2" s="31"/>
      <c r="D2" s="31"/>
      <c r="E2" s="31"/>
      <c r="F2" s="32"/>
      <c r="G2" s="31"/>
      <c r="H2" s="31"/>
      <c r="I2" s="31"/>
      <c r="J2" s="31"/>
      <c r="K2" s="31"/>
      <c r="L2" s="31"/>
      <c r="M2" s="31"/>
      <c r="N2" s="31"/>
      <c r="O2" s="31"/>
      <c r="P2" s="33"/>
      <c r="Q2" s="33"/>
      <c r="R2" s="33"/>
      <c r="S2" s="33"/>
      <c r="T2" s="33"/>
      <c r="U2" s="33"/>
      <c r="V2" s="33"/>
      <c r="W2" s="33"/>
      <c r="X2" s="33"/>
      <c r="Y2" s="33"/>
      <c r="Z2" s="33"/>
      <c r="AA2" s="33"/>
      <c r="AB2" s="34"/>
      <c r="AC2" s="33"/>
      <c r="AD2" s="33"/>
      <c r="AE2" s="33"/>
      <c r="AF2" s="33"/>
      <c r="AG2" s="33"/>
      <c r="AH2" s="33"/>
      <c r="AI2" s="33"/>
      <c r="AJ2" s="33"/>
      <c r="AK2" s="33"/>
      <c r="AL2" s="33"/>
      <c r="AM2" s="34"/>
      <c r="AN2" s="33"/>
      <c r="AO2" s="33"/>
      <c r="AP2" s="33"/>
      <c r="AQ2" s="33"/>
      <c r="AR2" s="33"/>
      <c r="AS2" s="33"/>
      <c r="AT2" s="33"/>
      <c r="AU2" s="33"/>
      <c r="AV2" s="33"/>
      <c r="AW2" s="33"/>
      <c r="AX2" s="33"/>
      <c r="AY2" s="34"/>
      <c r="AZ2" s="33"/>
      <c r="BA2" s="33"/>
      <c r="BB2" s="33"/>
      <c r="BC2" s="33"/>
      <c r="BD2" s="33"/>
      <c r="BE2" s="33"/>
      <c r="BF2" s="33"/>
      <c r="BG2" s="33"/>
      <c r="BH2" s="33"/>
      <c r="BI2" s="33"/>
      <c r="BJ2" s="33"/>
    </row>
    <row r="3" spans="1:62" x14ac:dyDescent="0.25">
      <c r="B3" s="31"/>
      <c r="C3" s="31"/>
      <c r="D3" s="36"/>
      <c r="E3" s="33"/>
      <c r="F3" s="34"/>
      <c r="G3" s="33"/>
      <c r="H3" s="33"/>
      <c r="I3" s="33"/>
      <c r="J3" s="33"/>
      <c r="K3" s="33"/>
      <c r="L3" s="33"/>
      <c r="M3" s="33"/>
      <c r="N3" s="33"/>
      <c r="O3" s="33"/>
      <c r="P3" s="33"/>
      <c r="Q3" s="33"/>
      <c r="R3" s="33"/>
      <c r="S3" s="33"/>
      <c r="T3" s="33"/>
      <c r="U3" s="33"/>
      <c r="V3" s="33"/>
      <c r="W3" s="33"/>
      <c r="X3" s="33"/>
      <c r="Y3" s="33"/>
      <c r="Z3" s="33"/>
      <c r="AA3" s="33"/>
      <c r="AB3" s="34"/>
      <c r="AC3" s="33"/>
      <c r="AD3" s="33"/>
      <c r="AE3" s="33"/>
      <c r="AF3" s="33"/>
      <c r="AG3" s="33"/>
      <c r="AH3" s="33"/>
      <c r="AI3" s="33"/>
      <c r="AJ3" s="33"/>
      <c r="AK3" s="33"/>
      <c r="AL3" s="37"/>
      <c r="AM3" s="34"/>
      <c r="AN3" s="33"/>
      <c r="AO3" s="33"/>
      <c r="AP3" s="33"/>
      <c r="AQ3" s="33"/>
      <c r="AR3" s="33"/>
      <c r="AS3" s="33"/>
      <c r="AT3" s="33"/>
      <c r="AU3" s="33"/>
      <c r="AV3" s="33"/>
      <c r="AW3" s="33"/>
      <c r="AX3" s="33"/>
      <c r="AY3" s="34"/>
      <c r="AZ3" s="33"/>
      <c r="BA3" s="33"/>
      <c r="BB3" s="33"/>
      <c r="BC3" s="33"/>
      <c r="BD3" s="33"/>
      <c r="BE3" s="33"/>
      <c r="BF3" s="33"/>
      <c r="BG3" s="33"/>
      <c r="BH3" s="33"/>
      <c r="BI3" s="33"/>
      <c r="BJ3" s="33"/>
    </row>
    <row r="4" spans="1:62" x14ac:dyDescent="0.25">
      <c r="B4" s="38"/>
      <c r="C4" s="38"/>
      <c r="D4" s="39"/>
      <c r="AA4" s="41"/>
      <c r="AL4" s="41"/>
    </row>
    <row r="5" spans="1:62" x14ac:dyDescent="0.25">
      <c r="B5" s="38"/>
      <c r="C5" s="38"/>
      <c r="D5" s="38"/>
      <c r="E5" s="42"/>
      <c r="F5" s="231" t="s">
        <v>80</v>
      </c>
      <c r="G5" s="231"/>
      <c r="H5" s="231"/>
      <c r="I5" s="231"/>
      <c r="J5" s="231"/>
      <c r="K5" s="231"/>
      <c r="L5" s="231"/>
      <c r="M5" s="43"/>
      <c r="N5" s="42"/>
      <c r="O5" s="42"/>
      <c r="Q5" s="231" t="s">
        <v>81</v>
      </c>
      <c r="R5" s="231"/>
      <c r="S5" s="231"/>
      <c r="T5" s="231"/>
      <c r="U5" s="231"/>
      <c r="V5" s="231"/>
      <c r="W5" s="231"/>
      <c r="X5" s="43"/>
      <c r="Y5" s="42"/>
      <c r="Z5" s="42"/>
      <c r="AA5" s="44"/>
      <c r="AB5" s="232" t="s">
        <v>82</v>
      </c>
      <c r="AC5" s="232"/>
      <c r="AD5" s="232"/>
      <c r="AE5" s="232"/>
      <c r="AF5" s="232"/>
      <c r="AG5" s="232"/>
      <c r="AH5" s="232"/>
      <c r="AI5" s="232"/>
      <c r="AJ5" s="232"/>
      <c r="AK5" s="232"/>
      <c r="AL5" s="45"/>
      <c r="AM5" s="232" t="s">
        <v>83</v>
      </c>
      <c r="AN5" s="232"/>
      <c r="AO5" s="232"/>
      <c r="AP5" s="232"/>
      <c r="AQ5" s="232"/>
      <c r="AR5" s="232"/>
      <c r="AS5" s="232"/>
      <c r="AT5" s="232"/>
      <c r="AU5" s="232"/>
      <c r="AV5" s="232"/>
      <c r="AW5" s="232"/>
      <c r="AY5" s="46" t="s">
        <v>84</v>
      </c>
      <c r="AZ5" s="47"/>
      <c r="BA5" s="47"/>
      <c r="BB5" s="43"/>
      <c r="BC5" s="43"/>
      <c r="BD5" s="43"/>
      <c r="BE5" s="43"/>
      <c r="BF5" s="43"/>
      <c r="BG5" s="43"/>
      <c r="BH5" s="47"/>
      <c r="BI5" s="47"/>
      <c r="BJ5" s="47"/>
    </row>
    <row r="6" spans="1:62" ht="45" customHeight="1" x14ac:dyDescent="0.25">
      <c r="B6" s="48"/>
      <c r="C6" s="48"/>
      <c r="D6" s="48"/>
      <c r="E6" s="49"/>
      <c r="F6" s="50" t="s">
        <v>85</v>
      </c>
      <c r="G6" s="51" t="s">
        <v>86</v>
      </c>
      <c r="H6" s="51" t="s">
        <v>87</v>
      </c>
      <c r="I6" s="51" t="s">
        <v>88</v>
      </c>
      <c r="J6" s="51" t="s">
        <v>89</v>
      </c>
      <c r="K6" s="51" t="s">
        <v>90</v>
      </c>
      <c r="L6" s="51" t="s">
        <v>91</v>
      </c>
      <c r="M6" s="230" t="s">
        <v>92</v>
      </c>
      <c r="N6" s="230"/>
      <c r="O6" s="51" t="s">
        <v>93</v>
      </c>
      <c r="Q6" s="51" t="s">
        <v>94</v>
      </c>
      <c r="R6" s="51" t="s">
        <v>86</v>
      </c>
      <c r="S6" s="51" t="s">
        <v>87</v>
      </c>
      <c r="T6" s="51" t="s">
        <v>88</v>
      </c>
      <c r="U6" s="51" t="s">
        <v>89</v>
      </c>
      <c r="V6" s="51" t="s">
        <v>90</v>
      </c>
      <c r="W6" s="51" t="s">
        <v>91</v>
      </c>
      <c r="X6" s="230" t="s">
        <v>92</v>
      </c>
      <c r="Y6" s="230"/>
      <c r="Z6" s="51" t="s">
        <v>93</v>
      </c>
      <c r="AA6" s="52"/>
      <c r="AB6" s="50" t="s">
        <v>94</v>
      </c>
      <c r="AC6" s="51" t="s">
        <v>86</v>
      </c>
      <c r="AD6" s="51" t="s">
        <v>87</v>
      </c>
      <c r="AE6" s="51" t="s">
        <v>88</v>
      </c>
      <c r="AF6" s="51" t="s">
        <v>89</v>
      </c>
      <c r="AG6" s="51" t="s">
        <v>90</v>
      </c>
      <c r="AH6" s="51" t="s">
        <v>91</v>
      </c>
      <c r="AI6" s="230" t="s">
        <v>96</v>
      </c>
      <c r="AJ6" s="230"/>
      <c r="AK6" s="51" t="s">
        <v>93</v>
      </c>
      <c r="AL6" s="52"/>
      <c r="AM6" s="50" t="s">
        <v>500</v>
      </c>
      <c r="AN6" s="51" t="s">
        <v>86</v>
      </c>
      <c r="AO6" s="225" t="s">
        <v>499</v>
      </c>
      <c r="AP6" s="51" t="s">
        <v>87</v>
      </c>
      <c r="AQ6" s="51" t="s">
        <v>88</v>
      </c>
      <c r="AR6" s="51" t="s">
        <v>89</v>
      </c>
      <c r="AS6" s="51" t="s">
        <v>90</v>
      </c>
      <c r="AT6" s="51" t="s">
        <v>95</v>
      </c>
      <c r="AU6" s="230" t="s">
        <v>96</v>
      </c>
      <c r="AV6" s="230"/>
      <c r="AW6" s="51" t="s">
        <v>93</v>
      </c>
      <c r="AY6" s="50" t="s">
        <v>97</v>
      </c>
      <c r="AZ6" s="230" t="s">
        <v>98</v>
      </c>
      <c r="BA6" s="230"/>
      <c r="BB6" s="51" t="s">
        <v>86</v>
      </c>
      <c r="BC6" s="51" t="s">
        <v>87</v>
      </c>
      <c r="BD6" s="51" t="s">
        <v>88</v>
      </c>
      <c r="BE6" s="51" t="s">
        <v>89</v>
      </c>
      <c r="BF6" s="51" t="s">
        <v>90</v>
      </c>
      <c r="BG6" s="51" t="s">
        <v>95</v>
      </c>
      <c r="BH6" s="230" t="s">
        <v>96</v>
      </c>
      <c r="BI6" s="230"/>
      <c r="BJ6" s="51" t="s">
        <v>93</v>
      </c>
    </row>
    <row r="7" spans="1:62" x14ac:dyDescent="0.25">
      <c r="B7" s="53"/>
      <c r="C7" s="53"/>
      <c r="D7" s="54"/>
      <c r="E7" s="55"/>
      <c r="F7" s="56"/>
      <c r="G7" s="55"/>
      <c r="H7" s="55"/>
      <c r="I7" s="55"/>
      <c r="J7" s="55"/>
      <c r="K7" s="55"/>
      <c r="L7" s="55"/>
      <c r="M7" s="55"/>
      <c r="N7" s="55"/>
      <c r="O7" s="55"/>
      <c r="Q7" s="55"/>
      <c r="R7" s="55"/>
      <c r="S7" s="55"/>
      <c r="T7" s="55"/>
      <c r="U7" s="55"/>
      <c r="V7" s="55"/>
      <c r="W7" s="55"/>
      <c r="X7" s="55"/>
      <c r="Y7" s="55"/>
      <c r="Z7" s="55"/>
      <c r="AA7" s="57"/>
      <c r="AC7" s="55"/>
      <c r="AD7" s="55"/>
      <c r="AE7" s="55"/>
      <c r="AF7" s="55"/>
      <c r="AG7" s="55"/>
      <c r="AH7" s="55"/>
      <c r="AL7" s="41"/>
      <c r="AN7" s="55"/>
      <c r="AO7" s="55"/>
      <c r="AP7" s="55"/>
      <c r="AQ7" s="55"/>
      <c r="AR7" s="55"/>
      <c r="AS7" s="55"/>
      <c r="AT7" s="55"/>
      <c r="BB7" s="55"/>
      <c r="BC7" s="55"/>
      <c r="BD7" s="55"/>
      <c r="BE7" s="55"/>
      <c r="BF7" s="55"/>
      <c r="BG7" s="55"/>
    </row>
    <row r="8" spans="1:62" x14ac:dyDescent="0.25">
      <c r="B8" s="53" t="s">
        <v>99</v>
      </c>
      <c r="C8" s="58"/>
      <c r="D8" s="59"/>
      <c r="E8" s="59"/>
      <c r="F8" s="60">
        <v>3074640.69</v>
      </c>
      <c r="G8" s="60">
        <v>3074640.69</v>
      </c>
      <c r="H8" s="59"/>
      <c r="I8" s="59"/>
      <c r="J8" s="59"/>
      <c r="K8" s="59"/>
      <c r="L8" s="59">
        <f>F8</f>
        <v>3074640.69</v>
      </c>
      <c r="M8" s="59"/>
      <c r="N8" s="59"/>
      <c r="O8" s="59"/>
      <c r="Q8" s="59">
        <f>L32</f>
        <v>3321918.1500000004</v>
      </c>
      <c r="R8" s="59">
        <f>L32</f>
        <v>3321918.1500000004</v>
      </c>
      <c r="S8" s="59"/>
      <c r="T8" s="59"/>
      <c r="U8" s="59"/>
      <c r="V8" s="59"/>
      <c r="W8" s="59">
        <f>L32</f>
        <v>3321918.1500000004</v>
      </c>
      <c r="X8" s="59"/>
      <c r="Y8" s="59"/>
      <c r="Z8" s="59"/>
      <c r="AA8" s="61"/>
      <c r="AB8" s="62">
        <f ca="1">+W32</f>
        <v>4561382.72</v>
      </c>
      <c r="AC8" s="59">
        <f ca="1">AB8</f>
        <v>4561382.72</v>
      </c>
      <c r="AD8" s="59"/>
      <c r="AE8" s="59"/>
      <c r="AF8" s="59"/>
      <c r="AG8" s="59"/>
      <c r="AH8" s="59">
        <f ca="1">AB8</f>
        <v>4561382.72</v>
      </c>
      <c r="AL8" s="41"/>
      <c r="AM8" s="62">
        <f ca="1">AH32</f>
        <v>5041357.209999999</v>
      </c>
      <c r="AN8" s="59">
        <f ca="1">AH32</f>
        <v>5041357.209999999</v>
      </c>
      <c r="AO8" s="59"/>
      <c r="AP8" s="59"/>
      <c r="AQ8" s="59"/>
      <c r="AR8" s="59"/>
      <c r="AS8" s="59"/>
      <c r="AT8" s="59">
        <f ca="1">AH32</f>
        <v>5041357.209999999</v>
      </c>
      <c r="AY8" s="62">
        <f ca="1">AT32</f>
        <v>5041357.209999999</v>
      </c>
      <c r="BB8" s="59"/>
      <c r="BC8" s="59"/>
      <c r="BD8" s="59"/>
      <c r="BE8" s="59"/>
      <c r="BF8" s="59"/>
      <c r="BG8" s="59">
        <f ca="1">AT32</f>
        <v>5041357.209999999</v>
      </c>
    </row>
    <row r="9" spans="1:62" x14ac:dyDescent="0.25">
      <c r="B9" s="53"/>
      <c r="C9" s="53"/>
      <c r="D9" s="63"/>
      <c r="E9" s="55"/>
      <c r="F9" s="56"/>
      <c r="G9" s="55"/>
      <c r="H9" s="55"/>
      <c r="I9" s="55"/>
      <c r="J9" s="55"/>
      <c r="K9" s="55"/>
      <c r="L9" s="55"/>
      <c r="M9" s="55"/>
      <c r="N9" s="55"/>
      <c r="O9" s="55"/>
      <c r="Q9" s="55"/>
      <c r="R9" s="55"/>
      <c r="S9" s="55"/>
      <c r="T9" s="55"/>
      <c r="U9" s="55"/>
      <c r="V9" s="55"/>
      <c r="W9" s="55"/>
      <c r="X9" s="55"/>
      <c r="Y9" s="55"/>
      <c r="Z9" s="55"/>
      <c r="AA9" s="55"/>
      <c r="AC9" s="55"/>
      <c r="AD9" s="55"/>
      <c r="AE9" s="55"/>
      <c r="AF9" s="55"/>
      <c r="AG9" s="55"/>
      <c r="AH9" s="55"/>
      <c r="AL9" s="41"/>
      <c r="AN9" s="55"/>
      <c r="AO9" s="55"/>
      <c r="AP9" s="55"/>
      <c r="AQ9" s="55"/>
      <c r="AR9" s="55"/>
      <c r="AS9" s="55"/>
      <c r="AT9" s="55"/>
      <c r="BB9" s="55"/>
      <c r="BC9" s="55"/>
      <c r="BD9" s="55"/>
      <c r="BE9" s="55"/>
      <c r="BF9" s="55"/>
      <c r="BG9" s="55"/>
    </row>
    <row r="10" spans="1:62" x14ac:dyDescent="0.25">
      <c r="B10" s="53" t="s">
        <v>100</v>
      </c>
      <c r="C10" s="53"/>
      <c r="D10" s="55"/>
      <c r="E10" s="7"/>
      <c r="F10" s="64"/>
      <c r="G10" s="7"/>
      <c r="H10" s="7"/>
      <c r="I10" s="55"/>
      <c r="J10" s="55"/>
      <c r="K10" s="55"/>
      <c r="L10" s="55"/>
      <c r="M10" s="55"/>
      <c r="N10" s="55"/>
      <c r="O10" s="55"/>
      <c r="Q10" s="7"/>
      <c r="R10" s="7"/>
      <c r="S10" s="7"/>
      <c r="T10" s="55"/>
      <c r="U10" s="55"/>
      <c r="V10" s="55"/>
      <c r="W10" s="55"/>
      <c r="X10" s="55"/>
      <c r="Y10" s="65"/>
      <c r="Z10" s="55"/>
      <c r="AA10" s="55"/>
      <c r="AC10" s="7"/>
      <c r="AD10" s="7"/>
      <c r="AE10" s="55"/>
      <c r="AF10" s="55"/>
      <c r="AG10" s="55"/>
      <c r="AH10" s="55"/>
      <c r="AL10" s="41"/>
      <c r="AN10" s="7"/>
      <c r="AO10" s="7"/>
      <c r="AP10" s="7"/>
      <c r="AQ10" s="55"/>
      <c r="AR10" s="55"/>
      <c r="AS10" s="55"/>
      <c r="AT10" s="55"/>
      <c r="BB10" s="7"/>
      <c r="BC10" s="7"/>
      <c r="BD10" s="55"/>
      <c r="BE10" s="55"/>
      <c r="BF10" s="55"/>
      <c r="BG10" s="55"/>
    </row>
    <row r="11" spans="1:62" ht="13.9" customHeight="1" x14ac:dyDescent="0.25">
      <c r="A11" s="30">
        <v>1</v>
      </c>
      <c r="B11" s="66"/>
      <c r="C11" s="66"/>
      <c r="D11" s="67" t="s">
        <v>681</v>
      </c>
      <c r="E11" s="68"/>
      <c r="F11" s="69">
        <f>SUMIF(Revenues!$A$3:$A$13,'Current Working'!$A$11:$A$13,Revenues!H$3:H$13)</f>
        <v>2111985</v>
      </c>
      <c r="G11" s="69">
        <f>SUMIF(Revenues!$A$3:$A$13,'Current Working'!$A$11:$A$13,Revenues!I$3:I$13)</f>
        <v>2111985</v>
      </c>
      <c r="H11" s="69">
        <f>SUMIF(Revenues!$A$3:$A$13,'Current Working'!$A$11:$A$13,Revenues!J$3:J$13)</f>
        <v>0</v>
      </c>
      <c r="I11" s="69">
        <f>SUMIF(Revenues!$A$3:$A$13,'Current Working'!$A$11:$A$13,Revenues!K$3:K$13)</f>
        <v>0</v>
      </c>
      <c r="J11" s="69">
        <f>SUMIF(Revenues!$A$3:$A$13,'Current Working'!$A$11:$A$13,Revenues!L$3:L$13)</f>
        <v>0</v>
      </c>
      <c r="K11" s="69">
        <f>SUMIF(Revenues!$A$3:$A$13,'Current Working'!$A$11:$A$13,Revenues!M$3:M$13)</f>
        <v>0</v>
      </c>
      <c r="L11" s="69">
        <f>SUMIF(Revenues!$A$3:$A$13,'Current Working'!$A$11:$A$13,Revenues!N$3:N$13)</f>
        <v>1945076.42</v>
      </c>
      <c r="M11" s="70">
        <f>L11-G11</f>
        <v>-166908.58000000007</v>
      </c>
      <c r="N11" s="71">
        <f>IFERROR(M11/G11,"-")</f>
        <v>-7.9029244999372666E-2</v>
      </c>
      <c r="O11" s="72"/>
      <c r="Q11" s="69">
        <f ca="1">SUMIF(Revenues!$A$3:$A$12,'Current Working'!$A$11:$A$13,Revenues!Q$3:Q$11)</f>
        <v>3179655</v>
      </c>
      <c r="R11" s="69">
        <f ca="1">SUMIF(Revenues!$A$3:$A$12,'Current Working'!$A$11:$A$13,Revenues!R$3:R$11)</f>
        <v>3179655</v>
      </c>
      <c r="S11" s="69">
        <f ca="1">SUMIF(Revenues!$A$3:$A$12,'Current Working'!$A$11:$A$13,Revenues!S$3:S$11)</f>
        <v>0</v>
      </c>
      <c r="T11" s="69">
        <f ca="1">SUMIF(Revenues!$A$3:$A$12,'Current Working'!$A$11:$A$13,Revenues!T$3:T$11)</f>
        <v>0</v>
      </c>
      <c r="U11" s="69">
        <f ca="1">SUMIF(Revenues!$A$3:$A$12,'Current Working'!$A$11:$A$13,Revenues!U$3:U$11)</f>
        <v>0</v>
      </c>
      <c r="V11" s="69">
        <f ca="1">SUMIF(Revenues!$A$3:$A$12,'Current Working'!$A$11:$A$13,Revenues!V$3:V$11)</f>
        <v>3112294.3899999997</v>
      </c>
      <c r="W11" s="69">
        <f ca="1">SUMIF(Revenues!$A$3:$A$12,'Current Working'!$A$11:$A$13,Revenues!W$3:W$11)</f>
        <v>3112294.3899999997</v>
      </c>
      <c r="X11" s="70">
        <f ca="1">+W11-Q11</f>
        <v>-67360.610000000335</v>
      </c>
      <c r="Y11" s="71">
        <f ca="1">IFERROR(X11/Q11,"-")</f>
        <v>-2.1184880120642124E-2</v>
      </c>
      <c r="Z11" s="72"/>
      <c r="AA11" s="72"/>
      <c r="AB11" s="69">
        <f ca="1">SUMIF(Revenues!$A$3:$A$13,'Current Working'!$A$11:$A$13,Revenues!Z$3:Z$11)</f>
        <v>3061600</v>
      </c>
      <c r="AC11" s="69">
        <f ca="1">SUMIF(Revenues!$A$3:$A$13,'Current Working'!$A$11:$A$13,Revenues!AA$3:AA$11)</f>
        <v>3061600</v>
      </c>
      <c r="AD11" s="69">
        <f ca="1">SUMIF(Revenues!$A$3:$A$13,'Current Working'!$A$11:$A$13,Revenues!AB$3:AB$11)</f>
        <v>0</v>
      </c>
      <c r="AE11" s="69">
        <f ca="1">SUMIF(Revenues!$A$3:$A$13,'Current Working'!$A$11:$A$13,Revenues!AC$3:AC$11)</f>
        <v>0</v>
      </c>
      <c r="AF11" s="69">
        <f ca="1">SUMIF(Revenues!$A$3:$A$13,'Current Working'!$A$11:$A$13,Revenues!AD$3:AD$11)</f>
        <v>0</v>
      </c>
      <c r="AG11" s="69">
        <f ca="1">SUMIF(Revenues!$A$3:$A$13,'Current Working'!$A$11:$A$13,Revenues!AE$3:AE$11)</f>
        <v>3252625.07</v>
      </c>
      <c r="AH11" s="69">
        <f ca="1">SUMIF(Revenues!$A$3:$A$13,'Current Working'!$A$11:$A$13,Revenues!AF$3:AF$11)</f>
        <v>3252625.07</v>
      </c>
      <c r="AI11" s="73">
        <f ca="1">+AH11-AC11</f>
        <v>191025.06999999983</v>
      </c>
      <c r="AJ11" s="74">
        <f ca="1">IFERROR(AI11/AC11,"-")</f>
        <v>6.2393869218709118E-2</v>
      </c>
      <c r="AK11" s="75"/>
      <c r="AL11" s="76"/>
      <c r="AM11" s="69">
        <f ca="1">SUMIF(Revenues!$A$3:$A$13,'Current Working'!$A$11:$A$13,Revenues!AI$3:AI$11)</f>
        <v>3061600</v>
      </c>
      <c r="AN11" s="69">
        <f ca="1">SUMIF(Revenues!$A$3:$A$13,'Current Working'!$A$11:$A$13,Revenues!AJ$3:AJ$11)</f>
        <v>3061600</v>
      </c>
      <c r="AO11" s="69">
        <f ca="1">SUMIF(Revenues!$A$3:$A$13,'Current Working'!$A$11:$A$13,Revenues!AK$3:AK$11)</f>
        <v>3061600</v>
      </c>
      <c r="AP11" s="69">
        <f ca="1">SUMIF(Revenues!$A$3:$A$13,'Current Working'!$A$11:$A$13,Revenues!AL$3:AL$11)</f>
        <v>0</v>
      </c>
      <c r="AQ11" s="69">
        <f ca="1">SUMIF(Revenues!$A$3:$A$13,'Current Working'!$A$11:$A$13,Revenues!AM$3:AM$11)</f>
        <v>0</v>
      </c>
      <c r="AR11" s="69">
        <f ca="1">SUMIF(Revenues!$A$3:$A$13,'Current Working'!$A$11:$A$13,Revenues!AN$3:AN$11)</f>
        <v>0</v>
      </c>
      <c r="AS11" s="69">
        <f ca="1">SUMIF(Revenues!$A$3:$A$13,'Current Working'!$A$11:$A$13,Revenues!AO$3:AO$11)</f>
        <v>0</v>
      </c>
      <c r="AT11" s="69">
        <f ca="1">SUMIF(Revenues!$A$3:$A$13,'Current Working'!$A$11:$A$13,Revenues!AP$3:AP$11)</f>
        <v>0</v>
      </c>
      <c r="AU11" s="73">
        <f ca="1">+AT11-AN11</f>
        <v>-3061600</v>
      </c>
      <c r="AV11" s="74">
        <f ca="1">IFERROR(AU11/AN11,"-")</f>
        <v>-1</v>
      </c>
      <c r="AW11" s="75"/>
      <c r="AY11" s="69">
        <f ca="1">SUMIF(Revenues!$A$3:$A$13,'Current Working'!$A$11:$A$13,Revenues!AS$3:AS$11)</f>
        <v>0</v>
      </c>
      <c r="AZ11" s="73">
        <f ca="1">+AY11-AT11</f>
        <v>0</v>
      </c>
      <c r="BA11" s="74" t="str">
        <f ca="1">IFERROR(AZ11/AT11,"-")</f>
        <v>-</v>
      </c>
      <c r="BB11" s="69">
        <f ca="1">SUMIF(Revenues!$A$3:$A$13,'Current Working'!$A$11:$A$13,Revenues!AT$3:AT$11)</f>
        <v>0</v>
      </c>
      <c r="BC11" s="69">
        <f ca="1">SUMIF(Revenues!$A$3:$A$13,'Current Working'!$A$11:$A$13,Revenues!AU$3:AU$11)</f>
        <v>691892.40999999992</v>
      </c>
      <c r="BD11" s="69">
        <f ca="1">SUMIF(Revenues!$A$3:$A$13,'Current Working'!$A$11:$A$13,Revenues!AV$3:AV$11)</f>
        <v>0</v>
      </c>
      <c r="BE11" s="69">
        <f ca="1">SUMIF(Revenues!$A$3:$A$13,'Current Working'!$A$11:$A$13,Revenues!AW$3:AW$11)</f>
        <v>0</v>
      </c>
      <c r="BF11" s="69">
        <f ca="1">SUMIF(Revenues!$A$3:$A$13,'Current Working'!$A$11:$A$13,Revenues!AX$3:AX$11)</f>
        <v>0</v>
      </c>
      <c r="BG11" s="69">
        <f ca="1">SUMIF(Revenues!$A$3:$A$13,'Current Working'!$A$11:$A$13,Revenues!AY$3:AY$11)</f>
        <v>0</v>
      </c>
      <c r="BH11" s="73">
        <f ca="1">+BG11-BB11</f>
        <v>0</v>
      </c>
      <c r="BI11" s="74" t="str">
        <f ca="1">IFERROR(BH11/BB11,"-")</f>
        <v>-</v>
      </c>
      <c r="BJ11" s="75"/>
    </row>
    <row r="12" spans="1:62" x14ac:dyDescent="0.25">
      <c r="A12" s="30">
        <v>2</v>
      </c>
      <c r="B12" s="66"/>
      <c r="C12" s="66"/>
      <c r="D12" s="67" t="s">
        <v>101</v>
      </c>
      <c r="E12" s="68"/>
      <c r="F12" s="69">
        <f>SUMIF(Revenues!$A$3:$A$13,'Current Working'!$A$11:$A$13,Revenues!H$3:H$13)</f>
        <v>8000</v>
      </c>
      <c r="G12" s="69">
        <f>SUMIF(Revenues!$A$3:$A$13,'Current Working'!$A$11:$A$13,Revenues!I$3:I$13)</f>
        <v>8000</v>
      </c>
      <c r="H12" s="69">
        <f>SUMIF(Revenues!$A$3:$A$13,'Current Working'!$A$11:$A$13,Revenues!J$3:J$13)</f>
        <v>0</v>
      </c>
      <c r="I12" s="69">
        <f>SUMIF(Revenues!$A$3:$A$13,'Current Working'!$A$11:$A$13,Revenues!K$3:K$13)</f>
        <v>0</v>
      </c>
      <c r="J12" s="69">
        <f>SUMIF(Revenues!$A$3:$A$13,'Current Working'!$A$11:$A$13,Revenues!L$3:L$13)</f>
        <v>0</v>
      </c>
      <c r="K12" s="69">
        <f>SUMIF(Revenues!$A$3:$A$13,'Current Working'!$A$11:$A$13,Revenues!M$3:M$13)</f>
        <v>0</v>
      </c>
      <c r="L12" s="69">
        <f>SUMIF(Revenues!$A$3:$A$13,'Current Working'!$A$11:$A$13,Revenues!N$3:N$13)</f>
        <v>19381.12</v>
      </c>
      <c r="M12" s="70">
        <f>L12-G12</f>
        <v>11381.119999999999</v>
      </c>
      <c r="N12" s="71">
        <f>IFERROR(M12/G12,"-")</f>
        <v>1.4226399999999999</v>
      </c>
      <c r="O12" s="72"/>
      <c r="Q12" s="69">
        <f ca="1">SUMIF(Revenues!$A$3:$A$12,'Current Working'!$A$11:$A$13,Revenues!Q$3:Q$11)</f>
        <v>9500</v>
      </c>
      <c r="R12" s="69">
        <f ca="1">SUMIF(Revenues!$A$3:$A$12,'Current Working'!$A$11:$A$13,Revenues!R$3:R$11)</f>
        <v>9500</v>
      </c>
      <c r="S12" s="69">
        <f ca="1">SUMIF(Revenues!$A$3:$A$12,'Current Working'!$A$11:$A$13,Revenues!S$3:S$11)</f>
        <v>0</v>
      </c>
      <c r="T12" s="69">
        <f ca="1">SUMIF(Revenues!$A$3:$A$12,'Current Working'!$A$11:$A$13,Revenues!T$3:T$11)</f>
        <v>0</v>
      </c>
      <c r="U12" s="69">
        <f ca="1">SUMIF(Revenues!$A$3:$A$12,'Current Working'!$A$11:$A$13,Revenues!U$3:U$11)</f>
        <v>0</v>
      </c>
      <c r="V12" s="69">
        <f ca="1">SUMIF(Revenues!$A$3:$A$12,'Current Working'!$A$11:$A$13,Revenues!V$3:V$11)</f>
        <v>30941.439999999999</v>
      </c>
      <c r="W12" s="69">
        <f ca="1">SUMIF(Revenues!$A$3:$A$12,'Current Working'!$A$11:$A$13,Revenues!W$3:W$11)</f>
        <v>30941.439999999999</v>
      </c>
      <c r="X12" s="70">
        <f ca="1">+W12-Q12</f>
        <v>21441.439999999999</v>
      </c>
      <c r="Y12" s="71">
        <f ca="1">IFERROR(X12/L12,"-")</f>
        <v>1.1063055179473631</v>
      </c>
      <c r="Z12" s="72"/>
      <c r="AA12" s="72"/>
      <c r="AB12" s="69">
        <f ca="1">SUMIF(Revenues!$A$3:$A$13,'Current Working'!$A$11:$A$13,Revenues!Z$3:Z$11)</f>
        <v>9500</v>
      </c>
      <c r="AC12" s="69">
        <f ca="1">SUMIF(Revenues!$A$3:$A$13,'Current Working'!$A$11:$A$13,Revenues!AA$3:AA$11)</f>
        <v>9500</v>
      </c>
      <c r="AD12" s="69">
        <f ca="1">SUMIF(Revenues!$A$3:$A$13,'Current Working'!$A$11:$A$13,Revenues!AB$3:AB$11)</f>
        <v>0</v>
      </c>
      <c r="AE12" s="69">
        <f ca="1">SUMIF(Revenues!$A$3:$A$13,'Current Working'!$A$11:$A$13,Revenues!AC$3:AC$11)</f>
        <v>0</v>
      </c>
      <c r="AF12" s="69">
        <f ca="1">SUMIF(Revenues!$A$3:$A$13,'Current Working'!$A$11:$A$13,Revenues!AD$3:AD$11)</f>
        <v>0</v>
      </c>
      <c r="AG12" s="69">
        <f ca="1">SUMIF(Revenues!$A$3:$A$13,'Current Working'!$A$11:$A$13,Revenues!AE$3:AE$11)</f>
        <v>7724.3000000000011</v>
      </c>
      <c r="AH12" s="69">
        <f ca="1">SUMIF(Revenues!$A$3:$A$13,'Current Working'!$A$11:$A$13,Revenues!AF$3:AF$11)</f>
        <v>7724.3000000000011</v>
      </c>
      <c r="AI12" s="70">
        <f ca="1">+AH12-AC12</f>
        <v>-1775.6999999999989</v>
      </c>
      <c r="AJ12" s="74">
        <f ca="1">IFERROR(AI12/AC12,"-")</f>
        <v>-0.18691578947368409</v>
      </c>
      <c r="AL12" s="41"/>
      <c r="AM12" s="69">
        <f ca="1">SUMIF(Revenues!$A$3:$A$13,'Current Working'!$A$11:$A$13,Revenues!AI$3:AI$11)</f>
        <v>9500</v>
      </c>
      <c r="AN12" s="69">
        <f ca="1">SUMIF(Revenues!$A$3:$A$13,'Current Working'!$A$11:$A$13,Revenues!AJ$3:AJ$11)</f>
        <v>9500</v>
      </c>
      <c r="AO12" s="69">
        <f ca="1">SUMIF(Revenues!$A$3:$A$13,'Current Working'!$A$11:$A$13,Revenues!AK$3:AK$11)</f>
        <v>9500</v>
      </c>
      <c r="AP12" s="69">
        <f ca="1">SUMIF(Revenues!$A$3:$A$13,'Current Working'!$A$11:$A$13,Revenues!AL$3:AL$11)</f>
        <v>0</v>
      </c>
      <c r="AQ12" s="69">
        <f ca="1">SUMIF(Revenues!$A$3:$A$13,'Current Working'!$A$11:$A$13,Revenues!AM$3:AM$11)</f>
        <v>0</v>
      </c>
      <c r="AR12" s="69">
        <f ca="1">SUMIF(Revenues!$A$3:$A$13,'Current Working'!$A$11:$A$13,Revenues!AN$3:AN$11)</f>
        <v>0</v>
      </c>
      <c r="AS12" s="69">
        <f ca="1">SUMIF(Revenues!$A$3:$A$13,'Current Working'!$A$11:$A$13,Revenues!AO$3:AO$11)</f>
        <v>0</v>
      </c>
      <c r="AT12" s="69">
        <f ca="1">SUMIF(Revenues!$A$3:$A$13,'Current Working'!$A$11:$A$13,Revenues!AP$3:AP$11)</f>
        <v>0</v>
      </c>
      <c r="AU12" s="73">
        <f ca="1">+AT12-AN12</f>
        <v>-9500</v>
      </c>
      <c r="AV12" s="74">
        <f ca="1">IFERROR(AU12/AN12,"-")</f>
        <v>-1</v>
      </c>
      <c r="AY12" s="69">
        <f ca="1">SUMIF(Revenues!$A$3:$A$13,'Current Working'!$A$11:$A$13,Revenues!AS$3:AS$11)</f>
        <v>0</v>
      </c>
      <c r="AZ12" s="73">
        <f ca="1">+AY12-AT12</f>
        <v>0</v>
      </c>
      <c r="BA12" s="74" t="str">
        <f ca="1">IFERROR(AZ12/AT12,"-")</f>
        <v>-</v>
      </c>
      <c r="BB12" s="69">
        <f ca="1">SUMIF(Revenues!$A$3:$A$13,'Current Working'!$A$11:$A$13,Revenues!AT$3:AT$11)</f>
        <v>0</v>
      </c>
      <c r="BC12" s="69">
        <f ca="1">SUMIF(Revenues!$A$3:$A$13,'Current Working'!$A$11:$A$13,Revenues!AU$3:AU$11)</f>
        <v>0</v>
      </c>
      <c r="BD12" s="69">
        <f ca="1">SUMIF(Revenues!$A$3:$A$13,'Current Working'!$A$11:$A$13,Revenues!AV$3:AV$11)</f>
        <v>0</v>
      </c>
      <c r="BE12" s="69">
        <f ca="1">SUMIF(Revenues!$A$3:$A$13,'Current Working'!$A$11:$A$13,Revenues!AW$3:AW$11)</f>
        <v>0</v>
      </c>
      <c r="BF12" s="69">
        <f ca="1">SUMIF(Revenues!$A$3:$A$13,'Current Working'!$A$11:$A$13,Revenues!AX$3:AX$11)</f>
        <v>0</v>
      </c>
      <c r="BG12" s="69">
        <f ca="1">SUMIF(Revenues!$A$3:$A$13,'Current Working'!$A$11:$A$13,Revenues!AY$3:AY$11)</f>
        <v>0</v>
      </c>
      <c r="BH12" s="73">
        <f ca="1">+BG12-BB12</f>
        <v>0</v>
      </c>
      <c r="BI12" s="74" t="str">
        <f ca="1">IFERROR(BH12/BB12,"-")</f>
        <v>-</v>
      </c>
    </row>
    <row r="13" spans="1:62" x14ac:dyDescent="0.25">
      <c r="A13" s="30">
        <v>3</v>
      </c>
      <c r="B13" s="66"/>
      <c r="C13" s="66"/>
      <c r="D13" s="67" t="s">
        <v>102</v>
      </c>
      <c r="E13" s="68"/>
      <c r="F13" s="69">
        <f>SUMIF(Revenues!$A$3:$A$13,'Current Working'!$A$11:$A$13,Revenues!H$3:H$13)</f>
        <v>0</v>
      </c>
      <c r="G13" s="69">
        <f>SUMIF(Revenues!$A$3:$A$13,'Current Working'!$A$11:$A$13,Revenues!I$3:I$13)</f>
        <v>0</v>
      </c>
      <c r="H13" s="69">
        <f>SUMIF(Revenues!$A$3:$A$13,'Current Working'!$A$11:$A$13,Revenues!J$3:J$13)</f>
        <v>0</v>
      </c>
      <c r="I13" s="69">
        <f>SUMIF(Revenues!$A$3:$A$13,'Current Working'!$A$11:$A$13,Revenues!K$3:K$13)</f>
        <v>0</v>
      </c>
      <c r="J13" s="69">
        <f>SUMIF(Revenues!$A$3:$A$13,'Current Working'!$A$11:$A$13,Revenues!L$3:L$13)</f>
        <v>0</v>
      </c>
      <c r="K13" s="69">
        <f>SUMIF(Revenues!$A$3:$A$13,'Current Working'!$A$11:$A$13,Revenues!M$3:M$13)</f>
        <v>0</v>
      </c>
      <c r="L13" s="69">
        <f>SUMIF(Revenues!$A$3:$A$13,'Current Working'!$A$11:$A$13,Revenues!N$3:N$13)</f>
        <v>1906.48</v>
      </c>
      <c r="M13" s="70">
        <f>L13-G13</f>
        <v>1906.48</v>
      </c>
      <c r="N13" s="71" t="str">
        <f>IFERROR(M13/G13,"-")</f>
        <v>-</v>
      </c>
      <c r="O13" s="72"/>
      <c r="Q13" s="69">
        <f ca="1">SUMIF(Revenues!$A$3:$A$12,'Current Working'!$A$11:$A$13,Revenues!Q$3:Q$11)</f>
        <v>0</v>
      </c>
      <c r="R13" s="69">
        <f ca="1">SUMIF(Revenues!$A$3:$A$12,'Current Working'!$A$11:$A$13,Revenues!R$3:R$11)</f>
        <v>0</v>
      </c>
      <c r="S13" s="69">
        <f ca="1">SUMIF(Revenues!$A$3:$A$12,'Current Working'!$A$11:$A$13,Revenues!S$3:S$11)</f>
        <v>0</v>
      </c>
      <c r="T13" s="69">
        <f ca="1">SUMIF(Revenues!$A$3:$A$12,'Current Working'!$A$11:$A$13,Revenues!T$3:T$11)</f>
        <v>0</v>
      </c>
      <c r="U13" s="69">
        <f ca="1">SUMIF(Revenues!$A$3:$A$12,'Current Working'!$A$11:$A$13,Revenues!U$3:U$11)</f>
        <v>0</v>
      </c>
      <c r="V13" s="69">
        <f ca="1">SUMIF(Revenues!$A$3:$A$12,'Current Working'!$A$11:$A$13,Revenues!V$3:V$11)</f>
        <v>2590</v>
      </c>
      <c r="W13" s="69">
        <f ca="1">SUMIF(Revenues!$A$3:$A$12,'Current Working'!$A$11:$A$13,Revenues!W$3:W$11)</f>
        <v>2590</v>
      </c>
      <c r="X13" s="77">
        <f ca="1">+W13-Q13</f>
        <v>2590</v>
      </c>
      <c r="Y13" s="78">
        <f ca="1">IFERROR(X13/L13,"-")</f>
        <v>1.3585246108010574</v>
      </c>
      <c r="Z13" s="72"/>
      <c r="AA13" s="72"/>
      <c r="AB13" s="69">
        <f ca="1">SUMIF(Revenues!$A$3:$A$13,'Current Working'!$A$11:$A$13,Revenues!Z$3:Z$11)</f>
        <v>0</v>
      </c>
      <c r="AC13" s="69">
        <f ca="1">SUMIF(Revenues!$A$3:$A$13,'Current Working'!$A$11:$A$13,Revenues!AA$3:AA$11)</f>
        <v>0</v>
      </c>
      <c r="AD13" s="69">
        <f ca="1">SUMIF(Revenues!$A$3:$A$13,'Current Working'!$A$11:$A$13,Revenues!AB$3:AB$11)</f>
        <v>0</v>
      </c>
      <c r="AE13" s="69">
        <f ca="1">SUMIF(Revenues!$A$3:$A$13,'Current Working'!$A$11:$A$13,Revenues!AC$3:AC$11)</f>
        <v>0</v>
      </c>
      <c r="AF13" s="69">
        <f ca="1">SUMIF(Revenues!$A$3:$A$13,'Current Working'!$A$11:$A$13,Revenues!AD$3:AD$11)</f>
        <v>0</v>
      </c>
      <c r="AG13" s="69">
        <f ca="1">SUMIF(Revenues!$A$3:$A$13,'Current Working'!$A$11:$A$13,Revenues!AE$3:AE$11)</f>
        <v>3699.02</v>
      </c>
      <c r="AH13" s="69">
        <f ca="1">SUMIF(Revenues!$A$3:$A$13,'Current Working'!$A$11:$A$13,Revenues!AF$3:AF$11)</f>
        <v>3699.02</v>
      </c>
      <c r="AI13" s="70">
        <f ca="1">+AH13-AC13</f>
        <v>3699.02</v>
      </c>
      <c r="AJ13" s="74" t="str">
        <f ca="1">IFERROR(AI13/AC13,"-")</f>
        <v>-</v>
      </c>
      <c r="AL13" s="41"/>
      <c r="AM13" s="69">
        <f ca="1">SUMIF(Revenues!$A$3:$A$13,'Current Working'!$A$11:$A$13,Revenues!AI$3:AI$11)</f>
        <v>0</v>
      </c>
      <c r="AN13" s="69">
        <f ca="1">SUMIF(Revenues!$A$3:$A$13,'Current Working'!$A$11:$A$13,Revenues!AJ$3:AJ$11)</f>
        <v>0</v>
      </c>
      <c r="AO13" s="69">
        <f ca="1">SUMIF(Revenues!$A$3:$A$13,'Current Working'!$A$11:$A$13,Revenues!AK$3:AK$11)</f>
        <v>0</v>
      </c>
      <c r="AP13" s="69">
        <f ca="1">SUMIF(Revenues!$A$3:$A$13,'Current Working'!$A$11:$A$13,Revenues!AL$3:AL$11)</f>
        <v>0</v>
      </c>
      <c r="AQ13" s="69">
        <f ca="1">SUMIF(Revenues!$A$3:$A$13,'Current Working'!$A$11:$A$13,Revenues!AM$3:AM$11)</f>
        <v>0</v>
      </c>
      <c r="AR13" s="69">
        <f ca="1">SUMIF(Revenues!$A$3:$A$13,'Current Working'!$A$11:$A$13,Revenues!AN$3:AN$11)</f>
        <v>0</v>
      </c>
      <c r="AS13" s="69">
        <f ca="1">SUMIF(Revenues!$A$3:$A$13,'Current Working'!$A$11:$A$13,Revenues!AO$3:AO$11)</f>
        <v>0</v>
      </c>
      <c r="AT13" s="69">
        <f ca="1">SUMIF(Revenues!$A$3:$A$13,'Current Working'!$A$11:$A$13,Revenues!AP$3:AP$11)</f>
        <v>0</v>
      </c>
      <c r="AU13" s="73">
        <f ca="1">+AT13-AN13</f>
        <v>0</v>
      </c>
      <c r="AV13" s="74" t="str">
        <f ca="1">IFERROR(AU13/AN13,"-")</f>
        <v>-</v>
      </c>
      <c r="AY13" s="69">
        <f ca="1">SUMIF(Revenues!$A$3:$A$13,'Current Working'!$A$11:$A$13,Revenues!AS$3:AS$11)</f>
        <v>0</v>
      </c>
      <c r="AZ13" s="73">
        <f ca="1">+AY13-AT13</f>
        <v>0</v>
      </c>
      <c r="BA13" s="74" t="str">
        <f ca="1">IFERROR(AZ13/AT13,"-")</f>
        <v>-</v>
      </c>
      <c r="BB13" s="69">
        <f ca="1">SUMIF(Revenues!$A$3:$A$13,'Current Working'!$A$11:$A$13,Revenues!AT$3:AT$11)</f>
        <v>0</v>
      </c>
      <c r="BC13" s="69">
        <f ca="1">SUMIF(Revenues!$A$3:$A$13,'Current Working'!$A$11:$A$13,Revenues!AU$3:AU$11)</f>
        <v>0</v>
      </c>
      <c r="BD13" s="69">
        <f ca="1">SUMIF(Revenues!$A$3:$A$13,'Current Working'!$A$11:$A$13,Revenues!AV$3:AV$11)</f>
        <v>0</v>
      </c>
      <c r="BE13" s="69">
        <f ca="1">SUMIF(Revenues!$A$3:$A$13,'Current Working'!$A$11:$A$13,Revenues!AW$3:AW$11)</f>
        <v>0</v>
      </c>
      <c r="BF13" s="69">
        <f ca="1">SUMIF(Revenues!$A$3:$A$13,'Current Working'!$A$11:$A$13,Revenues!AX$3:AX$11)</f>
        <v>0</v>
      </c>
      <c r="BG13" s="69">
        <f ca="1">SUMIF(Revenues!$A$3:$A$13,'Current Working'!$A$11:$A$13,Revenues!AY$3:AY$11)</f>
        <v>0</v>
      </c>
      <c r="BH13" s="73">
        <f ca="1">+BG13-BB13</f>
        <v>0</v>
      </c>
      <c r="BI13" s="74" t="str">
        <f ca="1">IFERROR(BH13/BB13,"-")</f>
        <v>-</v>
      </c>
    </row>
    <row r="14" spans="1:62" x14ac:dyDescent="0.25">
      <c r="B14" s="7"/>
      <c r="C14" s="53" t="s">
        <v>43</v>
      </c>
      <c r="D14" s="79"/>
      <c r="E14" s="75"/>
      <c r="F14" s="80">
        <f t="shared" ref="F14:L14" si="0">SUM(F11:F13)</f>
        <v>2119985</v>
      </c>
      <c r="G14" s="81">
        <f t="shared" si="0"/>
        <v>2119985</v>
      </c>
      <c r="H14" s="81">
        <f t="shared" si="0"/>
        <v>0</v>
      </c>
      <c r="I14" s="81">
        <f t="shared" si="0"/>
        <v>0</v>
      </c>
      <c r="J14" s="81">
        <f t="shared" si="0"/>
        <v>0</v>
      </c>
      <c r="K14" s="81">
        <f t="shared" si="0"/>
        <v>0</v>
      </c>
      <c r="L14" s="81">
        <f t="shared" si="0"/>
        <v>1966364.02</v>
      </c>
      <c r="M14" s="82">
        <f>L14-G14</f>
        <v>-153620.97999999998</v>
      </c>
      <c r="N14" s="71">
        <f>IFERROR(M14/G14,"-")</f>
        <v>-7.246323912669192E-2</v>
      </c>
      <c r="O14" s="72"/>
      <c r="Q14" s="81">
        <f t="shared" ref="Q14:W14" ca="1" si="1">SUM(Q11:Q13)</f>
        <v>3189155</v>
      </c>
      <c r="R14" s="81">
        <f t="shared" ca="1" si="1"/>
        <v>3189155</v>
      </c>
      <c r="S14" s="81">
        <f t="shared" ca="1" si="1"/>
        <v>0</v>
      </c>
      <c r="T14" s="81">
        <f t="shared" ca="1" si="1"/>
        <v>0</v>
      </c>
      <c r="U14" s="81">
        <f t="shared" ca="1" si="1"/>
        <v>0</v>
      </c>
      <c r="V14" s="83">
        <f t="shared" ca="1" si="1"/>
        <v>3145825.8299999996</v>
      </c>
      <c r="W14" s="81">
        <f t="shared" ca="1" si="1"/>
        <v>3145825.8299999996</v>
      </c>
      <c r="X14" s="70">
        <f ca="1">+W14-Q14</f>
        <v>-43329.170000000391</v>
      </c>
      <c r="Y14" s="71">
        <f ca="1">IFERROR(X14/Q14,"-")</f>
        <v>-1.3586410820421207E-2</v>
      </c>
      <c r="Z14" s="72"/>
      <c r="AA14" s="72"/>
      <c r="AB14" s="80">
        <f ca="1">SUM(AB11:AB13)</f>
        <v>3071100</v>
      </c>
      <c r="AC14" s="81">
        <f ca="1">SUM(AC11:AC13)</f>
        <v>3071100</v>
      </c>
      <c r="AD14" s="81">
        <f t="shared" ref="AD14:AI14" ca="1" si="2">SUM(AD11:AD13)</f>
        <v>0</v>
      </c>
      <c r="AE14" s="81">
        <f t="shared" ca="1" si="2"/>
        <v>0</v>
      </c>
      <c r="AF14" s="81">
        <f t="shared" ca="1" si="2"/>
        <v>0</v>
      </c>
      <c r="AG14" s="83">
        <f t="shared" ca="1" si="2"/>
        <v>3264048.3899999997</v>
      </c>
      <c r="AH14" s="81">
        <f t="shared" ca="1" si="2"/>
        <v>3264048.3899999997</v>
      </c>
      <c r="AI14" s="81">
        <f t="shared" ca="1" si="2"/>
        <v>192948.38999999981</v>
      </c>
      <c r="AJ14" s="74">
        <f ca="1">IFERROR(AI14/AC14,"-")</f>
        <v>6.2827127088014009E-2</v>
      </c>
      <c r="AL14" s="41"/>
      <c r="AM14" s="80">
        <f ca="1">SUM(AM11:AM13)</f>
        <v>3071100</v>
      </c>
      <c r="AN14" s="81">
        <f ca="1">SUM(AN11:AN13)</f>
        <v>3071100</v>
      </c>
      <c r="AO14" s="81">
        <f ca="1">SUM(AO11:AO13)</f>
        <v>3071100</v>
      </c>
      <c r="AP14" s="81">
        <f t="shared" ref="AP14:AU14" ca="1" si="3">SUM(AP11:AP13)</f>
        <v>0</v>
      </c>
      <c r="AQ14" s="81">
        <f t="shared" ca="1" si="3"/>
        <v>0</v>
      </c>
      <c r="AR14" s="81">
        <f t="shared" ca="1" si="3"/>
        <v>0</v>
      </c>
      <c r="AS14" s="83">
        <f t="shared" ca="1" si="3"/>
        <v>0</v>
      </c>
      <c r="AT14" s="81">
        <f t="shared" ca="1" si="3"/>
        <v>0</v>
      </c>
      <c r="AU14" s="81">
        <f t="shared" ca="1" si="3"/>
        <v>-3071100</v>
      </c>
      <c r="AV14" s="74">
        <f ca="1">IFERROR(AU14/AN14,"-")</f>
        <v>-1</v>
      </c>
      <c r="AY14" s="80">
        <f ca="1">SUM(AY11:AY13)</f>
        <v>0</v>
      </c>
      <c r="AZ14" s="81">
        <f ca="1">SUM(AZ11:AZ13)</f>
        <v>0</v>
      </c>
      <c r="BA14" s="74" t="str">
        <f ca="1">IFERROR(AZ14/AT14,"-")</f>
        <v>-</v>
      </c>
      <c r="BB14" s="81">
        <f ca="1">SUM(BB11:BB13)</f>
        <v>0</v>
      </c>
      <c r="BC14" s="81">
        <f t="shared" ref="BC14:BH14" ca="1" si="4">SUM(BC11:BC13)</f>
        <v>691892.40999999992</v>
      </c>
      <c r="BD14" s="81">
        <f t="shared" ca="1" si="4"/>
        <v>0</v>
      </c>
      <c r="BE14" s="81">
        <f t="shared" ca="1" si="4"/>
        <v>0</v>
      </c>
      <c r="BF14" s="83">
        <f t="shared" ca="1" si="4"/>
        <v>0</v>
      </c>
      <c r="BG14" s="81">
        <f t="shared" ca="1" si="4"/>
        <v>0</v>
      </c>
      <c r="BH14" s="81">
        <f t="shared" ca="1" si="4"/>
        <v>0</v>
      </c>
      <c r="BI14" s="74" t="str">
        <f ca="1">IFERROR(BH14/BB14,"-")</f>
        <v>-</v>
      </c>
    </row>
    <row r="15" spans="1:62" x14ac:dyDescent="0.25">
      <c r="B15" s="53"/>
      <c r="C15" s="53"/>
      <c r="D15" s="84"/>
      <c r="E15" s="75"/>
      <c r="F15" s="85"/>
      <c r="G15" s="75"/>
      <c r="H15" s="75"/>
      <c r="J15" s="55"/>
      <c r="K15" s="55"/>
      <c r="L15" s="55"/>
      <c r="M15" s="55"/>
      <c r="N15" s="65"/>
      <c r="O15" s="72"/>
      <c r="Q15" s="75"/>
      <c r="R15" s="75"/>
      <c r="S15" s="75"/>
      <c r="U15" s="55"/>
      <c r="V15" s="55"/>
      <c r="W15" s="55"/>
      <c r="X15" s="55"/>
      <c r="Y15" s="65"/>
      <c r="Z15" s="72"/>
      <c r="AA15" s="72"/>
      <c r="AB15" s="56"/>
      <c r="AC15" s="75"/>
      <c r="AD15" s="75"/>
      <c r="AF15" s="55"/>
      <c r="AG15" s="55"/>
      <c r="AH15" s="55"/>
      <c r="AI15" s="55"/>
      <c r="AJ15" s="65"/>
      <c r="AL15" s="41"/>
      <c r="AM15" s="56"/>
      <c r="AN15" s="75"/>
      <c r="AO15" s="75"/>
      <c r="AP15" s="75"/>
      <c r="AR15" s="55"/>
      <c r="AS15" s="55"/>
      <c r="AT15" s="55"/>
      <c r="AU15" s="55"/>
      <c r="AV15" s="65"/>
      <c r="AY15" s="56"/>
      <c r="AZ15" s="55"/>
      <c r="BA15" s="65"/>
      <c r="BB15" s="75"/>
      <c r="BC15" s="75"/>
      <c r="BE15" s="55"/>
      <c r="BF15" s="55"/>
      <c r="BG15" s="55"/>
      <c r="BH15" s="55"/>
      <c r="BI15" s="65"/>
    </row>
    <row r="16" spans="1:62" x14ac:dyDescent="0.25">
      <c r="B16" s="53" t="s">
        <v>103</v>
      </c>
      <c r="C16" s="53"/>
      <c r="D16" s="79"/>
      <c r="E16" s="86"/>
      <c r="F16" s="87"/>
      <c r="G16" s="86"/>
      <c r="H16" s="86"/>
      <c r="I16" s="88"/>
      <c r="J16" s="89"/>
      <c r="K16" s="89"/>
      <c r="L16" s="89"/>
      <c r="M16" s="89"/>
      <c r="N16" s="90"/>
      <c r="O16" s="68"/>
      <c r="Q16" s="86"/>
      <c r="R16" s="86"/>
      <c r="S16" s="86"/>
      <c r="T16" s="88"/>
      <c r="U16" s="89"/>
      <c r="V16" s="89"/>
      <c r="W16" s="89"/>
      <c r="X16" s="89"/>
      <c r="Y16" s="90"/>
      <c r="Z16" s="68"/>
      <c r="AA16" s="68"/>
      <c r="AB16" s="91"/>
      <c r="AC16" s="86"/>
      <c r="AD16" s="86"/>
      <c r="AE16" s="88"/>
      <c r="AF16" s="89"/>
      <c r="AG16" s="89"/>
      <c r="AH16" s="89"/>
      <c r="AI16" s="89"/>
      <c r="AJ16" s="90"/>
      <c r="AL16" s="41"/>
      <c r="AM16" s="91"/>
      <c r="AN16" s="86"/>
      <c r="AO16" s="86"/>
      <c r="AP16" s="86"/>
      <c r="AQ16" s="88"/>
      <c r="AR16" s="89"/>
      <c r="AS16" s="89"/>
      <c r="AT16" s="89"/>
      <c r="AU16" s="89"/>
      <c r="AV16" s="90"/>
      <c r="AY16" s="91"/>
      <c r="AZ16" s="89"/>
      <c r="BA16" s="90"/>
      <c r="BB16" s="86"/>
      <c r="BC16" s="86"/>
      <c r="BD16" s="88"/>
      <c r="BE16" s="89"/>
      <c r="BF16" s="89"/>
      <c r="BG16" s="89"/>
      <c r="BH16" s="89"/>
      <c r="BI16" s="90"/>
    </row>
    <row r="17" spans="1:62" s="94" customFormat="1" x14ac:dyDescent="0.25">
      <c r="A17" s="92">
        <v>4</v>
      </c>
      <c r="B17" s="93"/>
      <c r="C17" s="93"/>
      <c r="D17" s="67" t="s">
        <v>104</v>
      </c>
      <c r="E17" s="75"/>
      <c r="F17" s="69">
        <f ca="1">SUMIF(Expenses!$A$3:$A$207,'Current Working'!$A$17:$A$22,Expenses!H$3:H$206)</f>
        <v>1126005</v>
      </c>
      <c r="G17" s="69">
        <f>SUMIF(Expenses!$A$3:$A$207,'Current Working'!$A$17:$A$22,Expenses!I$3:I$349)</f>
        <v>1127705</v>
      </c>
      <c r="H17" s="69">
        <f>SUMIF(Expenses!$A$3:$A$207,'Current Working'!$A$17:$A$22,Expenses!J$3:J$349)</f>
        <v>0</v>
      </c>
      <c r="I17" s="69">
        <f>SUMIF(Expenses!$A$3:$A$207,'Current Working'!$A$17:$A$22,Expenses!K$3:K$349)</f>
        <v>0</v>
      </c>
      <c r="J17" s="69">
        <f>SUMIF(Expenses!$A$3:$A$207,'Current Working'!$A$17:$A$22,Expenses!L$3:L$349)</f>
        <v>0</v>
      </c>
      <c r="K17" s="69">
        <f>SUMIF(Expenses!$A$3:$A$207,'Current Working'!$A$17:$A$22,Expenses!M$3:M$349)</f>
        <v>1012999.2399999996</v>
      </c>
      <c r="L17" s="69">
        <f>SUMIF(Expenses!$A$3:$A$207,'Current Working'!$A$17:$A$22,Expenses!N$3:N$349)</f>
        <v>1012999.2399999996</v>
      </c>
      <c r="M17" s="73">
        <f>L17-G17</f>
        <v>-114705.76000000036</v>
      </c>
      <c r="N17" s="74">
        <f>IFERROR(M17/G17,"-")</f>
        <v>-0.10171610483238112</v>
      </c>
      <c r="O17" s="68"/>
      <c r="Q17" s="69">
        <f>SUMIF(Expenses!$A$3:$A$207,'Current Working'!$A$17:$A$22,Expenses!Q$3:Q$349)</f>
        <v>1289725</v>
      </c>
      <c r="R17" s="69">
        <f>SUMIF(Expenses!$A$3:$A$207,'Current Working'!$A$17:$A$22,Expenses!R$3:R$349)</f>
        <v>1291375</v>
      </c>
      <c r="S17" s="69">
        <f>SUMIF(Expenses!$A$3:$A$207,'Current Working'!$A$17:$A$22,Expenses!S$3:S$349)</f>
        <v>0</v>
      </c>
      <c r="T17" s="69">
        <f>SUMIF(Expenses!$A$3:$A$207,'Current Working'!$A$17:$A$22,Expenses!T$3:T$349)</f>
        <v>0</v>
      </c>
      <c r="U17" s="69">
        <f>SUMIF(Expenses!$A$3:$A$207,'Current Working'!$A$17:$A$22,Expenses!U$3:U$349)</f>
        <v>0</v>
      </c>
      <c r="V17" s="69">
        <f>SUMIF(Expenses!$A$3:$A$207,'Current Working'!$A$17:$A$22,Expenses!V$3:V$349)</f>
        <v>1113818.0000000002</v>
      </c>
      <c r="W17" s="69">
        <f>SUMIF(Expenses!$A$3:$A$207,'Current Working'!$A$17:$A$22,Expenses!W$3:W$349)</f>
        <v>1113817.7500000002</v>
      </c>
      <c r="X17" s="73">
        <f>+W17-Q17</f>
        <v>-175907.24999999977</v>
      </c>
      <c r="Y17" s="74">
        <f>IFERROR(X17/Q17,"-")</f>
        <v>-0.1363912849638487</v>
      </c>
      <c r="Z17" s="68"/>
      <c r="AA17" s="68"/>
      <c r="AB17" s="69">
        <f>SUMIF(Expenses!$A$3:$A$207,'Current Working'!$A$17:$A$22,Expenses!Z$3:Z$349)</f>
        <v>1460851</v>
      </c>
      <c r="AC17" s="69">
        <f>SUMIF(Expenses!$A$3:$A$207,'Current Working'!$A$17:$A$22,Expenses!AA$3:AA$349)</f>
        <v>1491251</v>
      </c>
      <c r="AD17" s="69">
        <f>SUMIF(Expenses!$A$3:$A$207,'Current Working'!$A$17:$A$22,Expenses!AB$3:AB$349)</f>
        <v>0</v>
      </c>
      <c r="AE17" s="69">
        <f>SUMIF(Expenses!$A$3:$A$207,'Current Working'!$A$17:$A$22,Expenses!AC$3:AC$349)</f>
        <v>0</v>
      </c>
      <c r="AF17" s="69">
        <f>SUMIF(Expenses!$A$3:$A$207,'Current Working'!$A$17:$A$22,Expenses!AD$3:AD$349)</f>
        <v>0</v>
      </c>
      <c r="AG17" s="69">
        <f>SUMIF(Expenses!$A$3:$A$207,'Current Working'!$A$17:$A$22,Expenses!AE$3:AE$349)</f>
        <v>1209847.78</v>
      </c>
      <c r="AH17" s="69">
        <f>SUMIF(Expenses!$A$3:$A$207,'Current Working'!$A$17:$A$22,Expenses!AF$3:AF$349)</f>
        <v>1209847.78</v>
      </c>
      <c r="AI17" s="73">
        <f>+AH17-AC17</f>
        <v>-281403.21999999997</v>
      </c>
      <c r="AJ17" s="74">
        <f>IFERROR(AI17/AC17,"-")</f>
        <v>-0.18870278712302621</v>
      </c>
      <c r="AK17" s="75"/>
      <c r="AL17" s="76"/>
      <c r="AM17" s="69">
        <f>SUMIF(Expenses!$A$3:$A$207,'Current Working'!$A$17:$A$22,Expenses!AI$3:AI$349)</f>
        <v>1491266</v>
      </c>
      <c r="AN17" s="69">
        <f>SUMIF(Expenses!$A$3:$A$207,'Current Working'!$A$17:$A$22,Expenses!AJ$3:AJ$349)</f>
        <v>1491266</v>
      </c>
      <c r="AO17" s="69">
        <f>SUMIF(Expenses!$A$3:$A$207,'Current Working'!$A$17:$A$22,Expenses!AK$3:AK$349)</f>
        <v>1494051</v>
      </c>
      <c r="AP17" s="69">
        <f>SUMIF(Expenses!$A$3:$A$207,'Current Working'!$A$17:$A$22,Expenses!AL$3:AL$349)</f>
        <v>285330.90000000002</v>
      </c>
      <c r="AQ17" s="69">
        <f>SUMIF(Expenses!$A$3:$A$207,'Current Working'!$A$17:$A$22,Expenses!AM$3:AM$349)</f>
        <v>0</v>
      </c>
      <c r="AR17" s="69">
        <f>SUMIF(Expenses!$A$3:$A$207,'Current Working'!$A$17:$A$22,Expenses!AN$3:AN$349)</f>
        <v>0</v>
      </c>
      <c r="AS17" s="69">
        <f>SUMIF(Expenses!$A$3:$A$207,'Current Working'!$A$17:$A$22,Expenses!AO$3:AO$349)</f>
        <v>0</v>
      </c>
      <c r="AT17" s="69">
        <f>SUMIF(Expenses!$A$3:$A$207,'Current Working'!$A$17:$A$22,Expenses!AP$3:AP$349)</f>
        <v>0</v>
      </c>
      <c r="AU17" s="73">
        <f>+AT17-AN17</f>
        <v>-1491266</v>
      </c>
      <c r="AV17" s="74">
        <f>IFERROR(AU17/AN17,"-")</f>
        <v>-1</v>
      </c>
      <c r="AW17" s="75"/>
      <c r="AX17" s="95"/>
      <c r="AY17" s="69">
        <f>SUMIF(Expenses!$A$3:$A$207,'Current Working'!$A$17:$A$22,Expenses!AS$3:AS$349)</f>
        <v>0</v>
      </c>
      <c r="AZ17" s="73">
        <f>+AY17-AT17</f>
        <v>0</v>
      </c>
      <c r="BA17" s="74" t="str">
        <f>IFERROR(AZ17/AT17,"-")</f>
        <v>-</v>
      </c>
      <c r="BB17" s="69">
        <f>SUMIF(Expenses!$A$3:$A$207,'Current Working'!$A$17:$A$22,Expenses!AT$3:AT$349)</f>
        <v>0</v>
      </c>
      <c r="BC17" s="69">
        <f>SUMIF(Expenses!$A$3:$A$207,'Current Working'!$A$17:$A$22,Expenses!AU$3:AU$349)</f>
        <v>0</v>
      </c>
      <c r="BD17" s="69">
        <f>SUMIF(Expenses!$A$3:$A$207,'Current Working'!$A$17:$A$22,Expenses!AV$3:AV$349)</f>
        <v>0</v>
      </c>
      <c r="BE17" s="69">
        <f>SUMIF(Expenses!$A$3:$A$207,'Current Working'!$A$17:$A$22,Expenses!AW$3:AW$349)</f>
        <v>0</v>
      </c>
      <c r="BF17" s="69">
        <f>SUMIF(Expenses!$A$3:$A$207,'Current Working'!$A$17:$A$22,Expenses!AX$3:AX$349)</f>
        <v>0</v>
      </c>
      <c r="BG17" s="69">
        <f>SUMIF(Expenses!$A$3:$A$207,'Current Working'!$A$17:$A$22,Expenses!AY$3:AY$349)</f>
        <v>0</v>
      </c>
      <c r="BH17" s="73">
        <f>+BG17-BB17</f>
        <v>0</v>
      </c>
      <c r="BI17" s="74" t="str">
        <f>IFERROR(BH17/BB17,"-")</f>
        <v>-</v>
      </c>
      <c r="BJ17" s="75"/>
    </row>
    <row r="18" spans="1:62" s="94" customFormat="1" x14ac:dyDescent="0.25">
      <c r="A18" s="92">
        <v>5</v>
      </c>
      <c r="B18" s="93"/>
      <c r="C18" s="93"/>
      <c r="D18" s="67" t="s">
        <v>105</v>
      </c>
      <c r="E18" s="68"/>
      <c r="F18" s="69">
        <f ca="1">SUMIF(Expenses!$A$3:$A$207,'Current Working'!$A$17:$A$22,Expenses!H$3:H$206)</f>
        <v>63500</v>
      </c>
      <c r="G18" s="69">
        <f>SUMIF(Expenses!$A$3:$A$207,'Current Working'!$A$17:$A$22,Expenses!I$3:I$349)</f>
        <v>63500</v>
      </c>
      <c r="H18" s="69">
        <f>SUMIF(Expenses!$A$3:$A$207,'Current Working'!$A$17:$A$22,Expenses!J$3:J$349)</f>
        <v>0</v>
      </c>
      <c r="I18" s="69">
        <f>SUMIF(Expenses!$A$3:$A$207,'Current Working'!$A$17:$A$22,Expenses!K$3:K$349)</f>
        <v>0</v>
      </c>
      <c r="J18" s="69">
        <f>SUMIF(Expenses!$A$3:$A$207,'Current Working'!$A$17:$A$22,Expenses!L$3:L$349)</f>
        <v>0</v>
      </c>
      <c r="K18" s="69">
        <f>SUMIF(Expenses!$A$3:$A$207,'Current Working'!$A$17:$A$22,Expenses!M$3:M$349)</f>
        <v>55933.31</v>
      </c>
      <c r="L18" s="69">
        <f>SUMIF(Expenses!$A$3:$A$207,'Current Working'!$A$17:$A$22,Expenses!N$3:N$349)</f>
        <v>55933.31</v>
      </c>
      <c r="M18" s="73">
        <f>L18-G18</f>
        <v>-7566.6900000000023</v>
      </c>
      <c r="N18" s="74">
        <f>IFERROR(M18/G18,"-")</f>
        <v>-0.11916047244094492</v>
      </c>
      <c r="O18" s="68"/>
      <c r="Q18" s="69">
        <f>SUMIF(Expenses!$A$3:$A$207,'Current Working'!$A$17:$A$22,Expenses!Q$3:Q$349)</f>
        <v>63200</v>
      </c>
      <c r="R18" s="69">
        <f>SUMIF(Expenses!$A$3:$A$207,'Current Working'!$A$17:$A$22,Expenses!R$3:R$349)</f>
        <v>63200</v>
      </c>
      <c r="S18" s="69">
        <f>SUMIF(Expenses!$A$3:$A$207,'Current Working'!$A$17:$A$22,Expenses!S$3:S$349)</f>
        <v>0</v>
      </c>
      <c r="T18" s="69">
        <f>SUMIF(Expenses!$A$3:$A$207,'Current Working'!$A$17:$A$22,Expenses!T$3:T$349)</f>
        <v>0</v>
      </c>
      <c r="U18" s="69">
        <f>SUMIF(Expenses!$A$3:$A$207,'Current Working'!$A$17:$A$22,Expenses!U$3:U$349)</f>
        <v>0</v>
      </c>
      <c r="V18" s="69">
        <f>SUMIF(Expenses!$A$3:$A$207,'Current Working'!$A$17:$A$22,Expenses!V$3:V$349)</f>
        <v>57328.71</v>
      </c>
      <c r="W18" s="69">
        <f>SUMIF(Expenses!$A$3:$A$207,'Current Working'!$A$17:$A$22,Expenses!W$3:W$349)</f>
        <v>57328.71</v>
      </c>
      <c r="X18" s="73">
        <f>+W18-Q18</f>
        <v>-5871.2900000000009</v>
      </c>
      <c r="Y18" s="74">
        <f>IFERROR(X18/Q18,"-")</f>
        <v>-9.2900158227848112E-2</v>
      </c>
      <c r="Z18" s="68"/>
      <c r="AA18" s="68"/>
      <c r="AB18" s="69">
        <f>SUMIF(Expenses!$A$3:$A$207,'Current Working'!$A$17:$A$22,Expenses!Z$3:Z$349)</f>
        <v>63700</v>
      </c>
      <c r="AC18" s="69">
        <f>SUMIF(Expenses!$A$3:$A$207,'Current Working'!$A$17:$A$22,Expenses!AA$3:AA$349)</f>
        <v>63700</v>
      </c>
      <c r="AD18" s="69">
        <f>SUMIF(Expenses!$A$3:$A$207,'Current Working'!$A$17:$A$22,Expenses!AB$3:AB$349)</f>
        <v>0</v>
      </c>
      <c r="AE18" s="69">
        <f>SUMIF(Expenses!$A$3:$A$207,'Current Working'!$A$17:$A$22,Expenses!AC$3:AC$349)</f>
        <v>0</v>
      </c>
      <c r="AF18" s="69">
        <f>SUMIF(Expenses!$A$3:$A$207,'Current Working'!$A$17:$A$22,Expenses!AD$3:AD$349)</f>
        <v>0</v>
      </c>
      <c r="AG18" s="69">
        <f>SUMIF(Expenses!$A$3:$A$207,'Current Working'!$A$17:$A$22,Expenses!AE$3:AE$349)</f>
        <v>58184.01</v>
      </c>
      <c r="AH18" s="69">
        <f>SUMIF(Expenses!$A$3:$A$207,'Current Working'!$A$17:$A$22,Expenses!AF$3:AF$349)</f>
        <v>58184.01</v>
      </c>
      <c r="AI18" s="73">
        <f>+AH18-AC18</f>
        <v>-5515.989999999998</v>
      </c>
      <c r="AJ18" s="74">
        <f>IFERROR(AI18/AC18,"-")</f>
        <v>-8.6593249607535283E-2</v>
      </c>
      <c r="AK18" s="75"/>
      <c r="AL18" s="76"/>
      <c r="AM18" s="69">
        <f>SUMIF(Expenses!$A$3:$A$207,'Current Working'!$A$17:$A$22,Expenses!AI$3:AI$349)</f>
        <v>68500</v>
      </c>
      <c r="AN18" s="69">
        <f>SUMIF(Expenses!$A$3:$A$207,'Current Working'!$A$17:$A$22,Expenses!AJ$3:AJ$349)</f>
        <v>68500</v>
      </c>
      <c r="AO18" s="69">
        <f>SUMIF(Expenses!$A$3:$A$207,'Current Working'!$A$17:$A$22,Expenses!AK$3:AK$349)</f>
        <v>68500</v>
      </c>
      <c r="AP18" s="69">
        <f>SUMIF(Expenses!$A$3:$A$207,'Current Working'!$A$17:$A$22,Expenses!AL$3:AL$349)</f>
        <v>14302.75</v>
      </c>
      <c r="AQ18" s="69">
        <f>SUMIF(Expenses!$A$3:$A$207,'Current Working'!$A$17:$A$22,Expenses!AM$3:AM$349)</f>
        <v>0</v>
      </c>
      <c r="AR18" s="69">
        <f>SUMIF(Expenses!$A$3:$A$207,'Current Working'!$A$17:$A$22,Expenses!AN$3:AN$349)</f>
        <v>0</v>
      </c>
      <c r="AS18" s="69">
        <f>SUMIF(Expenses!$A$3:$A$207,'Current Working'!$A$17:$A$22,Expenses!AO$3:AO$349)</f>
        <v>0</v>
      </c>
      <c r="AT18" s="69">
        <f>SUMIF(Expenses!$A$3:$A$207,'Current Working'!$A$17:$A$22,Expenses!AP$3:AP$349)</f>
        <v>0</v>
      </c>
      <c r="AU18" s="73">
        <f>+AT18-AN18</f>
        <v>-68500</v>
      </c>
      <c r="AV18" s="74">
        <f t="shared" ref="AV18:AV23" si="5">IFERROR(AU18/AN18,"-")</f>
        <v>-1</v>
      </c>
      <c r="AW18" s="96"/>
      <c r="AY18" s="69">
        <f>SUMIF(Expenses!$A$3:$A$207,'Current Working'!$A$17:$A$22,Expenses!AS$3:AS$349)</f>
        <v>0</v>
      </c>
      <c r="AZ18" s="73">
        <f>+AY18-AT18</f>
        <v>0</v>
      </c>
      <c r="BA18" s="74" t="str">
        <f>IFERROR(AZ18/AT18,"-")</f>
        <v>-</v>
      </c>
      <c r="BB18" s="69">
        <f>SUMIF(Expenses!$A$3:$A$207,'Current Working'!$A$17:$A$22,Expenses!AT$3:AT$349)</f>
        <v>0</v>
      </c>
      <c r="BC18" s="69">
        <f>SUMIF(Expenses!$A$3:$A$207,'Current Working'!$A$17:$A$22,Expenses!AU$3:AU$349)</f>
        <v>0</v>
      </c>
      <c r="BD18" s="69">
        <f>SUMIF(Expenses!$A$3:$A$207,'Current Working'!$A$17:$A$22,Expenses!AV$3:AV$349)</f>
        <v>0</v>
      </c>
      <c r="BE18" s="69">
        <f>SUMIF(Expenses!$A$3:$A$207,'Current Working'!$A$17:$A$22,Expenses!AW$3:AW$349)</f>
        <v>0</v>
      </c>
      <c r="BF18" s="69">
        <f>SUMIF(Expenses!$A$3:$A$207,'Current Working'!$A$17:$A$22,Expenses!AX$3:AX$349)</f>
        <v>0</v>
      </c>
      <c r="BG18" s="69">
        <f>SUMIF(Expenses!$A$3:$A$207,'Current Working'!$A$17:$A$22,Expenses!AY$3:AY$349)</f>
        <v>0</v>
      </c>
      <c r="BH18" s="73">
        <f>+BG18-BB18</f>
        <v>0</v>
      </c>
      <c r="BI18" s="74" t="str">
        <f>IFERROR(BH18/BB18,"-")</f>
        <v>-</v>
      </c>
      <c r="BJ18" s="96"/>
    </row>
    <row r="19" spans="1:62" s="94" customFormat="1" x14ac:dyDescent="0.25">
      <c r="A19" s="92">
        <v>6</v>
      </c>
      <c r="B19" s="93"/>
      <c r="C19" s="93"/>
      <c r="D19" s="67" t="s">
        <v>495</v>
      </c>
      <c r="E19" s="68"/>
      <c r="F19" s="69">
        <f ca="1">SUMIF(Expenses!$A$3:$A$207,'Current Working'!$A$17:$A$22,Expenses!H$3:H$206)</f>
        <v>575220</v>
      </c>
      <c r="G19" s="69">
        <f>SUMIF(Expenses!$A$3:$A$207,'Current Working'!$A$17:$A$22,Expenses!I$3:I$349)</f>
        <v>591520</v>
      </c>
      <c r="H19" s="69">
        <f>SUMIF(Expenses!$A$3:$A$207,'Current Working'!$A$17:$A$22,Expenses!J$3:J$349)</f>
        <v>0</v>
      </c>
      <c r="I19" s="69">
        <f>SUMIF(Expenses!$A$3:$A$207,'Current Working'!$A$17:$A$22,Expenses!K$3:K$349)</f>
        <v>0</v>
      </c>
      <c r="J19" s="69">
        <f>SUMIF(Expenses!$A$3:$A$207,'Current Working'!$A$17:$A$22,Expenses!L$3:L$349)</f>
        <v>0</v>
      </c>
      <c r="K19" s="69">
        <f>SUMIF(Expenses!$A$3:$A$207,'Current Working'!$A$17:$A$22,Expenses!M$3:M$349)</f>
        <v>522036.68000000005</v>
      </c>
      <c r="L19" s="69">
        <f>SUMIF(Expenses!$A$3:$A$207,'Current Working'!$A$17:$A$22,Expenses!N$3:N$349)</f>
        <v>522036.68000000005</v>
      </c>
      <c r="M19" s="73">
        <f>L19-G19</f>
        <v>-69483.319999999949</v>
      </c>
      <c r="N19" s="74">
        <f>IFERROR(M19/G19,"-")</f>
        <v>-0.11746571544495528</v>
      </c>
      <c r="O19" s="68"/>
      <c r="Q19" s="69">
        <f>SUMIF(Expenses!$A$3:$A$207,'Current Working'!$A$17:$A$22,Expenses!Q$3:Q$349)</f>
        <v>641160</v>
      </c>
      <c r="R19" s="69">
        <f>SUMIF(Expenses!$A$3:$A$207,'Current Working'!$A$17:$A$22,Expenses!R$3:R$349)</f>
        <v>658160</v>
      </c>
      <c r="S19" s="69">
        <f>SUMIF(Expenses!$A$3:$A$207,'Current Working'!$A$17:$A$22,Expenses!S$3:S$349)</f>
        <v>0</v>
      </c>
      <c r="T19" s="69">
        <f>SUMIF(Expenses!$A$3:$A$207,'Current Working'!$A$17:$A$22,Expenses!T$3:T$349)</f>
        <v>0</v>
      </c>
      <c r="U19" s="69">
        <f>SUMIF(Expenses!$A$3:$A$207,'Current Working'!$A$17:$A$22,Expenses!U$3:U$349)</f>
        <v>0</v>
      </c>
      <c r="V19" s="69">
        <f>SUMIF(Expenses!$A$3:$A$207,'Current Working'!$A$17:$A$22,Expenses!V$3:V$349)</f>
        <v>601898.98</v>
      </c>
      <c r="W19" s="69">
        <f>SUMIF(Expenses!$A$3:$A$207,'Current Working'!$A$17:$A$22,Expenses!W$3:W$349)</f>
        <v>601898.98</v>
      </c>
      <c r="X19" s="73">
        <f>+W19-Q19</f>
        <v>-39261.020000000019</v>
      </c>
      <c r="Y19" s="74">
        <f>IFERROR(X19/Q19,"-")</f>
        <v>-6.1234356478882056E-2</v>
      </c>
      <c r="Z19" s="68"/>
      <c r="AA19" s="68"/>
      <c r="AB19" s="69">
        <f>SUMIF(Expenses!$A$3:$A$207,'Current Working'!$A$17:$A$22,Expenses!Z$3:Z$349)</f>
        <v>628520</v>
      </c>
      <c r="AC19" s="69">
        <f>SUMIF(Expenses!$A$3:$A$207,'Current Working'!$A$17:$A$22,Expenses!AA$3:AA$349)</f>
        <v>645520</v>
      </c>
      <c r="AD19" s="69">
        <f>SUMIF(Expenses!$A$3:$A$207,'Current Working'!$A$17:$A$22,Expenses!AB$3:AB$349)</f>
        <v>0</v>
      </c>
      <c r="AE19" s="69">
        <f>SUMIF(Expenses!$A$3:$A$207,'Current Working'!$A$17:$A$22,Expenses!AC$3:AC$349)</f>
        <v>0</v>
      </c>
      <c r="AF19" s="69">
        <f>SUMIF(Expenses!$A$3:$A$207,'Current Working'!$A$17:$A$22,Expenses!AD$3:AD$349)</f>
        <v>0</v>
      </c>
      <c r="AG19" s="69">
        <f>SUMIF(Expenses!$A$3:$A$207,'Current Working'!$A$17:$A$22,Expenses!AE$3:AE$349)</f>
        <v>668510.07999999996</v>
      </c>
      <c r="AH19" s="69">
        <f>SUMIF(Expenses!$A$3:$A$207,'Current Working'!$A$17:$A$22,Expenses!AF$3:AF$349)</f>
        <v>668510.07999999996</v>
      </c>
      <c r="AI19" s="73">
        <f>+AH19-AC19</f>
        <v>22990.079999999958</v>
      </c>
      <c r="AJ19" s="74">
        <f>IFERROR(AI19/AC19,"-")</f>
        <v>3.5614822158879601E-2</v>
      </c>
      <c r="AK19" s="75"/>
      <c r="AL19" s="76"/>
      <c r="AM19" s="69">
        <f>SUMIF(Expenses!$A$3:$A$207,'Current Working'!$A$17:$A$22,Expenses!AI$3:AI$349)</f>
        <v>640120</v>
      </c>
      <c r="AN19" s="69">
        <f>SUMIF(Expenses!$A$3:$A$207,'Current Working'!$A$17:$A$22,Expenses!AJ$3:AJ$349)</f>
        <v>640120</v>
      </c>
      <c r="AO19" s="69">
        <f>SUMIF(Expenses!$A$3:$A$207,'Current Working'!$A$17:$A$22,Expenses!AK$3:AK$349)</f>
        <v>669520</v>
      </c>
      <c r="AP19" s="69">
        <f>SUMIF(Expenses!$A$3:$A$207,'Current Working'!$A$17:$A$22,Expenses!AL$3:AL$349)</f>
        <v>48185.2</v>
      </c>
      <c r="AQ19" s="69">
        <f>SUMIF(Expenses!$A$3:$A$207,'Current Working'!$A$17:$A$22,Expenses!AM$3:AM$349)</f>
        <v>0</v>
      </c>
      <c r="AR19" s="69">
        <f>SUMIF(Expenses!$A$3:$A$207,'Current Working'!$A$17:$A$22,Expenses!AN$3:AN$349)</f>
        <v>0</v>
      </c>
      <c r="AS19" s="69">
        <f>SUMIF(Expenses!$A$3:$A$207,'Current Working'!$A$17:$A$22,Expenses!AO$3:AO$349)</f>
        <v>0</v>
      </c>
      <c r="AT19" s="69">
        <f>SUMIF(Expenses!$A$3:$A$207,'Current Working'!$A$17:$A$22,Expenses!AP$3:AP$349)</f>
        <v>0</v>
      </c>
      <c r="AU19" s="73">
        <f>+AT19-AN19</f>
        <v>-640120</v>
      </c>
      <c r="AV19" s="74">
        <f t="shared" si="5"/>
        <v>-1</v>
      </c>
      <c r="AW19" s="97"/>
      <c r="AY19" s="69">
        <f>SUMIF(Expenses!$A$3:$A$207,'Current Working'!$A$17:$A$22,Expenses!AS$3:AS$349)</f>
        <v>0</v>
      </c>
      <c r="AZ19" s="73">
        <f>+AY19-AT19</f>
        <v>0</v>
      </c>
      <c r="BA19" s="74" t="str">
        <f>IFERROR(AZ19/AT19,"-")</f>
        <v>-</v>
      </c>
      <c r="BB19" s="69">
        <f>SUMIF(Expenses!$A$3:$A$207,'Current Working'!$A$17:$A$22,Expenses!AT$3:AT$349)</f>
        <v>0</v>
      </c>
      <c r="BC19" s="69">
        <f>SUMIF(Expenses!$A$3:$A$207,'Current Working'!$A$17:$A$22,Expenses!AU$3:AU$349)</f>
        <v>0</v>
      </c>
      <c r="BD19" s="69">
        <f>SUMIF(Expenses!$A$3:$A$207,'Current Working'!$A$17:$A$22,Expenses!AV$3:AV$349)</f>
        <v>0</v>
      </c>
      <c r="BE19" s="69">
        <f>SUMIF(Expenses!$A$3:$A$207,'Current Working'!$A$17:$A$22,Expenses!AW$3:AW$349)</f>
        <v>0</v>
      </c>
      <c r="BF19" s="69">
        <f>SUMIF(Expenses!$A$3:$A$207,'Current Working'!$A$17:$A$22,Expenses!AX$3:AX$349)</f>
        <v>0</v>
      </c>
      <c r="BG19" s="69">
        <f>SUMIF(Expenses!$A$3:$A$207,'Current Working'!$A$17:$A$22,Expenses!AY$3:AY$349)</f>
        <v>0</v>
      </c>
      <c r="BH19" s="73">
        <f>+BG19-BB19</f>
        <v>0</v>
      </c>
      <c r="BI19" s="74" t="str">
        <f>IFERROR(BH19/BB19,"-")</f>
        <v>-</v>
      </c>
      <c r="BJ19" s="97"/>
    </row>
    <row r="20" spans="1:62" s="94" customFormat="1" x14ac:dyDescent="0.25">
      <c r="A20" s="92">
        <v>9</v>
      </c>
      <c r="B20" s="93"/>
      <c r="C20" s="93"/>
      <c r="D20" s="67" t="s">
        <v>492</v>
      </c>
      <c r="E20" s="68"/>
      <c r="F20" s="69">
        <f ca="1">SUMIF(Expenses!$A$3:$A$207,'Current Working'!$A$17:$A$22,Expenses!H$3:H$206)</f>
        <v>145000</v>
      </c>
      <c r="G20" s="69">
        <f>SUMIF(Expenses!$A$3:$A$207,'Current Working'!$A$17:$A$22,Expenses!I$3:I$349)</f>
        <v>145000</v>
      </c>
      <c r="H20" s="69">
        <f>SUMIF(Expenses!$A$3:$A$207,'Current Working'!$A$17:$A$22,Expenses!J$3:J$349)</f>
        <v>0</v>
      </c>
      <c r="I20" s="69">
        <f>SUMIF(Expenses!$A$3:$A$207,'Current Working'!$A$17:$A$22,Expenses!K$3:K$349)</f>
        <v>0</v>
      </c>
      <c r="J20" s="69">
        <f>SUMIF(Expenses!$A$3:$A$207,'Current Working'!$A$17:$A$22,Expenses!L$3:L$349)</f>
        <v>0</v>
      </c>
      <c r="K20" s="69">
        <f>SUMIF(Expenses!$A$3:$A$207,'Current Working'!$A$17:$A$22,Expenses!M$3:M$349)</f>
        <v>128117.33</v>
      </c>
      <c r="L20" s="69">
        <f>SUMIF(Expenses!$A$3:$A$207,'Current Working'!$A$17:$A$22,Expenses!N$3:N$349)</f>
        <v>128117.33</v>
      </c>
      <c r="M20" s="73"/>
      <c r="N20" s="74"/>
      <c r="O20" s="68"/>
      <c r="Q20" s="69">
        <f>SUMIF(Expenses!$A$3:$A$207,'Current Working'!$A$17:$A$22,Expenses!Q$3:Q$349)</f>
        <v>155000</v>
      </c>
      <c r="R20" s="69">
        <f>SUMIF(Expenses!$A$3:$A$207,'Current Working'!$A$17:$A$22,Expenses!R$3:R$349)</f>
        <v>155000</v>
      </c>
      <c r="S20" s="69">
        <f>SUMIF(Expenses!$A$3:$A$207,'Current Working'!$A$17:$A$22,Expenses!S$3:S$349)</f>
        <v>0</v>
      </c>
      <c r="T20" s="69">
        <f>SUMIF(Expenses!$A$3:$A$207,'Current Working'!$A$17:$A$22,Expenses!T$3:T$349)</f>
        <v>0</v>
      </c>
      <c r="U20" s="69">
        <f>SUMIF(Expenses!$A$3:$A$207,'Current Working'!$A$17:$A$22,Expenses!U$3:U$349)</f>
        <v>0</v>
      </c>
      <c r="V20" s="69">
        <f>SUMIF(Expenses!$A$3:$A$207,'Current Working'!$A$17:$A$22,Expenses!V$3:V$349)</f>
        <v>124731.75</v>
      </c>
      <c r="W20" s="69">
        <f>SUMIF(Expenses!$A$3:$A$207,'Current Working'!$A$17:$A$22,Expenses!W$3:W$349)</f>
        <v>124731.75</v>
      </c>
      <c r="X20" s="73"/>
      <c r="Y20" s="74"/>
      <c r="Z20" s="68"/>
      <c r="AA20" s="68"/>
      <c r="AB20" s="69">
        <f>SUMIF(Expenses!$A$3:$A$207,'Current Working'!$A$17:$A$22,Expenses!Z$3:Z$349)</f>
        <v>170000</v>
      </c>
      <c r="AC20" s="69">
        <f>SUMIF(Expenses!$A$3:$A$207,'Current Working'!$A$17:$A$22,Expenses!AA$3:AA$349)</f>
        <v>1215480</v>
      </c>
      <c r="AD20" s="69">
        <f>SUMIF(Expenses!$A$3:$A$207,'Current Working'!$A$17:$A$22,Expenses!AB$3:AB$349)</f>
        <v>0</v>
      </c>
      <c r="AE20" s="69">
        <f>SUMIF(Expenses!$A$3:$A$207,'Current Working'!$A$17:$A$22,Expenses!AC$3:AC$349)</f>
        <v>0</v>
      </c>
      <c r="AF20" s="69">
        <f>SUMIF(Expenses!$A$3:$A$207,'Current Working'!$A$17:$A$22,Expenses!AD$3:AD$349)</f>
        <v>0</v>
      </c>
      <c r="AG20" s="69">
        <f>SUMIF(Expenses!$A$3:$A$207,'Current Working'!$A$17:$A$22,Expenses!AE$3:AE$349)</f>
        <v>73739.569999999992</v>
      </c>
      <c r="AH20" s="69">
        <f>SUMIF(Expenses!$A$3:$A$207,'Current Working'!$A$17:$A$22,Expenses!AF$3:AF$349)</f>
        <v>73739.569999999992</v>
      </c>
      <c r="AI20" s="73"/>
      <c r="AJ20" s="74"/>
      <c r="AK20" s="75"/>
      <c r="AL20" s="76"/>
      <c r="AM20" s="69">
        <f>SUMIF(Expenses!$A$3:$A$207,'Current Working'!$A$17:$A$22,Expenses!AI$3:AI$349)</f>
        <v>729000</v>
      </c>
      <c r="AN20" s="69">
        <f>SUMIF(Expenses!$A$3:$A$207,'Current Working'!$A$17:$A$22,Expenses!AJ$3:AJ$349)</f>
        <v>729000</v>
      </c>
      <c r="AO20" s="69">
        <f>SUMIF(Expenses!$A$3:$A$207,'Current Working'!$A$17:$A$22,Expenses!AK$3:AK$349)</f>
        <v>729000</v>
      </c>
      <c r="AP20" s="69">
        <f>SUMIF(Expenses!$A$3:$A$207,'Current Working'!$A$17:$A$22,Expenses!AL$3:AL$349)</f>
        <v>22551.799999999996</v>
      </c>
      <c r="AQ20" s="69">
        <f>SUMIF(Expenses!$A$3:$A$207,'Current Working'!$A$17:$A$22,Expenses!AM$3:AM$349)</f>
        <v>0</v>
      </c>
      <c r="AR20" s="69">
        <f>SUMIF(Expenses!$A$3:$A$207,'Current Working'!$A$17:$A$22,Expenses!AN$3:AN$349)</f>
        <v>0</v>
      </c>
      <c r="AS20" s="69">
        <f>SUMIF(Expenses!$A$3:$A$207,'Current Working'!$A$17:$A$22,Expenses!AO$3:AO$349)</f>
        <v>0</v>
      </c>
      <c r="AT20" s="69">
        <f>SUMIF(Expenses!$A$3:$A$207,'Current Working'!$A$17:$A$22,Expenses!AP$3:AP$349)</f>
        <v>0</v>
      </c>
      <c r="AU20" s="73"/>
      <c r="AV20" s="74"/>
      <c r="AW20" s="97"/>
      <c r="AY20" s="69">
        <f>SUMIF(Expenses!$A$3:$A$207,'Current Working'!$A$17:$A$22,Expenses!AS$3:AS$349)</f>
        <v>0</v>
      </c>
      <c r="AZ20" s="73"/>
      <c r="BA20" s="74"/>
      <c r="BB20" s="69">
        <f>SUMIF(Expenses!$A$3:$A$207,'Current Working'!$A$17:$A$22,Expenses!AT$3:AT$349)</f>
        <v>0</v>
      </c>
      <c r="BC20" s="69">
        <f>SUMIF(Expenses!$A$3:$A$207,'Current Working'!$A$17:$A$22,Expenses!AU$3:AU$349)</f>
        <v>0</v>
      </c>
      <c r="BD20" s="69">
        <f>SUMIF(Expenses!$A$3:$A$207,'Current Working'!$A$17:$A$22,Expenses!AV$3:AV$349)</f>
        <v>0</v>
      </c>
      <c r="BE20" s="69">
        <f>SUMIF(Expenses!$A$3:$A$207,'Current Working'!$A$17:$A$22,Expenses!AW$3:AW$349)</f>
        <v>0</v>
      </c>
      <c r="BF20" s="69">
        <f>SUMIF(Expenses!$A$3:$A$207,'Current Working'!$A$17:$A$22,Expenses!AX$3:AX$349)</f>
        <v>0</v>
      </c>
      <c r="BG20" s="69">
        <f>SUMIF(Expenses!$A$3:$A$207,'Current Working'!$A$17:$A$22,Expenses!AY$3:AY$349)</f>
        <v>0</v>
      </c>
      <c r="BH20" s="73"/>
      <c r="BI20" s="74"/>
      <c r="BJ20" s="97"/>
    </row>
    <row r="21" spans="1:62" s="94" customFormat="1" x14ac:dyDescent="0.25">
      <c r="A21" s="98">
        <v>7</v>
      </c>
      <c r="B21" s="93"/>
      <c r="C21" s="93"/>
      <c r="D21" s="67" t="s">
        <v>106</v>
      </c>
      <c r="E21" s="68"/>
      <c r="F21" s="69">
        <f ca="1">SUMIF(Expenses!$A$3:$A$207,'Current Working'!$A$17:$A$22,Expenses!H$3:H$206)</f>
        <v>0</v>
      </c>
      <c r="G21" s="69">
        <f>SUMIF(Expenses!$A$3:$A$207,'Current Working'!$A$17:$A$22,Expenses!I$3:I$349)</f>
        <v>0</v>
      </c>
      <c r="H21" s="69">
        <f>SUMIF(Expenses!$A$3:$A$207,'Current Working'!$A$17:$A$22,Expenses!J$3:J$349)</f>
        <v>0</v>
      </c>
      <c r="I21" s="69">
        <f>SUMIF(Expenses!$A$3:$A$207,'Current Working'!$A$17:$A$22,Expenses!K$3:K$349)</f>
        <v>0</v>
      </c>
      <c r="J21" s="69">
        <f>SUMIF(Expenses!$A$3:$A$207,'Current Working'!$A$17:$A$22,Expenses!L$3:L$349)</f>
        <v>0</v>
      </c>
      <c r="K21" s="69">
        <f>SUMIF(Expenses!$A$3:$A$207,'Current Working'!$A$17:$A$22,Expenses!M$3:M$349)</f>
        <v>0</v>
      </c>
      <c r="L21" s="69">
        <f>SUMIF(Expenses!$A$3:$A$207,'Current Working'!$A$17:$A$22,Expenses!N$3:N$349)</f>
        <v>0</v>
      </c>
      <c r="M21" s="73">
        <f>L21-G21</f>
        <v>0</v>
      </c>
      <c r="N21" s="74" t="str">
        <f>IFERROR(M21/G21,"-")</f>
        <v>-</v>
      </c>
      <c r="O21" s="68"/>
      <c r="Q21" s="69">
        <f>SUMIF(Expenses!$A$3:$A$207,'Current Working'!$A$17:$A$22,Expenses!Q$3:Q$349)</f>
        <v>26465</v>
      </c>
      <c r="R21" s="69">
        <f>SUMIF(Expenses!$A$3:$A$207,'Current Working'!$A$17:$A$22,Expenses!R$3:R$349)</f>
        <v>26465</v>
      </c>
      <c r="S21" s="69">
        <f>SUMIF(Expenses!$A$3:$A$207,'Current Working'!$A$17:$A$22,Expenses!S$3:S$349)</f>
        <v>0</v>
      </c>
      <c r="T21" s="69">
        <f>SUMIF(Expenses!$A$3:$A$207,'Current Working'!$A$17:$A$22,Expenses!T$3:T$349)</f>
        <v>0</v>
      </c>
      <c r="U21" s="69">
        <f>SUMIF(Expenses!$A$3:$A$207,'Current Working'!$A$17:$A$22,Expenses!U$3:U$349)</f>
        <v>0</v>
      </c>
      <c r="V21" s="69">
        <f>SUMIF(Expenses!$A$3:$A$207,'Current Working'!$A$17:$A$22,Expenses!V$3:V$349)</f>
        <v>25293.88</v>
      </c>
      <c r="W21" s="69">
        <f>SUMIF(Expenses!$A$3:$A$207,'Current Working'!$A$17:$A$22,Expenses!W$3:W$349)</f>
        <v>25293.88</v>
      </c>
      <c r="X21" s="73">
        <f>+W21-Q21</f>
        <v>-1171.119999999999</v>
      </c>
      <c r="Y21" s="74">
        <f>IFERROR(X21/Q21,"-")</f>
        <v>-4.4251653126771172E-2</v>
      </c>
      <c r="Z21" s="68"/>
      <c r="AA21" s="68"/>
      <c r="AB21" s="69">
        <f>SUMIF(Expenses!$A$3:$A$207,'Current Working'!$A$17:$A$22,Expenses!Z$3:Z$349)</f>
        <v>0</v>
      </c>
      <c r="AC21" s="69">
        <f>SUMIF(Expenses!$A$3:$A$207,'Current Working'!$A$17:$A$22,Expenses!AA$3:AA$349)</f>
        <v>0</v>
      </c>
      <c r="AD21" s="69">
        <f>SUMIF(Expenses!$A$3:$A$207,'Current Working'!$A$17:$A$22,Expenses!AB$3:AB$349)</f>
        <v>0</v>
      </c>
      <c r="AE21" s="69">
        <f>SUMIF(Expenses!$A$3:$A$207,'Current Working'!$A$17:$A$22,Expenses!AC$3:AC$349)</f>
        <v>0</v>
      </c>
      <c r="AF21" s="69">
        <f>SUMIF(Expenses!$A$3:$A$207,'Current Working'!$A$17:$A$22,Expenses!AD$3:AD$349)</f>
        <v>0</v>
      </c>
      <c r="AG21" s="69">
        <f>SUMIF(Expenses!$A$3:$A$207,'Current Working'!$A$17:$A$22,Expenses!AE$3:AE$349)</f>
        <v>0</v>
      </c>
      <c r="AH21" s="69">
        <f>SUMIF(Expenses!$A$3:$A$207,'Current Working'!$A$17:$A$22,Expenses!AF$3:AF$349)</f>
        <v>0</v>
      </c>
      <c r="AI21" s="73">
        <f>+AH21-AC21</f>
        <v>0</v>
      </c>
      <c r="AJ21" s="74" t="str">
        <f>IFERROR(AI21/AC21,"-")</f>
        <v>-</v>
      </c>
      <c r="AK21" s="75"/>
      <c r="AL21" s="76"/>
      <c r="AM21" s="69">
        <f>SUMIF(Expenses!$A$3:$A$207,'Current Working'!$A$17:$A$22,Expenses!AI$3:AI$349)</f>
        <v>58256</v>
      </c>
      <c r="AN21" s="69">
        <f>SUMIF(Expenses!$A$3:$A$207,'Current Working'!$A$17:$A$22,Expenses!AJ$3:AJ$349)</f>
        <v>58256</v>
      </c>
      <c r="AO21" s="69">
        <f>SUMIF(Expenses!$A$3:$A$207,'Current Working'!$A$17:$A$22,Expenses!AK$3:AK$349)</f>
        <v>1205756</v>
      </c>
      <c r="AP21" s="69">
        <f>SUMIF(Expenses!$A$3:$A$207,'Current Working'!$A$17:$A$22,Expenses!AL$3:AL$349)</f>
        <v>0</v>
      </c>
      <c r="AQ21" s="69">
        <f>SUMIF(Expenses!$A$3:$A$207,'Current Working'!$A$17:$A$22,Expenses!AM$3:AM$349)</f>
        <v>0</v>
      </c>
      <c r="AR21" s="69">
        <f>SUMIF(Expenses!$A$3:$A$207,'Current Working'!$A$17:$A$22,Expenses!AN$3:AN$349)</f>
        <v>0</v>
      </c>
      <c r="AS21" s="69">
        <f>SUMIF(Expenses!$A$3:$A$207,'Current Working'!$A$17:$A$22,Expenses!AO$3:AO$349)</f>
        <v>0</v>
      </c>
      <c r="AT21" s="69">
        <f>SUMIF(Expenses!$A$3:$A$207,'Current Working'!$A$17:$A$22,Expenses!AP$3:AP$349)</f>
        <v>0</v>
      </c>
      <c r="AU21" s="73">
        <f>+AT21-AN21</f>
        <v>-58256</v>
      </c>
      <c r="AV21" s="74">
        <f t="shared" si="5"/>
        <v>-1</v>
      </c>
      <c r="AW21" s="75"/>
      <c r="AY21" s="69">
        <f>SUMIF(Expenses!$A$3:$A$207,'Current Working'!$A$17:$A$22,Expenses!AS$3:AS$349)</f>
        <v>0</v>
      </c>
      <c r="AZ21" s="73">
        <f>+AY21-AT21</f>
        <v>0</v>
      </c>
      <c r="BA21" s="74" t="str">
        <f>IFERROR(AZ21/AT21,"-")</f>
        <v>-</v>
      </c>
      <c r="BB21" s="69">
        <f>SUMIF(Expenses!$A$3:$A$207,'Current Working'!$A$17:$A$22,Expenses!AT$3:AT$349)</f>
        <v>0</v>
      </c>
      <c r="BC21" s="69">
        <f>SUMIF(Expenses!$A$3:$A$207,'Current Working'!$A$17:$A$22,Expenses!AU$3:AU$349)</f>
        <v>0</v>
      </c>
      <c r="BD21" s="69">
        <f>SUMIF(Expenses!$A$3:$A$207,'Current Working'!$A$17:$A$22,Expenses!AV$3:AV$349)</f>
        <v>0</v>
      </c>
      <c r="BE21" s="69">
        <f>SUMIF(Expenses!$A$3:$A$207,'Current Working'!$A$17:$A$22,Expenses!AW$3:AW$349)</f>
        <v>0</v>
      </c>
      <c r="BF21" s="69">
        <f>SUMIF(Expenses!$A$3:$A$207,'Current Working'!$A$17:$A$22,Expenses!AX$3:AX$349)</f>
        <v>0</v>
      </c>
      <c r="BG21" s="69">
        <f>SUMIF(Expenses!$A$3:$A$207,'Current Working'!$A$17:$A$22,Expenses!AY$3:AY$349)</f>
        <v>0</v>
      </c>
      <c r="BH21" s="73">
        <f>+BG21-BB21</f>
        <v>0</v>
      </c>
      <c r="BI21" s="74" t="str">
        <f>IFERROR(BH21/BB21,"-")</f>
        <v>-</v>
      </c>
      <c r="BJ21" s="75"/>
    </row>
    <row r="22" spans="1:62" s="94" customFormat="1" x14ac:dyDescent="0.25">
      <c r="A22" s="98">
        <v>8</v>
      </c>
      <c r="B22" s="93"/>
      <c r="C22" s="93"/>
      <c r="D22" s="67" t="s">
        <v>107</v>
      </c>
      <c r="E22" s="68"/>
      <c r="F22" s="69">
        <f ca="1">SUMIF(Expenses!$A$3:$A$207,'Current Working'!$A$17:$A$22,Expenses!H$3:H$206)</f>
        <v>0</v>
      </c>
      <c r="G22" s="69">
        <f>SUMIF(Expenses!$A$3:$A$207,'Current Working'!$A$17:$A$22,Expenses!I$3:I$349)</f>
        <v>0</v>
      </c>
      <c r="H22" s="69">
        <f>SUMIF(Expenses!$A$3:$A$207,'Current Working'!$A$17:$A$22,Expenses!J$3:J$349)</f>
        <v>0</v>
      </c>
      <c r="I22" s="69">
        <f>SUMIF(Expenses!$A$3:$A$207,'Current Working'!$A$17:$A$22,Expenses!K$3:K$349)</f>
        <v>0</v>
      </c>
      <c r="J22" s="69">
        <f>SUMIF(Expenses!$A$3:$A$207,'Current Working'!$A$17:$A$22,Expenses!L$3:L$349)</f>
        <v>0</v>
      </c>
      <c r="K22" s="69">
        <f>SUMIF(Expenses!$A$3:$A$207,'Current Working'!$A$17:$A$22,Expenses!M$3:M$349)</f>
        <v>0</v>
      </c>
      <c r="L22" s="69">
        <f>SUMIF(Expenses!$A$3:$A$207,'Current Working'!$A$17:$A$22,Expenses!N$3:N$349)</f>
        <v>0</v>
      </c>
      <c r="M22" s="73">
        <f>L22-G22</f>
        <v>0</v>
      </c>
      <c r="N22" s="74" t="str">
        <f>IFERROR(M22/G22,"-")</f>
        <v>-</v>
      </c>
      <c r="O22" s="68"/>
      <c r="Q22" s="69">
        <f>SUMIF(Expenses!$A$3:$A$207,'Current Working'!$A$17:$A$22,Expenses!Q$3:Q$349)</f>
        <v>397500</v>
      </c>
      <c r="R22" s="69">
        <f>SUMIF(Expenses!$A$3:$A$207,'Current Working'!$A$17:$A$22,Expenses!R$3:R$349)</f>
        <v>397500</v>
      </c>
      <c r="S22" s="69">
        <f>SUMIF(Expenses!$A$3:$A$207,'Current Working'!$A$17:$A$22,Expenses!S$3:S$349)</f>
        <v>0</v>
      </c>
      <c r="T22" s="69">
        <f>SUMIF(Expenses!$A$3:$A$207,'Current Working'!$A$17:$A$22,Expenses!T$3:T$349)</f>
        <v>0</v>
      </c>
      <c r="U22" s="69">
        <f>SUMIF(Expenses!$A$3:$A$207,'Current Working'!$A$17:$A$22,Expenses!U$3:U$349)</f>
        <v>0</v>
      </c>
      <c r="V22" s="69">
        <f>SUMIF(Expenses!$A$3:$A$207,'Current Working'!$A$17:$A$22,Expenses!V$3:V$349)</f>
        <v>290.19</v>
      </c>
      <c r="W22" s="69">
        <f>SUMIF(Expenses!$A$3:$A$207,'Current Working'!$A$17:$A$22,Expenses!W$3:W$349)</f>
        <v>290.19</v>
      </c>
      <c r="X22" s="73">
        <f>+W22-Q22</f>
        <v>-397209.81</v>
      </c>
      <c r="Y22" s="99" t="str">
        <f>IFERROR(X22/L22,"-")</f>
        <v>-</v>
      </c>
      <c r="Z22" s="68"/>
      <c r="AA22" s="68"/>
      <c r="AB22" s="69">
        <f>SUMIF(Expenses!$A$3:$A$207,'Current Working'!$A$17:$A$22,Expenses!Z$3:Z$349)</f>
        <v>3110480</v>
      </c>
      <c r="AC22" s="69">
        <f>SUMIF(Expenses!$A$3:$A$207,'Current Working'!$A$17:$A$22,Expenses!AA$3:AA$349)</f>
        <v>2447210</v>
      </c>
      <c r="AD22" s="69">
        <f>SUMIF(Expenses!$A$3:$A$207,'Current Working'!$A$17:$A$22,Expenses!AB$3:AB$349)</f>
        <v>0</v>
      </c>
      <c r="AE22" s="69">
        <f>SUMIF(Expenses!$A$3:$A$207,'Current Working'!$A$17:$A$22,Expenses!AC$3:AC$349)</f>
        <v>0</v>
      </c>
      <c r="AF22" s="69">
        <f>SUMIF(Expenses!$A$3:$A$207,'Current Working'!$A$17:$A$22,Expenses!AD$3:AD$349)</f>
        <v>0</v>
      </c>
      <c r="AG22" s="69">
        <f>SUMIF(Expenses!$A$3:$A$207,'Current Working'!$A$17:$A$22,Expenses!AE$3:AE$349)</f>
        <v>773792.46</v>
      </c>
      <c r="AH22" s="69">
        <f>SUMIF(Expenses!$A$3:$A$207,'Current Working'!$A$17:$A$22,Expenses!AF$3:AF$349)</f>
        <v>773792.46</v>
      </c>
      <c r="AI22" s="73">
        <f>+AH22-AC22</f>
        <v>-1673417.54</v>
      </c>
      <c r="AJ22" s="74">
        <f>IFERROR(AI22/AC22,"-")</f>
        <v>-0.68380626918000498</v>
      </c>
      <c r="AK22" s="75"/>
      <c r="AL22" s="76"/>
      <c r="AM22" s="69">
        <f>SUMIF(Expenses!$A$3:$A$207,'Current Working'!$A$17:$A$22,Expenses!AI$3:AI$349)</f>
        <v>1500000</v>
      </c>
      <c r="AN22" s="69">
        <f>SUMIF(Expenses!$A$3:$A$207,'Current Working'!$A$17:$A$22,Expenses!AJ$3:AJ$349)</f>
        <v>1500000</v>
      </c>
      <c r="AO22" s="69">
        <f>SUMIF(Expenses!$A$3:$A$207,'Current Working'!$A$17:$A$22,Expenses!AK$3:AK$349)</f>
        <v>1500000</v>
      </c>
      <c r="AP22" s="69">
        <f>SUMIF(Expenses!$A$3:$A$207,'Current Working'!$A$17:$A$22,Expenses!AL$3:AL$349)</f>
        <v>138562.34</v>
      </c>
      <c r="AQ22" s="69">
        <f>SUMIF(Expenses!$A$3:$A$207,'Current Working'!$A$17:$A$22,Expenses!AM$3:AM$349)</f>
        <v>0</v>
      </c>
      <c r="AR22" s="69">
        <f>SUMIF(Expenses!$A$3:$A$207,'Current Working'!$A$17:$A$22,Expenses!AN$3:AN$349)</f>
        <v>0</v>
      </c>
      <c r="AS22" s="69">
        <f>SUMIF(Expenses!$A$3:$A$207,'Current Working'!$A$17:$A$22,Expenses!AO$3:AO$349)</f>
        <v>0</v>
      </c>
      <c r="AT22" s="69">
        <f>SUMIF(Expenses!$A$3:$A$207,'Current Working'!$A$17:$A$22,Expenses!AP$3:AP$349)</f>
        <v>0</v>
      </c>
      <c r="AU22" s="73">
        <f>+AT22-AN22</f>
        <v>-1500000</v>
      </c>
      <c r="AV22" s="74">
        <f t="shared" si="5"/>
        <v>-1</v>
      </c>
      <c r="AW22" s="97"/>
      <c r="AY22" s="69">
        <f>SUMIF(Expenses!$A$3:$A$207,'Current Working'!$A$17:$A$22,Expenses!AS$3:AS$349)</f>
        <v>0</v>
      </c>
      <c r="AZ22" s="73">
        <f>+AY22-AT22</f>
        <v>0</v>
      </c>
      <c r="BA22" s="74" t="str">
        <f>IFERROR(AZ22/AT22,"-")</f>
        <v>-</v>
      </c>
      <c r="BB22" s="69">
        <f>SUMIF(Expenses!$A$3:$A$207,'Current Working'!$A$17:$A$22,Expenses!AT$3:AT$349)</f>
        <v>0</v>
      </c>
      <c r="BC22" s="69">
        <f>SUMIF(Expenses!$A$3:$A$207,'Current Working'!$A$17:$A$22,Expenses!AU$3:AU$349)</f>
        <v>0</v>
      </c>
      <c r="BD22" s="69">
        <f>SUMIF(Expenses!$A$3:$A$207,'Current Working'!$A$17:$A$22,Expenses!AV$3:AV$349)</f>
        <v>0</v>
      </c>
      <c r="BE22" s="69">
        <f>SUMIF(Expenses!$A$3:$A$207,'Current Working'!$A$17:$A$22,Expenses!AW$3:AW$349)</f>
        <v>0</v>
      </c>
      <c r="BF22" s="69">
        <f>SUMIF(Expenses!$A$3:$A$207,'Current Working'!$A$17:$A$22,Expenses!AX$3:AX$349)</f>
        <v>0</v>
      </c>
      <c r="BG22" s="69">
        <f>SUMIF(Expenses!$A$3:$A$207,'Current Working'!$A$17:$A$22,Expenses!AY$3:AY$349)</f>
        <v>0</v>
      </c>
      <c r="BH22" s="73">
        <f>+BG22-BB22</f>
        <v>0</v>
      </c>
      <c r="BI22" s="74" t="str">
        <f>IFERROR(BH22/BB22,"-")</f>
        <v>-</v>
      </c>
      <c r="BJ22" s="97"/>
    </row>
    <row r="23" spans="1:62" s="94" customFormat="1" x14ac:dyDescent="0.25">
      <c r="A23" s="92"/>
      <c r="B23" s="100"/>
      <c r="C23" s="101" t="s">
        <v>108</v>
      </c>
      <c r="D23" s="102"/>
      <c r="E23" s="89"/>
      <c r="F23" s="103">
        <f t="shared" ref="F23:L23" ca="1" si="6">SUM(F17:F22)</f>
        <v>1909725</v>
      </c>
      <c r="G23" s="104">
        <f t="shared" si="6"/>
        <v>1927725</v>
      </c>
      <c r="H23" s="104">
        <f t="shared" si="6"/>
        <v>0</v>
      </c>
      <c r="I23" s="104">
        <f t="shared" si="6"/>
        <v>0</v>
      </c>
      <c r="J23" s="104">
        <f t="shared" si="6"/>
        <v>0</v>
      </c>
      <c r="K23" s="104">
        <f t="shared" si="6"/>
        <v>1719086.5599999996</v>
      </c>
      <c r="L23" s="104">
        <f t="shared" si="6"/>
        <v>1719086.5599999996</v>
      </c>
      <c r="M23" s="105">
        <f>L23-G23</f>
        <v>-208638.44000000041</v>
      </c>
      <c r="N23" s="74">
        <f>IFERROR(M23/G23,"-")</f>
        <v>-0.10823039593303008</v>
      </c>
      <c r="O23" s="68"/>
      <c r="Q23" s="104">
        <f t="shared" ref="Q23:X23" si="7">SUM(Q17:Q22)</f>
        <v>2573050</v>
      </c>
      <c r="R23" s="104">
        <f t="shared" si="7"/>
        <v>2591700</v>
      </c>
      <c r="S23" s="104">
        <f t="shared" si="7"/>
        <v>0</v>
      </c>
      <c r="T23" s="104">
        <f t="shared" si="7"/>
        <v>0</v>
      </c>
      <c r="U23" s="104">
        <f t="shared" si="7"/>
        <v>0</v>
      </c>
      <c r="V23" s="104">
        <f t="shared" si="7"/>
        <v>1923361.51</v>
      </c>
      <c r="W23" s="104">
        <f t="shared" si="7"/>
        <v>1923361.26</v>
      </c>
      <c r="X23" s="103">
        <f t="shared" si="7"/>
        <v>-619420.48999999976</v>
      </c>
      <c r="Y23" s="74">
        <f>IFERROR(X23/Q23,"-")</f>
        <v>-0.24073394998153932</v>
      </c>
      <c r="Z23" s="68"/>
      <c r="AA23" s="68"/>
      <c r="AB23" s="103">
        <f t="shared" ref="AB23:AI23" si="8">SUM(AB17:AB22)</f>
        <v>5433551</v>
      </c>
      <c r="AC23" s="104">
        <f t="shared" si="8"/>
        <v>5863161</v>
      </c>
      <c r="AD23" s="104">
        <f t="shared" si="8"/>
        <v>0</v>
      </c>
      <c r="AE23" s="104">
        <f t="shared" si="8"/>
        <v>0</v>
      </c>
      <c r="AF23" s="104">
        <f t="shared" si="8"/>
        <v>0</v>
      </c>
      <c r="AG23" s="104">
        <f t="shared" si="8"/>
        <v>2784073.9000000004</v>
      </c>
      <c r="AH23" s="104">
        <f t="shared" si="8"/>
        <v>2784073.9000000004</v>
      </c>
      <c r="AI23" s="104">
        <f t="shared" si="8"/>
        <v>-1937346.67</v>
      </c>
      <c r="AJ23" s="74">
        <f>IFERROR(AI23/AC23,"-")</f>
        <v>-0.33042699492645689</v>
      </c>
      <c r="AK23" s="95"/>
      <c r="AL23" s="106"/>
      <c r="AM23" s="103">
        <f t="shared" ref="AM23:AU23" si="9">SUM(AM17:AM22)</f>
        <v>4487142</v>
      </c>
      <c r="AN23" s="104">
        <f t="shared" si="9"/>
        <v>4487142</v>
      </c>
      <c r="AO23" s="104">
        <f t="shared" si="9"/>
        <v>5666827</v>
      </c>
      <c r="AP23" s="104">
        <f t="shared" si="9"/>
        <v>508932.99</v>
      </c>
      <c r="AQ23" s="104">
        <f t="shared" si="9"/>
        <v>0</v>
      </c>
      <c r="AR23" s="104">
        <f t="shared" si="9"/>
        <v>0</v>
      </c>
      <c r="AS23" s="104">
        <f t="shared" si="9"/>
        <v>0</v>
      </c>
      <c r="AT23" s="104">
        <f t="shared" si="9"/>
        <v>0</v>
      </c>
      <c r="AU23" s="104">
        <f t="shared" si="9"/>
        <v>-3758142</v>
      </c>
      <c r="AV23" s="74">
        <f t="shared" si="5"/>
        <v>-0.83753578558467734</v>
      </c>
      <c r="AW23" s="95"/>
      <c r="AY23" s="103">
        <f>SUM(AY17:AY22)</f>
        <v>0</v>
      </c>
      <c r="AZ23" s="104">
        <f>SUM(AZ17:AZ22)</f>
        <v>0</v>
      </c>
      <c r="BA23" s="74" t="str">
        <f>IFERROR(AZ23/AT23,"-")</f>
        <v>-</v>
      </c>
      <c r="BB23" s="104">
        <f t="shared" ref="BB23:BH23" si="10">SUM(BB17:BB22)</f>
        <v>0</v>
      </c>
      <c r="BC23" s="104">
        <f t="shared" si="10"/>
        <v>0</v>
      </c>
      <c r="BD23" s="104">
        <f t="shared" si="10"/>
        <v>0</v>
      </c>
      <c r="BE23" s="104">
        <f t="shared" si="10"/>
        <v>0</v>
      </c>
      <c r="BF23" s="104">
        <f t="shared" si="10"/>
        <v>0</v>
      </c>
      <c r="BG23" s="104">
        <f t="shared" si="10"/>
        <v>0</v>
      </c>
      <c r="BH23" s="104">
        <f t="shared" si="10"/>
        <v>0</v>
      </c>
      <c r="BI23" s="74" t="str">
        <f>IFERROR(BH23/BB23,"-")</f>
        <v>-</v>
      </c>
      <c r="BJ23" s="95"/>
    </row>
    <row r="24" spans="1:62" s="94" customFormat="1" x14ac:dyDescent="0.25">
      <c r="A24" s="92"/>
      <c r="B24" s="66"/>
      <c r="C24" s="66"/>
      <c r="D24" s="67"/>
      <c r="E24" s="89"/>
      <c r="F24" s="91"/>
      <c r="G24" s="89"/>
      <c r="H24" s="89"/>
      <c r="I24" s="89"/>
      <c r="J24" s="89"/>
      <c r="K24" s="89"/>
      <c r="L24" s="89"/>
      <c r="M24" s="89"/>
      <c r="N24" s="90"/>
      <c r="O24" s="68"/>
      <c r="Q24" s="89"/>
      <c r="R24" s="89"/>
      <c r="S24" s="89"/>
      <c r="T24" s="89"/>
      <c r="U24" s="89"/>
      <c r="V24" s="89"/>
      <c r="W24" s="89"/>
      <c r="X24" s="89"/>
      <c r="Y24" s="90"/>
      <c r="Z24" s="68"/>
      <c r="AA24" s="68"/>
      <c r="AB24" s="91"/>
      <c r="AC24" s="73"/>
      <c r="AD24" s="73"/>
      <c r="AE24" s="73"/>
      <c r="AF24" s="73"/>
      <c r="AG24" s="73"/>
      <c r="AH24" s="73"/>
      <c r="AI24" s="89"/>
      <c r="AJ24" s="90"/>
      <c r="AK24" s="95"/>
      <c r="AL24" s="106"/>
      <c r="AM24" s="91"/>
      <c r="AN24" s="89"/>
      <c r="AO24" s="89"/>
      <c r="AP24" s="89"/>
      <c r="AQ24" s="89"/>
      <c r="AR24" s="89"/>
      <c r="AS24" s="89"/>
      <c r="AT24" s="89"/>
      <c r="AU24" s="89"/>
      <c r="AV24" s="90"/>
      <c r="AW24" s="95"/>
      <c r="AY24" s="91"/>
      <c r="AZ24" s="89"/>
      <c r="BA24" s="90"/>
      <c r="BB24" s="89"/>
      <c r="BC24" s="89"/>
      <c r="BD24" s="89"/>
      <c r="BE24" s="89"/>
      <c r="BF24" s="89"/>
      <c r="BG24" s="89"/>
      <c r="BH24" s="89"/>
      <c r="BI24" s="90"/>
      <c r="BJ24" s="95"/>
    </row>
    <row r="25" spans="1:62" s="94" customFormat="1" ht="15" customHeight="1" x14ac:dyDescent="0.25">
      <c r="A25" s="92"/>
      <c r="B25" s="101" t="s">
        <v>109</v>
      </c>
      <c r="C25" s="101"/>
      <c r="D25" s="102"/>
      <c r="E25" s="89"/>
      <c r="F25" s="91"/>
      <c r="G25" s="89"/>
      <c r="H25" s="89"/>
      <c r="I25" s="89"/>
      <c r="J25" s="89"/>
      <c r="K25" s="89"/>
      <c r="L25" s="89"/>
      <c r="M25" s="89"/>
      <c r="N25" s="90"/>
      <c r="O25" s="68"/>
      <c r="Q25" s="89"/>
      <c r="R25" s="89"/>
      <c r="S25" s="89"/>
      <c r="T25" s="89"/>
      <c r="U25" s="89"/>
      <c r="V25" s="89"/>
      <c r="W25" s="89"/>
      <c r="X25" s="89"/>
      <c r="Y25" s="90"/>
      <c r="Z25" s="68"/>
      <c r="AA25" s="68"/>
      <c r="AB25" s="91"/>
      <c r="AC25" s="89"/>
      <c r="AD25" s="89"/>
      <c r="AE25" s="89"/>
      <c r="AF25" s="89"/>
      <c r="AG25" s="89"/>
      <c r="AH25" s="89"/>
      <c r="AI25" s="89"/>
      <c r="AJ25" s="90"/>
      <c r="AK25" s="95"/>
      <c r="AL25" s="106"/>
      <c r="AM25" s="91"/>
      <c r="AN25" s="89"/>
      <c r="AO25" s="89"/>
      <c r="AP25" s="89"/>
      <c r="AQ25" s="89"/>
      <c r="AR25" s="89"/>
      <c r="AS25" s="89"/>
      <c r="AT25" s="89"/>
      <c r="AU25" s="89"/>
      <c r="AV25" s="90"/>
      <c r="AW25" s="95"/>
      <c r="AY25" s="91"/>
      <c r="AZ25" s="89"/>
      <c r="BA25" s="90"/>
      <c r="BB25" s="89"/>
      <c r="BC25" s="89"/>
      <c r="BD25" s="89"/>
      <c r="BE25" s="89"/>
      <c r="BF25" s="89"/>
      <c r="BG25" s="89"/>
      <c r="BH25" s="89"/>
      <c r="BI25" s="90"/>
      <c r="BJ25" s="95"/>
    </row>
    <row r="26" spans="1:62" s="94" customFormat="1" ht="15" customHeight="1" x14ac:dyDescent="0.25">
      <c r="A26" s="92">
        <v>10</v>
      </c>
      <c r="B26" s="66"/>
      <c r="C26" s="66"/>
      <c r="D26" s="67" t="s">
        <v>110</v>
      </c>
      <c r="E26" s="89"/>
      <c r="F26" s="69">
        <f ca="1">SUMIF(Revenues!$A$3:$A$12,'Current Working'!$A$26,Revenues!H$3:H$11)</f>
        <v>0</v>
      </c>
      <c r="G26" s="69">
        <f ca="1">SUMIF(Revenues!$A$3:$A$12,'Current Working'!$A$26,Revenues!I$3:I$11)</f>
        <v>0</v>
      </c>
      <c r="H26" s="69">
        <f ca="1">SUMIF(Revenues!$A$3:$A$12,'Current Working'!$A$26,Revenues!J$3:J$11)</f>
        <v>0</v>
      </c>
      <c r="I26" s="69">
        <f ca="1">SUMIF(Revenues!$A$3:$A$12,'Current Working'!$A$26,Revenues!K$3:K$11)</f>
        <v>0</v>
      </c>
      <c r="J26" s="69">
        <f ca="1">SUMIF(Revenues!$A$3:$A$12,'Current Working'!$A$26,Revenues!L$3:L$11)</f>
        <v>0</v>
      </c>
      <c r="K26" s="69">
        <f ca="1">SUMIF(Revenues!$A$3:$A$12,'Current Working'!$A$26,Revenues!M$3:M$11)</f>
        <v>0</v>
      </c>
      <c r="L26" s="69">
        <f ca="1">SUMIF(Revenues!$A$3:$A$12,'Current Working'!$A$26,Revenues!N$3:N$11)</f>
        <v>0</v>
      </c>
      <c r="M26" s="73">
        <f ca="1">L26-G26</f>
        <v>0</v>
      </c>
      <c r="N26" s="74" t="str">
        <f ca="1">IFERROR(M26/G26,"-")</f>
        <v>-</v>
      </c>
      <c r="O26" s="68"/>
      <c r="Q26" s="69">
        <f ca="1">SUMIF(Revenues!$A$3:$A$13,'Current Working'!$A$26,Revenues!Q$3:Q$11)</f>
        <v>0</v>
      </c>
      <c r="R26" s="69">
        <f ca="1">SUMIF(Revenues!$A$3:$A$13,'Current Working'!$A$26,Revenues!R$3:R$11)</f>
        <v>17000</v>
      </c>
      <c r="S26" s="69">
        <f ca="1">SUMIF(Revenues!$A$3:$A$13,'Current Working'!$A$26,Revenues!S$3:S$11)</f>
        <v>0</v>
      </c>
      <c r="T26" s="69">
        <f ca="1">SUMIF(Revenues!$A$3:$A$13,'Current Working'!$A$26,Revenues!T$3:T$11)</f>
        <v>0</v>
      </c>
      <c r="U26" s="69">
        <f ca="1">SUMIF(Revenues!$A$3:$A$13,'Current Working'!$A$26,Revenues!U$3:U$11)</f>
        <v>0</v>
      </c>
      <c r="V26" s="69">
        <f ca="1">SUMIF(Revenues!$A$3:$A$13,'Current Working'!$A$26,Revenues!V$3:V$11)</f>
        <v>17000</v>
      </c>
      <c r="W26" s="69">
        <f ca="1">SUMIF(Revenues!$A$3:$A$13,'Current Working'!$A$26,Revenues!W$3:W$11)</f>
        <v>17000</v>
      </c>
      <c r="X26" s="73">
        <f ca="1">Q26-M26</f>
        <v>0</v>
      </c>
      <c r="Y26" s="74" t="str">
        <f ca="1">IFERROR(X26/L26,"-")</f>
        <v>-</v>
      </c>
      <c r="Z26" s="68"/>
      <c r="AA26" s="68"/>
      <c r="AB26" s="69">
        <f ca="1">SUMIF(Revenues!$A$3:$A$13,'Current Working'!$A$26,Revenues!Z$3:Z$11)</f>
        <v>0</v>
      </c>
      <c r="AC26" s="69">
        <f ca="1">SUMIF(Revenues!$A$3:$A$13,'Current Working'!$A$26,Revenues!AA$3:AA$11)</f>
        <v>0</v>
      </c>
      <c r="AD26" s="69">
        <f ca="1">SUMIF(Revenues!$A$3:$A$13,'Current Working'!$A$26,Revenues!AB$3:AB$11)</f>
        <v>0</v>
      </c>
      <c r="AE26" s="69">
        <f ca="1">SUMIF(Revenues!$A$3:$A$13,'Current Working'!$A$26,Revenues!AC$3:AC$11)</f>
        <v>0</v>
      </c>
      <c r="AF26" s="69">
        <f ca="1">SUMIF(Revenues!$A$3:$A$13,'Current Working'!$A$26,Revenues!AD$3:AD$11)</f>
        <v>0</v>
      </c>
      <c r="AG26" s="69">
        <f ca="1">SUMIF(Revenues!$A$3:$A$13,'Current Working'!$A$26,Revenues!AE$3:AE$11)</f>
        <v>0</v>
      </c>
      <c r="AH26" s="69">
        <f ca="1">SUMIF(Revenues!$A$3:$A$13,'Current Working'!$A$26,Revenues!AF$3:AF$11)</f>
        <v>0</v>
      </c>
      <c r="AI26" s="73"/>
      <c r="AJ26" s="74"/>
      <c r="AK26" s="95"/>
      <c r="AL26" s="106"/>
      <c r="AM26" s="69">
        <f ca="1">SUMIF(Revenues!$A$3:$A$13,'Current Working'!$A$26,Revenues!AI$3:AI$11)</f>
        <v>0</v>
      </c>
      <c r="AN26" s="69">
        <f ca="1">SUMIF(Revenues!$A$3:$A$13,'Current Working'!$A$26,Revenues!AJ$3:AJ$11)</f>
        <v>0</v>
      </c>
      <c r="AO26" s="69">
        <f ca="1">SUMIF(Revenues!$A$3:$A$13,'Current Working'!$A$26,Revenues!AK$3:AK$11)</f>
        <v>0</v>
      </c>
      <c r="AP26" s="69">
        <f ca="1">SUMIF(Revenues!$A$3:$A$13,'Current Working'!$A$26,Revenues!AL$3:AL$11)</f>
        <v>0</v>
      </c>
      <c r="AQ26" s="69">
        <f ca="1">SUMIF(Revenues!$A$3:$A$13,'Current Working'!$A$26,Revenues!AM$3:AM$11)</f>
        <v>0</v>
      </c>
      <c r="AR26" s="69">
        <f ca="1">SUMIF(Revenues!$A$3:$A$13,'Current Working'!$A$26,Revenues!AN$3:AN$11)</f>
        <v>0</v>
      </c>
      <c r="AS26" s="69">
        <f ca="1">SUMIF(Revenues!$A$3:$A$13,'Current Working'!$A$26,Revenues!AO$3:AO$11)</f>
        <v>0</v>
      </c>
      <c r="AT26" s="69">
        <f ca="1">SUMIF(Revenues!$A$3:$A$13,'Current Working'!$A$26,Revenues!AP$3:AP$11)</f>
        <v>0</v>
      </c>
      <c r="AU26" s="73">
        <f ca="1">AK26-AH26</f>
        <v>0</v>
      </c>
      <c r="AV26" s="74" t="str">
        <f ca="1">IFERROR(AU26/AF26,"-")</f>
        <v>-</v>
      </c>
      <c r="AW26" s="95"/>
      <c r="AY26" s="69">
        <f ca="1">SUMIF(Revenues!$A$3:$A$13,'Current Working'!$A$26,Revenues!AS$3:AS$11)</f>
        <v>0</v>
      </c>
      <c r="AZ26" s="73">
        <f ca="1">+AY26-AT26</f>
        <v>0</v>
      </c>
      <c r="BA26" s="74" t="str">
        <f ca="1">IFERROR(AZ26/AM26,"-")</f>
        <v>-</v>
      </c>
      <c r="BB26" s="69">
        <f ca="1">SUMIF(Revenues!$A$3:$A$13,'Current Working'!$A$26,Revenues!AT$3:AT$11)</f>
        <v>0</v>
      </c>
      <c r="BC26" s="69">
        <f ca="1">SUMIF(Revenues!$A$3:$A$13,'Current Working'!$A$26,Revenues!AU$3:AU$11)</f>
        <v>0</v>
      </c>
      <c r="BD26" s="69">
        <f ca="1">SUMIF(Revenues!$A$3:$A$13,'Current Working'!$A$26,Revenues!AV$3:AV$11)</f>
        <v>0</v>
      </c>
      <c r="BE26" s="69">
        <f ca="1">SUMIF(Revenues!$A$3:$A$13,'Current Working'!$A$26,Revenues!AW$3:AW$11)</f>
        <v>0</v>
      </c>
      <c r="BF26" s="69">
        <f ca="1">SUMIF(Revenues!$A$3:$A$13,'Current Working'!$A$26,Revenues!AX$3:AX$11)</f>
        <v>0</v>
      </c>
      <c r="BG26" s="69">
        <f ca="1">SUMIF(Revenues!$A$3:$A$13,'Current Working'!$A$26,Revenues!AY$3:AY$11)</f>
        <v>0</v>
      </c>
      <c r="BH26" s="73">
        <f ca="1">AW26-AT26</f>
        <v>0</v>
      </c>
      <c r="BI26" s="74" t="str">
        <f ca="1">IFERROR(BH26/AR26,"-")</f>
        <v>-</v>
      </c>
      <c r="BJ26" s="95"/>
    </row>
    <row r="27" spans="1:62" s="94" customFormat="1" ht="15" customHeight="1" x14ac:dyDescent="0.25">
      <c r="A27" s="92">
        <v>11</v>
      </c>
      <c r="B27" s="66"/>
      <c r="C27" s="66"/>
      <c r="D27" s="67" t="s">
        <v>111</v>
      </c>
      <c r="E27" s="89"/>
      <c r="F27" s="69">
        <f ca="1">SUMIF(Expenses!$A$3:$A$207,'Current Working'!$A$27,Expenses!H$3:H$206)</f>
        <v>0</v>
      </c>
      <c r="G27" s="69">
        <f>SUMIF(Expenses!$A$3:$A$207,'Current Working'!$A$27,Expenses!I$3:I$349)</f>
        <v>0</v>
      </c>
      <c r="H27" s="69">
        <f>SUMIF(Expenses!$A$3:$A$207,'Current Working'!$A$27,Expenses!J$3:J$349)</f>
        <v>0</v>
      </c>
      <c r="I27" s="69">
        <f>SUMIF(Expenses!$A$3:$A$207,'Current Working'!$A$27,Expenses!K$3:K$349)</f>
        <v>0</v>
      </c>
      <c r="J27" s="69">
        <f>SUMIF(Expenses!$A$3:$A$207,'Current Working'!$A$27,Expenses!L$3:L$349)</f>
        <v>0</v>
      </c>
      <c r="K27" s="69">
        <f>SUMIF(Expenses!$A$3:$A$207,'Current Working'!$A$27,Expenses!M$3:M$349)</f>
        <v>0</v>
      </c>
      <c r="L27" s="69">
        <f>-SUMIF(Expenses!$A$3:$A$207,'Current Working'!$A$27,Expenses!N$3:N$349)</f>
        <v>0</v>
      </c>
      <c r="M27" s="73">
        <f>L27-G27</f>
        <v>0</v>
      </c>
      <c r="N27" s="74" t="str">
        <f>IFERROR(M27/G27,"-")</f>
        <v>-</v>
      </c>
      <c r="O27" s="68"/>
      <c r="Q27" s="69">
        <f>-SUMIF(Expenses!$A$3:$A$207,'Current Working'!$A$27,Expenses!Q$3:Q$349)</f>
        <v>0</v>
      </c>
      <c r="R27" s="69">
        <f>-SUMIF(Expenses!$A$3:$A$207,'Current Working'!$A$27,Expenses!R$3:R$349)</f>
        <v>0</v>
      </c>
      <c r="S27" s="69">
        <f>-SUMIF(Expenses!$A$3:$A$207,'Current Working'!$A$27,Expenses!S$3:S$349)</f>
        <v>0</v>
      </c>
      <c r="T27" s="69">
        <f>-SUMIF(Expenses!$A$3:$A$207,'Current Working'!$A$27,Expenses!T$3:T$349)</f>
        <v>0</v>
      </c>
      <c r="U27" s="69">
        <f>-SUMIF(Expenses!$A$3:$A$207,'Current Working'!$A$27,Expenses!U$3:U$349)</f>
        <v>0</v>
      </c>
      <c r="V27" s="69">
        <f>-SUMIF(Expenses!$A$3:$A$207,'Current Working'!$A$27,Expenses!V$3:V$349)</f>
        <v>0</v>
      </c>
      <c r="W27" s="69">
        <f>-SUMIF(Expenses!$A$3:$A$207,'Current Working'!$A$27,Expenses!W$3:W$349)</f>
        <v>0</v>
      </c>
      <c r="X27" s="109">
        <f>Q27-M27</f>
        <v>0</v>
      </c>
      <c r="Y27" s="74" t="str">
        <f>IFERROR(X27/L27,"-")</f>
        <v>-</v>
      </c>
      <c r="Z27" s="68"/>
      <c r="AA27" s="68"/>
      <c r="AB27" s="69">
        <f>-SUMIF(Expenses!$A$3:$A$207,'Current Working'!$A$27,Expenses!Z$3:Z$349)</f>
        <v>0</v>
      </c>
      <c r="AC27" s="69">
        <f>-SUMIF(Expenses!$A$3:$A$207,'Current Working'!$A$27,Expenses!AA$3:AA$349)</f>
        <v>0</v>
      </c>
      <c r="AD27" s="69">
        <f>-SUMIF(Expenses!$A$3:$A$207,'Current Working'!$A$27,Expenses!AB$3:AB$349)</f>
        <v>0</v>
      </c>
      <c r="AE27" s="69">
        <f>-SUMIF(Expenses!$A$3:$A$207,'Current Working'!$A$27,Expenses!AC$3:AC$349)</f>
        <v>0</v>
      </c>
      <c r="AF27" s="69">
        <f>-SUMIF(Expenses!$A$3:$A$207,'Current Working'!$A$27,Expenses!AD$3:AD$349)</f>
        <v>0</v>
      </c>
      <c r="AG27" s="69">
        <f>-SUMIF(Expenses!$A$3:$A$207,'Current Working'!$A$27,Expenses!AE$3:AE$349)</f>
        <v>0</v>
      </c>
      <c r="AH27" s="69">
        <f>-SUMIF(Expenses!$A$3:$A$207,'Current Working'!$A$27,Expenses!AF$3:AF$349)</f>
        <v>0</v>
      </c>
      <c r="AI27" s="73"/>
      <c r="AJ27" s="74"/>
      <c r="AK27" s="95"/>
      <c r="AL27" s="106"/>
      <c r="AM27" s="108">
        <f>-SUMIF(Expenses!$A$3:$A$207,'Current Working'!$A$27,Expenses!AI$3:AI$349)</f>
        <v>0</v>
      </c>
      <c r="AN27" s="108">
        <f>-SUMIF(Expenses!$A$3:$A$207,'Current Working'!$A$27,Expenses!AJ$3:AJ$349)</f>
        <v>0</v>
      </c>
      <c r="AO27" s="108">
        <f>-SUMIF(Expenses!$A$3:$A$207,'Current Working'!$A$27,Expenses!AK$3:AK$349)</f>
        <v>0</v>
      </c>
      <c r="AP27" s="108">
        <f>-SUMIF(Expenses!$A$3:$A$207,'Current Working'!$A$27,Expenses!AL$3:AL$349)</f>
        <v>0</v>
      </c>
      <c r="AQ27" s="108">
        <f>-SUMIF(Expenses!$A$3:$A$207,'Current Working'!$A$27,Expenses!AM$3:AM$349)</f>
        <v>0</v>
      </c>
      <c r="AR27" s="108">
        <f>-SUMIF(Expenses!$A$3:$A$207,'Current Working'!$A$27,Expenses!AN$3:AN$349)</f>
        <v>0</v>
      </c>
      <c r="AS27" s="108">
        <f>-SUMIF(Expenses!$A$3:$A$207,'Current Working'!$A$27,Expenses!AO$3:AO$349)</f>
        <v>0</v>
      </c>
      <c r="AT27" s="108">
        <f>-SUMIF(Expenses!$A$3:$A$207,'Current Working'!$A$27,Expenses!AP$3:AP$349)</f>
        <v>0</v>
      </c>
      <c r="AU27" s="73">
        <f>+AT27-AN27</f>
        <v>0</v>
      </c>
      <c r="AV27" s="74" t="str">
        <f>IFERROR(AU27/AF27,"-")</f>
        <v>-</v>
      </c>
      <c r="AW27" s="95"/>
      <c r="AY27" s="108">
        <f>-SUMIF(Expenses!$A$3:$A$207,'Current Working'!$A$27,Expenses!AS$3:AS$349)</f>
        <v>0</v>
      </c>
      <c r="AZ27" s="109">
        <f>+AY27-AT27</f>
        <v>0</v>
      </c>
      <c r="BA27" s="74" t="str">
        <f>IFERROR(AZ27/AM27,"-")</f>
        <v>-</v>
      </c>
      <c r="BB27" s="108">
        <f>-SUMIF(Expenses!$A$3:$A$207,'Current Working'!$A$27,Expenses!AT$3:AT$349)</f>
        <v>0</v>
      </c>
      <c r="BC27" s="108">
        <f>-SUMIF(Expenses!$A$3:$A$207,'Current Working'!$A$27,Expenses!AU$3:AU$349)</f>
        <v>0</v>
      </c>
      <c r="BD27" s="108">
        <f>-SUMIF(Expenses!$A$3:$A$207,'Current Working'!$A$27,Expenses!AV$3:AV$349)</f>
        <v>0</v>
      </c>
      <c r="BE27" s="108">
        <f>-SUMIF(Expenses!$A$3:$A$207,'Current Working'!$A$27,Expenses!AW$3:AW$349)</f>
        <v>0</v>
      </c>
      <c r="BF27" s="108">
        <f>-SUMIF(Expenses!$A$3:$A$207,'Current Working'!$A$27,Expenses!AX$3:AX$349)</f>
        <v>0</v>
      </c>
      <c r="BG27" s="108">
        <f>-SUMIF(Expenses!$A$3:$A$207,'Current Working'!$A$27,Expenses!AY$3:AY$349)</f>
        <v>0</v>
      </c>
      <c r="BH27" s="73">
        <f>+BG27-BB27</f>
        <v>0</v>
      </c>
      <c r="BI27" s="74" t="str">
        <f>IFERROR(BH27/AR27,"-")</f>
        <v>-</v>
      </c>
      <c r="BJ27" s="95"/>
    </row>
    <row r="28" spans="1:62" s="94" customFormat="1" ht="15" customHeight="1" x14ac:dyDescent="0.25">
      <c r="A28" s="92"/>
      <c r="B28" s="66"/>
      <c r="C28" s="66" t="s">
        <v>112</v>
      </c>
      <c r="D28" s="67"/>
      <c r="E28" s="89"/>
      <c r="F28" s="103">
        <f ca="1">SUM(F26:F27)</f>
        <v>0</v>
      </c>
      <c r="G28" s="103">
        <f t="shared" ref="G28:L28" ca="1" si="11">SUM(G26:G27)</f>
        <v>0</v>
      </c>
      <c r="H28" s="103">
        <f t="shared" ca="1" si="11"/>
        <v>0</v>
      </c>
      <c r="I28" s="103">
        <f t="shared" ca="1" si="11"/>
        <v>0</v>
      </c>
      <c r="J28" s="103">
        <f t="shared" ca="1" si="11"/>
        <v>0</v>
      </c>
      <c r="K28" s="103">
        <f t="shared" ca="1" si="11"/>
        <v>0</v>
      </c>
      <c r="L28" s="103">
        <f t="shared" ca="1" si="11"/>
        <v>0</v>
      </c>
      <c r="M28" s="73">
        <f ca="1">L28-G28</f>
        <v>0</v>
      </c>
      <c r="N28" s="74" t="str">
        <f ca="1">IFERROR(M28/G28,"-")</f>
        <v>-</v>
      </c>
      <c r="O28" s="68"/>
      <c r="Q28" s="104">
        <f ca="1">SUM(Q26:Q27)</f>
        <v>0</v>
      </c>
      <c r="R28" s="104">
        <f t="shared" ref="R28:W28" ca="1" si="12">SUM(R26:R27)</f>
        <v>17000</v>
      </c>
      <c r="S28" s="104">
        <f t="shared" ca="1" si="12"/>
        <v>0</v>
      </c>
      <c r="T28" s="104">
        <f t="shared" ca="1" si="12"/>
        <v>0</v>
      </c>
      <c r="U28" s="104">
        <f t="shared" ca="1" si="12"/>
        <v>0</v>
      </c>
      <c r="V28" s="104">
        <f t="shared" ca="1" si="12"/>
        <v>17000</v>
      </c>
      <c r="W28" s="104">
        <f t="shared" ca="1" si="12"/>
        <v>17000</v>
      </c>
      <c r="X28" s="73">
        <f ca="1">Q28-M28</f>
        <v>0</v>
      </c>
      <c r="Y28" s="74" t="str">
        <f ca="1">IFERROR(X28/L28,"-")</f>
        <v>-</v>
      </c>
      <c r="Z28" s="68"/>
      <c r="AA28" s="68"/>
      <c r="AB28" s="104">
        <f t="shared" ref="AB28" ca="1" si="13">SUM(AB26:AB27)</f>
        <v>0</v>
      </c>
      <c r="AC28" s="104">
        <f t="shared" ref="AC28" ca="1" si="14">SUM(AC26:AC27)</f>
        <v>0</v>
      </c>
      <c r="AD28" s="104">
        <f t="shared" ref="AD28" ca="1" si="15">SUM(AD26:AD27)</f>
        <v>0</v>
      </c>
      <c r="AE28" s="104">
        <f t="shared" ref="AE28" ca="1" si="16">SUM(AE26:AE27)</f>
        <v>0</v>
      </c>
      <c r="AF28" s="104">
        <f t="shared" ref="AF28" ca="1" si="17">SUM(AF26:AF27)</f>
        <v>0</v>
      </c>
      <c r="AG28" s="104">
        <f t="shared" ref="AG28" ca="1" si="18">SUM(AG26:AG27)</f>
        <v>0</v>
      </c>
      <c r="AH28" s="104">
        <f t="shared" ref="AH28" ca="1" si="19">SUM(AH26:AH27)</f>
        <v>0</v>
      </c>
      <c r="AI28" s="73"/>
      <c r="AJ28" s="74"/>
      <c r="AK28" s="95"/>
      <c r="AL28" s="106"/>
      <c r="AM28" s="213">
        <f ca="1">SUM(AM26:AM27)</f>
        <v>0</v>
      </c>
      <c r="AN28" s="110">
        <f t="shared" ref="AN28:AT28" ca="1" si="20">SUM(AN26:AN27)</f>
        <v>0</v>
      </c>
      <c r="AO28" s="110">
        <f t="shared" ca="1" si="20"/>
        <v>0</v>
      </c>
      <c r="AP28" s="110">
        <f t="shared" ca="1" si="20"/>
        <v>0</v>
      </c>
      <c r="AQ28" s="110">
        <f t="shared" ca="1" si="20"/>
        <v>0</v>
      </c>
      <c r="AR28" s="110">
        <f t="shared" ca="1" si="20"/>
        <v>0</v>
      </c>
      <c r="AS28" s="110">
        <f t="shared" ca="1" si="20"/>
        <v>0</v>
      </c>
      <c r="AT28" s="110">
        <f t="shared" ca="1" si="20"/>
        <v>0</v>
      </c>
      <c r="AU28" s="73">
        <f ca="1">AK28-AH28</f>
        <v>0</v>
      </c>
      <c r="AV28" s="74" t="str">
        <f ca="1">IFERROR(AU28/AF28,"-")</f>
        <v>-</v>
      </c>
      <c r="AW28" s="95"/>
      <c r="AY28" s="103">
        <f ca="1">SUM(AY26:AY27)</f>
        <v>0</v>
      </c>
      <c r="AZ28" s="73">
        <f ca="1">+AY28-AT28</f>
        <v>0</v>
      </c>
      <c r="BA28" s="74" t="str">
        <f ca="1">IFERROR(AZ28/AM28,"-")</f>
        <v>-</v>
      </c>
      <c r="BB28" s="110">
        <f t="shared" ref="BB28:BG28" ca="1" si="21">SUM(BB26:BB27)</f>
        <v>0</v>
      </c>
      <c r="BC28" s="110">
        <f t="shared" ca="1" si="21"/>
        <v>0</v>
      </c>
      <c r="BD28" s="110">
        <f t="shared" ca="1" si="21"/>
        <v>0</v>
      </c>
      <c r="BE28" s="110">
        <f t="shared" ca="1" si="21"/>
        <v>0</v>
      </c>
      <c r="BF28" s="110">
        <f t="shared" ca="1" si="21"/>
        <v>0</v>
      </c>
      <c r="BG28" s="110">
        <f t="shared" ca="1" si="21"/>
        <v>0</v>
      </c>
      <c r="BH28" s="73">
        <f ca="1">AW28-AT28</f>
        <v>0</v>
      </c>
      <c r="BI28" s="74" t="str">
        <f ca="1">IFERROR(BH28/AR28,"-")</f>
        <v>-</v>
      </c>
      <c r="BJ28" s="95"/>
    </row>
    <row r="29" spans="1:62" s="94" customFormat="1" ht="15" customHeight="1" x14ac:dyDescent="0.25">
      <c r="A29" s="92"/>
      <c r="B29" s="66"/>
      <c r="C29" s="66"/>
      <c r="D29" s="67"/>
      <c r="E29" s="89"/>
      <c r="F29" s="91"/>
      <c r="G29" s="89"/>
      <c r="H29" s="89"/>
      <c r="I29" s="89"/>
      <c r="J29" s="89"/>
      <c r="K29" s="89"/>
      <c r="L29" s="89"/>
      <c r="M29" s="89"/>
      <c r="N29" s="90"/>
      <c r="O29" s="68"/>
      <c r="Q29" s="89"/>
      <c r="R29" s="89"/>
      <c r="S29" s="89"/>
      <c r="T29" s="89"/>
      <c r="U29" s="89"/>
      <c r="V29" s="89"/>
      <c r="W29" s="89"/>
      <c r="X29" s="89"/>
      <c r="Y29" s="90"/>
      <c r="Z29" s="68"/>
      <c r="AA29" s="68"/>
      <c r="AB29" s="91"/>
      <c r="AC29" s="89"/>
      <c r="AD29" s="89"/>
      <c r="AE29" s="89"/>
      <c r="AF29" s="89"/>
      <c r="AG29" s="89"/>
      <c r="AH29" s="89"/>
      <c r="AI29" s="89"/>
      <c r="AJ29" s="90"/>
      <c r="AK29" s="95"/>
      <c r="AL29" s="106"/>
      <c r="AM29" s="91"/>
      <c r="AN29" s="89"/>
      <c r="AO29" s="89"/>
      <c r="AP29" s="89"/>
      <c r="AQ29" s="89"/>
      <c r="AR29" s="89"/>
      <c r="AS29" s="89"/>
      <c r="AT29" s="89"/>
      <c r="AU29" s="89"/>
      <c r="AV29" s="90"/>
      <c r="AW29" s="95"/>
      <c r="AY29" s="91"/>
      <c r="AZ29" s="89"/>
      <c r="BA29" s="90"/>
      <c r="BB29" s="89"/>
      <c r="BC29" s="89"/>
      <c r="BD29" s="89"/>
      <c r="BE29" s="89"/>
      <c r="BF29" s="89"/>
      <c r="BG29" s="89"/>
      <c r="BH29" s="89"/>
      <c r="BI29" s="90"/>
      <c r="BJ29" s="95"/>
    </row>
    <row r="30" spans="1:62" s="94" customFormat="1" x14ac:dyDescent="0.25">
      <c r="A30" s="92"/>
      <c r="B30" s="66" t="s">
        <v>113</v>
      </c>
      <c r="C30" s="66"/>
      <c r="D30" s="102"/>
      <c r="E30" s="89"/>
      <c r="F30" s="111">
        <f ca="1">+F14-F23</f>
        <v>210260</v>
      </c>
      <c r="G30" s="110">
        <f>+G14-G23</f>
        <v>192260</v>
      </c>
      <c r="H30" s="89"/>
      <c r="I30" s="89"/>
      <c r="J30" s="89"/>
      <c r="K30" s="89"/>
      <c r="L30" s="110">
        <f>+L14-L23</f>
        <v>247277.46000000043</v>
      </c>
      <c r="M30" s="110">
        <f>+M14-M23</f>
        <v>55017.460000000428</v>
      </c>
      <c r="N30" s="89"/>
      <c r="O30" s="68"/>
      <c r="Q30" s="110">
        <f t="shared" ref="Q30:U30" ca="1" si="22">+Q14-Q23</f>
        <v>616105</v>
      </c>
      <c r="R30" s="110">
        <f t="shared" ca="1" si="22"/>
        <v>597455</v>
      </c>
      <c r="S30" s="110">
        <f t="shared" ca="1" si="22"/>
        <v>0</v>
      </c>
      <c r="T30" s="110">
        <f t="shared" ca="1" si="22"/>
        <v>0</v>
      </c>
      <c r="U30" s="110">
        <f t="shared" ca="1" si="22"/>
        <v>0</v>
      </c>
      <c r="V30" s="110">
        <f ca="1">+V14-V23</f>
        <v>1222464.3199999996</v>
      </c>
      <c r="W30" s="110">
        <f ca="1">+W14+W28-W23</f>
        <v>1239464.5699999996</v>
      </c>
      <c r="X30" s="89"/>
      <c r="Y30" s="90"/>
      <c r="Z30" s="68"/>
      <c r="AA30" s="68"/>
      <c r="AB30" s="110">
        <f t="shared" ref="AB30:AG30" ca="1" si="23">+AB14+AB28-AB23</f>
        <v>-2362451</v>
      </c>
      <c r="AC30" s="110">
        <f t="shared" ca="1" si="23"/>
        <v>-2792061</v>
      </c>
      <c r="AD30" s="110">
        <f t="shared" ca="1" si="23"/>
        <v>0</v>
      </c>
      <c r="AE30" s="110">
        <f t="shared" ca="1" si="23"/>
        <v>0</v>
      </c>
      <c r="AF30" s="110">
        <f t="shared" ca="1" si="23"/>
        <v>0</v>
      </c>
      <c r="AG30" s="110">
        <f t="shared" ca="1" si="23"/>
        <v>479974.48999999929</v>
      </c>
      <c r="AH30" s="110">
        <f ca="1">+AH14+AH28-AH23</f>
        <v>479974.48999999929</v>
      </c>
      <c r="AI30" s="89"/>
      <c r="AJ30" s="90"/>
      <c r="AK30" s="95"/>
      <c r="AL30" s="106"/>
      <c r="AM30" s="110">
        <f t="shared" ref="AM30:AT30" ca="1" si="24">+AM14+AM28-AM23</f>
        <v>-1416042</v>
      </c>
      <c r="AN30" s="110">
        <f t="shared" ca="1" si="24"/>
        <v>-1416042</v>
      </c>
      <c r="AO30" s="110">
        <f t="shared" ca="1" si="24"/>
        <v>-2595727</v>
      </c>
      <c r="AP30" s="110">
        <f t="shared" ca="1" si="24"/>
        <v>-508932.99</v>
      </c>
      <c r="AQ30" s="110">
        <f t="shared" ca="1" si="24"/>
        <v>0</v>
      </c>
      <c r="AR30" s="110">
        <f t="shared" ca="1" si="24"/>
        <v>0</v>
      </c>
      <c r="AS30" s="110">
        <f t="shared" ca="1" si="24"/>
        <v>0</v>
      </c>
      <c r="AT30" s="110">
        <f t="shared" ca="1" si="24"/>
        <v>0</v>
      </c>
      <c r="AU30" s="89"/>
      <c r="AV30" s="90"/>
      <c r="AW30" s="95"/>
      <c r="AY30" s="111">
        <f ca="1">+AY14-AY23</f>
        <v>0</v>
      </c>
      <c r="AZ30" s="89"/>
      <c r="BA30" s="90"/>
      <c r="BB30" s="110">
        <f ca="1">+BB14-BB23</f>
        <v>0</v>
      </c>
      <c r="BC30" s="110">
        <f ca="1">+BC14-BC23</f>
        <v>691892.40999999992</v>
      </c>
      <c r="BD30" s="110">
        <f ca="1">+BD14-BD23</f>
        <v>0</v>
      </c>
      <c r="BE30" s="110">
        <f ca="1">+BE14-BE23</f>
        <v>0</v>
      </c>
      <c r="BF30" s="89"/>
      <c r="BG30" s="110">
        <f ca="1">+BG14-BG23</f>
        <v>0</v>
      </c>
      <c r="BH30" s="89"/>
      <c r="BI30" s="90"/>
      <c r="BJ30" s="95"/>
    </row>
    <row r="31" spans="1:62" x14ac:dyDescent="0.25">
      <c r="B31" s="53"/>
      <c r="C31" s="53"/>
      <c r="D31" s="79"/>
      <c r="E31" s="55"/>
      <c r="F31" s="56"/>
      <c r="G31" s="55"/>
      <c r="H31" s="55"/>
      <c r="I31" s="55"/>
      <c r="J31" s="112"/>
      <c r="K31" s="112"/>
      <c r="L31" s="55"/>
      <c r="M31" s="112"/>
      <c r="N31" s="55"/>
      <c r="O31" s="55"/>
      <c r="Q31" s="55"/>
      <c r="R31" s="55"/>
      <c r="S31" s="55"/>
      <c r="T31" s="55"/>
      <c r="U31" s="112"/>
      <c r="V31" s="112"/>
      <c r="W31" s="55"/>
      <c r="X31" s="107"/>
      <c r="Y31" s="89"/>
      <c r="Z31" s="89"/>
      <c r="AA31" s="89"/>
      <c r="AB31" s="91"/>
      <c r="AC31" s="55"/>
      <c r="AD31" s="55"/>
      <c r="AE31" s="55"/>
      <c r="AF31" s="112"/>
      <c r="AG31" s="112"/>
      <c r="AH31" s="55"/>
      <c r="AI31" s="107"/>
      <c r="AJ31" s="89"/>
      <c r="AL31" s="41"/>
      <c r="AM31" s="91"/>
      <c r="AN31" s="55"/>
      <c r="AO31" s="55"/>
      <c r="AP31" s="55"/>
      <c r="AQ31" s="55"/>
      <c r="AR31" s="112"/>
      <c r="AS31" s="112"/>
      <c r="AT31" s="55"/>
      <c r="AU31" s="107"/>
      <c r="AV31" s="89"/>
      <c r="AY31" s="91"/>
      <c r="AZ31" s="107"/>
      <c r="BA31" s="89"/>
      <c r="BB31" s="55"/>
      <c r="BC31" s="55"/>
      <c r="BD31" s="55"/>
      <c r="BE31" s="112"/>
      <c r="BF31" s="112"/>
      <c r="BG31" s="55"/>
      <c r="BH31" s="107"/>
      <c r="BI31" s="89"/>
    </row>
    <row r="32" spans="1:62" ht="15.75" thickBot="1" x14ac:dyDescent="0.3">
      <c r="B32" s="58" t="s">
        <v>114</v>
      </c>
      <c r="C32" s="58"/>
      <c r="D32" s="113"/>
      <c r="E32" s="59"/>
      <c r="F32" s="114">
        <f ca="1">+F8+F30</f>
        <v>3284900.69</v>
      </c>
      <c r="G32" s="115">
        <f>+G8+G30</f>
        <v>3266900.69</v>
      </c>
      <c r="H32" s="59"/>
      <c r="I32" s="59"/>
      <c r="J32" s="59"/>
      <c r="K32" s="59"/>
      <c r="L32" s="115">
        <f>+L8+L30</f>
        <v>3321918.1500000004</v>
      </c>
      <c r="M32" s="55"/>
      <c r="N32" s="116"/>
      <c r="O32" s="59"/>
      <c r="Q32" s="115">
        <f t="shared" ref="Q32:W32" ca="1" si="25">+Q8+Q30</f>
        <v>3938023.1500000004</v>
      </c>
      <c r="R32" s="115">
        <f t="shared" ca="1" si="25"/>
        <v>3919373.1500000004</v>
      </c>
      <c r="S32" s="115">
        <f t="shared" ca="1" si="25"/>
        <v>0</v>
      </c>
      <c r="T32" s="115">
        <f t="shared" ca="1" si="25"/>
        <v>0</v>
      </c>
      <c r="U32" s="115">
        <f t="shared" ca="1" si="25"/>
        <v>0</v>
      </c>
      <c r="V32" s="115">
        <f t="shared" ca="1" si="25"/>
        <v>1222464.3199999996</v>
      </c>
      <c r="W32" s="115">
        <f t="shared" ca="1" si="25"/>
        <v>4561382.72</v>
      </c>
      <c r="X32" s="89"/>
      <c r="Y32" s="117"/>
      <c r="Z32" s="118"/>
      <c r="AA32" s="118"/>
      <c r="AB32" s="119">
        <f t="shared" ref="AB32:AH32" ca="1" si="26">+AB8+AB30</f>
        <v>2198931.7199999997</v>
      </c>
      <c r="AC32" s="115">
        <f t="shared" ca="1" si="26"/>
        <v>1769321.7199999997</v>
      </c>
      <c r="AD32" s="115">
        <f t="shared" ca="1" si="26"/>
        <v>0</v>
      </c>
      <c r="AE32" s="115">
        <f t="shared" ca="1" si="26"/>
        <v>0</v>
      </c>
      <c r="AF32" s="115">
        <f t="shared" ca="1" si="26"/>
        <v>0</v>
      </c>
      <c r="AG32" s="115">
        <f t="shared" ca="1" si="26"/>
        <v>479974.48999999929</v>
      </c>
      <c r="AH32" s="115">
        <f t="shared" ca="1" si="26"/>
        <v>5041357.209999999</v>
      </c>
      <c r="AI32" s="89"/>
      <c r="AJ32" s="117"/>
      <c r="AL32" s="41"/>
      <c r="AM32" s="119">
        <f ca="1">+AM8+AM30</f>
        <v>3625315.209999999</v>
      </c>
      <c r="AN32" s="115">
        <f ca="1">+AN8+AN30</f>
        <v>3625315.209999999</v>
      </c>
      <c r="AO32" s="115">
        <f t="shared" ref="AO32:AP32" ca="1" si="27">+AO8+AO30</f>
        <v>-2595727</v>
      </c>
      <c r="AP32" s="115">
        <f t="shared" ca="1" si="27"/>
        <v>-508932.99</v>
      </c>
      <c r="AQ32" s="115">
        <f ca="1">+AQ8+AQ30</f>
        <v>0</v>
      </c>
      <c r="AR32" s="115">
        <f ca="1">+AR8+AR30</f>
        <v>0</v>
      </c>
      <c r="AS32" s="115">
        <f ca="1">+AS8+AS30</f>
        <v>0</v>
      </c>
      <c r="AT32" s="115">
        <f ca="1">+AT8+AT30</f>
        <v>5041357.209999999</v>
      </c>
      <c r="AU32" s="89"/>
      <c r="AV32" s="117"/>
      <c r="AY32" s="119">
        <f ca="1">+AY8+AY30</f>
        <v>5041357.209999999</v>
      </c>
      <c r="AZ32" s="89"/>
      <c r="BA32" s="117"/>
      <c r="BB32" s="115">
        <f t="shared" ref="BB32:BG32" ca="1" si="28">+BB8+BB30</f>
        <v>0</v>
      </c>
      <c r="BC32" s="115">
        <f t="shared" ca="1" si="28"/>
        <v>691892.40999999992</v>
      </c>
      <c r="BD32" s="115">
        <f t="shared" ca="1" si="28"/>
        <v>0</v>
      </c>
      <c r="BE32" s="115">
        <f t="shared" ca="1" si="28"/>
        <v>0</v>
      </c>
      <c r="BF32" s="115">
        <f t="shared" si="28"/>
        <v>0</v>
      </c>
      <c r="BG32" s="115">
        <f t="shared" ca="1" si="28"/>
        <v>5041357.209999999</v>
      </c>
      <c r="BH32" s="89"/>
      <c r="BI32" s="117"/>
    </row>
    <row r="33" spans="2:59" ht="15.75" thickTop="1" x14ac:dyDescent="0.25">
      <c r="B33" s="53"/>
      <c r="C33" s="53"/>
      <c r="D33" s="120"/>
      <c r="E33" s="55"/>
      <c r="F33" s="56"/>
      <c r="G33" s="55"/>
      <c r="H33" s="55"/>
      <c r="I33" s="55"/>
      <c r="J33" s="55"/>
      <c r="K33" s="55"/>
      <c r="L33" s="226"/>
      <c r="M33" s="55"/>
      <c r="N33" s="55"/>
      <c r="O33" s="55"/>
      <c r="Q33" s="55"/>
      <c r="R33" s="55"/>
      <c r="S33" s="55"/>
      <c r="T33" s="55"/>
      <c r="U33" s="55"/>
      <c r="V33" s="55"/>
      <c r="W33" s="55"/>
      <c r="X33" s="55"/>
      <c r="Y33" s="55"/>
      <c r="Z33" s="55"/>
      <c r="AA33" s="55"/>
      <c r="AC33" s="55"/>
      <c r="AD33" s="55"/>
      <c r="AE33" s="55"/>
      <c r="AF33" s="55"/>
      <c r="AG33" s="55"/>
      <c r="AH33" s="55"/>
      <c r="AL33" s="41"/>
      <c r="AN33" s="55"/>
      <c r="AO33" s="55"/>
      <c r="AP33" s="55"/>
      <c r="AQ33" s="55"/>
      <c r="AR33" s="55"/>
      <c r="AS33" s="55"/>
      <c r="AT33" s="55"/>
      <c r="BB33" s="55"/>
      <c r="BC33" s="55"/>
      <c r="BD33" s="55"/>
      <c r="BE33" s="55"/>
      <c r="BF33" s="55"/>
      <c r="BG33" s="55"/>
    </row>
    <row r="34" spans="2:59" hidden="1" outlineLevel="1" x14ac:dyDescent="0.25">
      <c r="F34" s="121"/>
      <c r="G34" s="118"/>
      <c r="H34" s="118"/>
      <c r="I34" s="118"/>
      <c r="J34" s="118"/>
      <c r="K34" s="118"/>
      <c r="L34" s="122"/>
      <c r="M34" s="118"/>
      <c r="N34" s="118"/>
      <c r="O34" s="118"/>
      <c r="Q34" s="118"/>
      <c r="R34" s="118"/>
      <c r="S34" s="118"/>
      <c r="T34" s="118"/>
      <c r="U34" s="118"/>
      <c r="V34" s="118"/>
      <c r="W34" s="123"/>
      <c r="X34" s="118"/>
      <c r="Y34" s="118"/>
      <c r="Z34" s="118"/>
      <c r="AA34" s="118"/>
      <c r="AC34" s="124"/>
      <c r="AD34" s="124"/>
      <c r="AE34" s="124"/>
      <c r="AF34" s="124"/>
      <c r="AG34" s="124"/>
      <c r="AH34" s="125"/>
      <c r="AI34" s="41"/>
      <c r="AJ34" s="41"/>
      <c r="AK34" s="41"/>
      <c r="AL34" s="41"/>
      <c r="AM34" s="126"/>
      <c r="AN34" s="118"/>
      <c r="AO34" s="118"/>
      <c r="AP34" s="118"/>
      <c r="AQ34" s="118"/>
      <c r="AR34" s="118"/>
      <c r="AS34" s="118"/>
      <c r="AT34" s="123" t="s">
        <v>115</v>
      </c>
      <c r="BB34" s="118"/>
      <c r="BC34" s="118"/>
      <c r="BD34" s="118"/>
      <c r="BE34" s="118"/>
      <c r="BF34" s="118"/>
      <c r="BG34" s="123"/>
    </row>
    <row r="35" spans="2:59" hidden="1" outlineLevel="1" x14ac:dyDescent="0.25">
      <c r="F35" s="121"/>
      <c r="G35" s="118"/>
      <c r="H35" s="118"/>
      <c r="I35" s="118"/>
      <c r="J35" s="118"/>
      <c r="K35" s="118"/>
      <c r="L35" s="118"/>
      <c r="M35" s="118"/>
      <c r="N35" s="118"/>
      <c r="O35" s="118"/>
      <c r="Q35" s="118">
        <v>0</v>
      </c>
      <c r="R35" s="118"/>
      <c r="S35" s="118"/>
      <c r="T35" s="118"/>
      <c r="U35" s="118"/>
      <c r="V35" s="118"/>
      <c r="W35" s="127"/>
      <c r="X35" s="118"/>
      <c r="Y35" s="118"/>
      <c r="Z35" s="118"/>
      <c r="AA35" s="118"/>
      <c r="AB35" s="128">
        <v>0</v>
      </c>
      <c r="AC35" s="124"/>
      <c r="AD35" s="124"/>
      <c r="AE35" s="124"/>
      <c r="AF35" s="124"/>
      <c r="AG35" s="124"/>
      <c r="AH35" s="129"/>
      <c r="AI35" s="41"/>
      <c r="AJ35" s="41"/>
      <c r="AK35" s="41"/>
      <c r="AL35" s="41"/>
      <c r="AM35" s="130"/>
      <c r="AN35" s="118"/>
      <c r="AO35" s="118"/>
      <c r="AP35" s="118"/>
      <c r="AQ35" s="118"/>
      <c r="AR35" s="118"/>
      <c r="AS35" s="118"/>
      <c r="AT35" s="127" t="s">
        <v>116</v>
      </c>
      <c r="AY35" s="128">
        <v>0</v>
      </c>
      <c r="BB35" s="118"/>
      <c r="BC35" s="118"/>
      <c r="BD35" s="118"/>
      <c r="BE35" s="118"/>
      <c r="BF35" s="118"/>
      <c r="BG35" s="127"/>
    </row>
    <row r="36" spans="2:59" hidden="1" outlineLevel="1" x14ac:dyDescent="0.25">
      <c r="F36" s="131"/>
      <c r="G36" s="132"/>
      <c r="H36" s="118"/>
      <c r="I36" s="118"/>
      <c r="J36" s="118"/>
      <c r="K36" s="118"/>
      <c r="L36" s="118"/>
      <c r="M36" s="118"/>
      <c r="N36" s="118"/>
      <c r="O36" s="118"/>
      <c r="Q36" s="133">
        <v>0</v>
      </c>
      <c r="R36" s="132"/>
      <c r="S36" s="118"/>
      <c r="T36" s="118"/>
      <c r="U36" s="118"/>
      <c r="V36" s="118"/>
      <c r="W36" s="127"/>
      <c r="X36" s="118"/>
      <c r="Y36" s="118"/>
      <c r="Z36" s="118"/>
      <c r="AA36" s="118"/>
      <c r="AB36" s="134">
        <v>0</v>
      </c>
      <c r="AC36" s="135"/>
      <c r="AD36" s="124"/>
      <c r="AE36" s="124"/>
      <c r="AF36" s="124"/>
      <c r="AG36" s="124"/>
      <c r="AH36" s="129"/>
      <c r="AI36" s="41"/>
      <c r="AJ36" s="41"/>
      <c r="AK36" s="41"/>
      <c r="AL36" s="41"/>
      <c r="AM36" s="130"/>
      <c r="AN36" s="132"/>
      <c r="AO36" s="132"/>
      <c r="AP36" s="118"/>
      <c r="AQ36" s="118"/>
      <c r="AR36" s="118"/>
      <c r="AS36" s="118"/>
      <c r="AT36" s="127" t="s">
        <v>117</v>
      </c>
      <c r="AY36" s="134">
        <v>0</v>
      </c>
      <c r="BB36" s="132"/>
      <c r="BC36" s="118"/>
      <c r="BD36" s="118"/>
      <c r="BE36" s="118"/>
      <c r="BF36" s="118"/>
      <c r="BG36" s="127"/>
    </row>
    <row r="37" spans="2:59" hidden="1" outlineLevel="1" x14ac:dyDescent="0.25">
      <c r="F37" s="131"/>
      <c r="G37" s="132"/>
      <c r="H37" s="118"/>
      <c r="I37" s="118"/>
      <c r="J37" s="118"/>
      <c r="K37" s="118"/>
      <c r="L37" s="118"/>
      <c r="M37" s="118"/>
      <c r="N37" s="118"/>
      <c r="O37" s="118"/>
      <c r="Q37" s="132">
        <f>SUM(Q35:Q36)</f>
        <v>0</v>
      </c>
      <c r="R37" s="132"/>
      <c r="S37" s="118"/>
      <c r="T37" s="118"/>
      <c r="U37" s="118"/>
      <c r="V37" s="118"/>
      <c r="W37" s="136"/>
      <c r="X37" s="118"/>
      <c r="Y37" s="118"/>
      <c r="Z37" s="118"/>
      <c r="AA37" s="118"/>
      <c r="AB37" s="128">
        <f>SUM(AB35:AB36)</f>
        <v>0</v>
      </c>
      <c r="AC37" s="135"/>
      <c r="AD37" s="124"/>
      <c r="AE37" s="124"/>
      <c r="AF37" s="124"/>
      <c r="AG37" s="124"/>
      <c r="AH37" s="137"/>
      <c r="AI37" s="41"/>
      <c r="AJ37" s="41"/>
      <c r="AK37" s="41"/>
      <c r="AL37" s="41"/>
      <c r="AM37" s="130"/>
      <c r="AN37" s="132"/>
      <c r="AO37" s="132"/>
      <c r="AP37" s="118"/>
      <c r="AQ37" s="118"/>
      <c r="AR37" s="118"/>
      <c r="AS37" s="118"/>
      <c r="AT37" s="136" t="s">
        <v>118</v>
      </c>
      <c r="AY37" s="128">
        <f>SUM(AY35:AY36)</f>
        <v>0</v>
      </c>
      <c r="BB37" s="132"/>
      <c r="BC37" s="118"/>
      <c r="BD37" s="118"/>
      <c r="BE37" s="118"/>
      <c r="BF37" s="118"/>
      <c r="BG37" s="136"/>
    </row>
    <row r="38" spans="2:59" hidden="1" outlineLevel="1" x14ac:dyDescent="0.25">
      <c r="F38" s="131"/>
      <c r="G38" s="132"/>
      <c r="H38" s="118"/>
      <c r="I38" s="118"/>
      <c r="J38" s="118"/>
      <c r="K38" s="118"/>
      <c r="L38" s="118"/>
      <c r="M38" s="118"/>
      <c r="N38" s="118"/>
      <c r="O38" s="118"/>
      <c r="Q38" s="132"/>
      <c r="R38" s="132"/>
      <c r="S38" s="118"/>
      <c r="T38" s="118"/>
      <c r="U38" s="118"/>
      <c r="V38" s="118"/>
      <c r="W38" s="136"/>
      <c r="X38" s="118"/>
      <c r="Y38" s="118"/>
      <c r="Z38" s="118"/>
      <c r="AA38" s="118"/>
      <c r="AB38" s="128"/>
      <c r="AC38" s="135"/>
      <c r="AD38" s="124"/>
      <c r="AE38" s="124"/>
      <c r="AF38" s="124"/>
      <c r="AG38" s="124"/>
      <c r="AH38" s="137"/>
      <c r="AI38" s="41"/>
      <c r="AJ38" s="41"/>
      <c r="AK38" s="41"/>
      <c r="AL38" s="41"/>
      <c r="AM38" s="130"/>
      <c r="AN38" s="132"/>
      <c r="AO38" s="132"/>
      <c r="AP38" s="118"/>
      <c r="AQ38" s="118"/>
      <c r="AR38" s="118"/>
      <c r="AS38" s="118"/>
      <c r="AT38" s="136"/>
      <c r="AY38" s="128"/>
      <c r="BB38" s="132"/>
      <c r="BC38" s="118"/>
      <c r="BD38" s="118"/>
      <c r="BE38" s="118"/>
      <c r="BF38" s="118"/>
      <c r="BG38" s="136"/>
    </row>
    <row r="39" spans="2:59" hidden="1" outlineLevel="1" x14ac:dyDescent="0.25">
      <c r="F39" s="131"/>
      <c r="G39" s="132"/>
      <c r="H39" s="118"/>
      <c r="I39" s="118"/>
      <c r="J39" s="118"/>
      <c r="K39" s="118"/>
      <c r="L39" s="118"/>
      <c r="M39" s="118"/>
      <c r="N39" s="118"/>
      <c r="O39" s="118"/>
      <c r="Q39" s="132"/>
      <c r="R39" s="132"/>
      <c r="S39" s="118"/>
      <c r="T39" s="118"/>
      <c r="U39" s="118"/>
      <c r="V39" s="118"/>
      <c r="W39" s="123"/>
      <c r="X39" s="118"/>
      <c r="Y39" s="118"/>
      <c r="Z39" s="118"/>
      <c r="AA39" s="118"/>
      <c r="AB39" s="128"/>
      <c r="AC39" s="135"/>
      <c r="AD39" s="124"/>
      <c r="AE39" s="124"/>
      <c r="AF39" s="124"/>
      <c r="AG39" s="124"/>
      <c r="AH39" s="125"/>
      <c r="AI39" s="41"/>
      <c r="AJ39" s="41"/>
      <c r="AK39" s="41"/>
      <c r="AL39" s="41"/>
      <c r="AM39" s="130"/>
      <c r="AN39" s="132"/>
      <c r="AO39" s="132"/>
      <c r="AP39" s="118"/>
      <c r="AQ39" s="118"/>
      <c r="AR39" s="118"/>
      <c r="AS39" s="118"/>
      <c r="AT39" s="123" t="s">
        <v>119</v>
      </c>
      <c r="AY39" s="128"/>
      <c r="BB39" s="132"/>
      <c r="BC39" s="118"/>
      <c r="BD39" s="118"/>
      <c r="BE39" s="118"/>
      <c r="BF39" s="118"/>
      <c r="BG39" s="123"/>
    </row>
    <row r="40" spans="2:59" hidden="1" outlineLevel="1" x14ac:dyDescent="0.25">
      <c r="F40" s="131"/>
      <c r="G40" s="132"/>
      <c r="H40" s="118"/>
      <c r="I40" s="118"/>
      <c r="J40" s="118"/>
      <c r="K40" s="118"/>
      <c r="L40" s="118"/>
      <c r="M40" s="118"/>
      <c r="N40" s="118"/>
      <c r="O40" s="118"/>
      <c r="Q40" s="132">
        <v>0</v>
      </c>
      <c r="R40" s="132"/>
      <c r="S40" s="118"/>
      <c r="T40" s="118"/>
      <c r="U40" s="118"/>
      <c r="V40" s="118"/>
      <c r="W40" s="138"/>
      <c r="X40" s="118"/>
      <c r="Y40" s="118"/>
      <c r="Z40" s="118"/>
      <c r="AA40" s="118"/>
      <c r="AB40" s="128">
        <v>0</v>
      </c>
      <c r="AC40" s="135"/>
      <c r="AD40" s="124"/>
      <c r="AE40" s="124"/>
      <c r="AF40" s="124"/>
      <c r="AG40" s="124"/>
      <c r="AH40" s="139"/>
      <c r="AI40" s="41"/>
      <c r="AJ40" s="41"/>
      <c r="AK40" s="41"/>
      <c r="AL40" s="41"/>
      <c r="AM40" s="130"/>
      <c r="AN40" s="132"/>
      <c r="AO40" s="132"/>
      <c r="AP40" s="118"/>
      <c r="AQ40" s="118"/>
      <c r="AR40" s="118"/>
      <c r="AS40" s="118"/>
      <c r="AT40" s="138" t="s">
        <v>120</v>
      </c>
      <c r="AY40" s="128">
        <v>0</v>
      </c>
      <c r="BB40" s="132"/>
      <c r="BC40" s="118"/>
      <c r="BD40" s="118"/>
      <c r="BE40" s="118"/>
      <c r="BF40" s="118"/>
      <c r="BG40" s="138"/>
    </row>
    <row r="41" spans="2:59" hidden="1" outlineLevel="1" x14ac:dyDescent="0.25">
      <c r="F41" s="131"/>
      <c r="G41" s="132"/>
      <c r="H41" s="118"/>
      <c r="I41" s="118"/>
      <c r="J41" s="118"/>
      <c r="K41" s="118"/>
      <c r="L41" s="118"/>
      <c r="M41" s="118"/>
      <c r="N41" s="118"/>
      <c r="O41" s="118"/>
      <c r="Q41" s="133">
        <v>0</v>
      </c>
      <c r="R41" s="132"/>
      <c r="S41" s="118"/>
      <c r="T41" s="118"/>
      <c r="U41" s="118"/>
      <c r="V41" s="118"/>
      <c r="W41" s="138"/>
      <c r="X41" s="118"/>
      <c r="Y41" s="118"/>
      <c r="Z41" s="118"/>
      <c r="AA41" s="118"/>
      <c r="AB41" s="134">
        <v>0</v>
      </c>
      <c r="AC41" s="135"/>
      <c r="AD41" s="124"/>
      <c r="AE41" s="124"/>
      <c r="AF41" s="124"/>
      <c r="AG41" s="124"/>
      <c r="AH41" s="139"/>
      <c r="AI41" s="41"/>
      <c r="AJ41" s="41"/>
      <c r="AK41" s="41"/>
      <c r="AL41" s="41"/>
      <c r="AM41" s="130"/>
      <c r="AN41" s="132"/>
      <c r="AO41" s="132"/>
      <c r="AP41" s="118"/>
      <c r="AQ41" s="118"/>
      <c r="AR41" s="118"/>
      <c r="AS41" s="118"/>
      <c r="AT41" s="138" t="s">
        <v>121</v>
      </c>
      <c r="AY41" s="134">
        <v>0</v>
      </c>
      <c r="BB41" s="132"/>
      <c r="BC41" s="118"/>
      <c r="BD41" s="118"/>
      <c r="BE41" s="118"/>
      <c r="BF41" s="118"/>
      <c r="BG41" s="138"/>
    </row>
    <row r="42" spans="2:59" hidden="1" outlineLevel="1" x14ac:dyDescent="0.25">
      <c r="F42" s="131"/>
      <c r="G42" s="132"/>
      <c r="H42" s="118"/>
      <c r="I42" s="118"/>
      <c r="J42" s="118"/>
      <c r="K42" s="118"/>
      <c r="L42" s="118"/>
      <c r="M42" s="118"/>
      <c r="N42" s="118"/>
      <c r="O42" s="118"/>
      <c r="Q42" s="132">
        <v>0</v>
      </c>
      <c r="R42" s="132"/>
      <c r="S42" s="118"/>
      <c r="T42" s="118"/>
      <c r="U42" s="118"/>
      <c r="V42" s="118"/>
      <c r="W42" s="136"/>
      <c r="X42" s="118"/>
      <c r="Y42" s="118"/>
      <c r="Z42" s="118"/>
      <c r="AA42" s="118"/>
      <c r="AB42" s="128">
        <f>SUM(AB40:AB41)</f>
        <v>0</v>
      </c>
      <c r="AC42" s="135"/>
      <c r="AD42" s="124"/>
      <c r="AE42" s="124"/>
      <c r="AF42" s="124"/>
      <c r="AG42" s="124"/>
      <c r="AH42" s="137"/>
      <c r="AI42" s="41"/>
      <c r="AJ42" s="41"/>
      <c r="AK42" s="41"/>
      <c r="AL42" s="41"/>
      <c r="AM42" s="130"/>
      <c r="AN42" s="132"/>
      <c r="AO42" s="132"/>
      <c r="AP42" s="118"/>
      <c r="AQ42" s="118"/>
      <c r="AR42" s="118"/>
      <c r="AS42" s="118"/>
      <c r="AT42" s="136" t="s">
        <v>122</v>
      </c>
      <c r="AY42" s="128">
        <f>SUM(AY40:AY41)</f>
        <v>0</v>
      </c>
      <c r="BB42" s="132"/>
      <c r="BC42" s="118"/>
      <c r="BD42" s="118"/>
      <c r="BE42" s="118"/>
      <c r="BF42" s="118"/>
      <c r="BG42" s="136"/>
    </row>
    <row r="43" spans="2:59" hidden="1" outlineLevel="1" x14ac:dyDescent="0.25">
      <c r="F43" s="121"/>
      <c r="G43" s="118"/>
      <c r="H43" s="118"/>
      <c r="I43" s="118"/>
      <c r="J43" s="118"/>
      <c r="K43" s="118"/>
      <c r="L43" s="118"/>
      <c r="M43" s="118"/>
      <c r="N43" s="118"/>
      <c r="O43" s="118"/>
      <c r="Q43" s="118"/>
      <c r="R43" s="118"/>
      <c r="S43" s="118"/>
      <c r="T43" s="118"/>
      <c r="U43" s="118"/>
      <c r="V43" s="118"/>
      <c r="W43" s="140"/>
      <c r="X43" s="118"/>
      <c r="Y43" s="118"/>
      <c r="Z43" s="118"/>
      <c r="AA43" s="118"/>
      <c r="AB43" s="128"/>
      <c r="AC43" s="124"/>
      <c r="AD43" s="124"/>
      <c r="AE43" s="124"/>
      <c r="AF43" s="124"/>
      <c r="AG43" s="124"/>
      <c r="AH43" s="141"/>
      <c r="AI43" s="41"/>
      <c r="AJ43" s="41"/>
      <c r="AK43" s="41"/>
      <c r="AL43" s="41"/>
      <c r="AM43" s="130"/>
      <c r="AN43" s="118"/>
      <c r="AO43" s="118"/>
      <c r="AP43" s="118"/>
      <c r="AQ43" s="118"/>
      <c r="AR43" s="118"/>
      <c r="AS43" s="118"/>
      <c r="AT43" s="140"/>
      <c r="AY43" s="128"/>
      <c r="BB43" s="118"/>
      <c r="BC43" s="118"/>
      <c r="BD43" s="118"/>
      <c r="BE43" s="118"/>
      <c r="BF43" s="118"/>
      <c r="BG43" s="140"/>
    </row>
    <row r="44" spans="2:59" ht="15.75" hidden="1" outlineLevel="1" thickBot="1" x14ac:dyDescent="0.3">
      <c r="F44" s="121"/>
      <c r="G44" s="118"/>
      <c r="H44" s="118"/>
      <c r="I44" s="118"/>
      <c r="J44" s="118"/>
      <c r="K44" s="118"/>
      <c r="L44" s="118"/>
      <c r="M44" s="118"/>
      <c r="N44" s="118"/>
      <c r="O44" s="118"/>
      <c r="Q44" s="142">
        <f>Q23</f>
        <v>2573050</v>
      </c>
      <c r="R44" s="118"/>
      <c r="S44" s="118"/>
      <c r="T44" s="118"/>
      <c r="U44" s="118"/>
      <c r="V44" s="118"/>
      <c r="W44" s="140"/>
      <c r="X44" s="118"/>
      <c r="Y44" s="118"/>
      <c r="Z44" s="118"/>
      <c r="AA44" s="118"/>
      <c r="AB44" s="128">
        <f>AB23+AB37+AB42</f>
        <v>5433551</v>
      </c>
      <c r="AC44" s="124"/>
      <c r="AD44" s="124"/>
      <c r="AE44" s="124"/>
      <c r="AF44" s="124"/>
      <c r="AG44" s="124"/>
      <c r="AH44" s="141"/>
      <c r="AI44" s="41"/>
      <c r="AJ44" s="41"/>
      <c r="AK44" s="41"/>
      <c r="AL44" s="41"/>
      <c r="AM44" s="130"/>
      <c r="AN44" s="118"/>
      <c r="AO44" s="118"/>
      <c r="AP44" s="118"/>
      <c r="AQ44" s="118"/>
      <c r="AR44" s="118"/>
      <c r="AS44" s="118"/>
      <c r="AT44" s="140" t="s">
        <v>123</v>
      </c>
      <c r="AY44" s="224">
        <f>AY23+AY37+AY42</f>
        <v>0</v>
      </c>
      <c r="BB44" s="118"/>
      <c r="BC44" s="118"/>
      <c r="BD44" s="118"/>
      <c r="BE44" s="118"/>
      <c r="BF44" s="118"/>
      <c r="BG44" s="140"/>
    </row>
    <row r="45" spans="2:59" collapsed="1" x14ac:dyDescent="0.25">
      <c r="E45" s="118"/>
      <c r="F45" s="121"/>
      <c r="G45" s="118"/>
      <c r="H45" s="118"/>
      <c r="I45" s="118"/>
      <c r="J45" s="118"/>
      <c r="K45" s="118"/>
      <c r="L45" s="118"/>
      <c r="M45" s="118"/>
      <c r="N45" s="118"/>
      <c r="O45" s="118"/>
      <c r="Q45" s="118"/>
      <c r="R45" s="118"/>
      <c r="S45" s="118"/>
      <c r="T45" s="118"/>
      <c r="U45" s="118"/>
      <c r="V45" s="118"/>
      <c r="W45" s="118"/>
      <c r="X45" s="118"/>
      <c r="Y45" s="118"/>
      <c r="Z45" s="118"/>
      <c r="AA45" s="118"/>
      <c r="AC45" s="124"/>
      <c r="AD45" s="124"/>
      <c r="AE45" s="124"/>
      <c r="AF45" s="124"/>
      <c r="AG45" s="124"/>
      <c r="AH45" s="124"/>
      <c r="AI45" s="41"/>
      <c r="AJ45" s="41"/>
      <c r="AK45" s="41"/>
      <c r="AL45" s="41"/>
      <c r="AM45" s="126"/>
      <c r="AN45" s="118"/>
      <c r="AO45" s="118"/>
      <c r="AP45" s="118"/>
      <c r="AQ45" s="118"/>
      <c r="AR45" s="118"/>
      <c r="AS45" s="118"/>
      <c r="AT45" s="118"/>
      <c r="BB45" s="118"/>
      <c r="BC45" s="118"/>
      <c r="BD45" s="118"/>
      <c r="BE45" s="118"/>
      <c r="BF45" s="118"/>
      <c r="BG45" s="118"/>
    </row>
    <row r="46" spans="2:59" outlineLevel="1" x14ac:dyDescent="0.25">
      <c r="B46" s="143" t="s">
        <v>124</v>
      </c>
      <c r="C46" s="143"/>
      <c r="D46" s="144"/>
      <c r="L46" s="145" t="s">
        <v>125</v>
      </c>
      <c r="W46" s="145" t="s">
        <v>126</v>
      </c>
      <c r="AL46" s="41"/>
      <c r="AT46" s="145" t="s">
        <v>127</v>
      </c>
      <c r="BG46" s="145" t="s">
        <v>128</v>
      </c>
    </row>
    <row r="47" spans="2:59" outlineLevel="1" x14ac:dyDescent="0.25">
      <c r="B47" s="101"/>
      <c r="C47" s="101" t="s">
        <v>129</v>
      </c>
      <c r="D47" s="89"/>
      <c r="L47" s="110"/>
      <c r="W47" s="110"/>
      <c r="AL47" s="41"/>
      <c r="AT47" s="110"/>
      <c r="BG47" s="110"/>
    </row>
    <row r="48" spans="2:59" outlineLevel="1" x14ac:dyDescent="0.25">
      <c r="B48" s="66"/>
      <c r="C48" s="66"/>
      <c r="D48" s="67" t="s">
        <v>130</v>
      </c>
      <c r="L48" s="110"/>
      <c r="W48" s="110"/>
      <c r="AL48" s="41"/>
      <c r="AT48" s="110"/>
      <c r="BG48" s="110"/>
    </row>
    <row r="49" spans="2:59" outlineLevel="1" x14ac:dyDescent="0.25">
      <c r="B49" s="66"/>
      <c r="C49" s="66"/>
      <c r="D49" s="67" t="s">
        <v>131</v>
      </c>
      <c r="L49" s="110"/>
      <c r="W49" s="110"/>
      <c r="AL49" s="41"/>
      <c r="AT49" s="110"/>
      <c r="BG49" s="110"/>
    </row>
    <row r="50" spans="2:59" outlineLevel="1" x14ac:dyDescent="0.25">
      <c r="B50" s="66"/>
      <c r="C50" s="66"/>
      <c r="D50" s="67" t="s">
        <v>132</v>
      </c>
      <c r="L50" s="110"/>
      <c r="W50" s="110"/>
      <c r="AL50" s="41"/>
      <c r="AT50" s="110"/>
      <c r="BG50" s="110"/>
    </row>
    <row r="51" spans="2:59" outlineLevel="1" x14ac:dyDescent="0.25">
      <c r="B51" s="66"/>
      <c r="C51" s="66"/>
      <c r="D51" s="67" t="s">
        <v>133</v>
      </c>
      <c r="L51" s="110"/>
      <c r="W51" s="110"/>
      <c r="AL51" s="41"/>
      <c r="AT51" s="110"/>
      <c r="BG51" s="110"/>
    </row>
    <row r="52" spans="2:59" outlineLevel="1" x14ac:dyDescent="0.25">
      <c r="B52" s="66"/>
      <c r="C52" s="66"/>
      <c r="D52" s="67" t="s">
        <v>134</v>
      </c>
      <c r="L52" s="110">
        <f>'[1]Balance Sheet'!F11</f>
        <v>0</v>
      </c>
      <c r="W52" s="110"/>
      <c r="AL52" s="41"/>
      <c r="AT52" s="110"/>
      <c r="BG52" s="110"/>
    </row>
    <row r="53" spans="2:59" ht="15.75" outlineLevel="1" thickBot="1" x14ac:dyDescent="0.3">
      <c r="B53" s="66"/>
      <c r="C53" s="101" t="s">
        <v>135</v>
      </c>
      <c r="D53" s="89"/>
      <c r="L53" s="146">
        <f>SUM(L48:L51)</f>
        <v>0</v>
      </c>
      <c r="W53" s="146">
        <f>SUM(W48:W52)</f>
        <v>0</v>
      </c>
      <c r="AL53" s="41"/>
      <c r="AT53" s="146">
        <f>SUM(AT48:AT51)</f>
        <v>0</v>
      </c>
      <c r="BG53" s="146">
        <f>SUM(BG48:BG51)</f>
        <v>0</v>
      </c>
    </row>
    <row r="54" spans="2:59" ht="15.75" outlineLevel="1" thickTop="1" x14ac:dyDescent="0.25">
      <c r="B54" s="66"/>
      <c r="C54" s="66"/>
      <c r="D54" s="67"/>
      <c r="L54" s="110"/>
      <c r="W54" s="110"/>
      <c r="AL54" s="41"/>
      <c r="AT54" s="110"/>
      <c r="BG54" s="110"/>
    </row>
    <row r="55" spans="2:59" outlineLevel="1" x14ac:dyDescent="0.25">
      <c r="B55" s="66"/>
      <c r="C55" s="101" t="s">
        <v>136</v>
      </c>
      <c r="D55" s="89"/>
      <c r="L55" s="110"/>
      <c r="W55" s="110"/>
      <c r="AL55" s="41"/>
      <c r="AT55" s="110"/>
      <c r="BG55" s="110"/>
    </row>
    <row r="56" spans="2:59" outlineLevel="1" x14ac:dyDescent="0.25">
      <c r="B56" s="66"/>
      <c r="C56" s="66"/>
      <c r="D56" s="67" t="s">
        <v>137</v>
      </c>
      <c r="L56" s="110"/>
      <c r="W56" s="110"/>
      <c r="AL56" s="41"/>
      <c r="AT56" s="110"/>
      <c r="BG56" s="110"/>
    </row>
    <row r="57" spans="2:59" outlineLevel="1" x14ac:dyDescent="0.25">
      <c r="B57" s="66"/>
      <c r="C57" s="66"/>
      <c r="D57" s="67" t="s">
        <v>138</v>
      </c>
      <c r="L57" s="110"/>
      <c r="W57" s="110"/>
      <c r="AL57" s="41"/>
      <c r="AT57" s="110"/>
      <c r="BG57" s="110"/>
    </row>
    <row r="58" spans="2:59" outlineLevel="1" x14ac:dyDescent="0.25">
      <c r="B58" s="66"/>
      <c r="C58" s="66"/>
      <c r="D58" s="67" t="s">
        <v>139</v>
      </c>
      <c r="L58" s="110">
        <f>-SUM('[1]Balance Sheet'!F20:F21)</f>
        <v>0</v>
      </c>
      <c r="W58" s="110"/>
      <c r="AL58" s="41"/>
      <c r="AT58" s="110"/>
      <c r="BG58" s="110"/>
    </row>
    <row r="59" spans="2:59" ht="15.75" outlineLevel="1" thickBot="1" x14ac:dyDescent="0.3">
      <c r="B59" s="66"/>
      <c r="C59" s="101" t="s">
        <v>140</v>
      </c>
      <c r="D59" s="89"/>
      <c r="L59" s="146">
        <f>SUM(L56:L58)</f>
        <v>0</v>
      </c>
      <c r="W59" s="146">
        <f>SUM(W56:W58)</f>
        <v>0</v>
      </c>
      <c r="AL59" s="41"/>
      <c r="AT59" s="146">
        <f>SUM(AT56:AT58)</f>
        <v>0</v>
      </c>
      <c r="BG59" s="146">
        <f>SUM(BG56:BG58)</f>
        <v>0</v>
      </c>
    </row>
    <row r="60" spans="2:59" ht="15.75" outlineLevel="1" thickTop="1" x14ac:dyDescent="0.25">
      <c r="B60" s="66"/>
      <c r="C60" s="66"/>
      <c r="D60" s="67"/>
      <c r="L60" s="110"/>
      <c r="W60" s="110"/>
      <c r="AL60" s="41"/>
      <c r="AT60" s="110"/>
      <c r="BG60" s="110"/>
    </row>
    <row r="61" spans="2:59" outlineLevel="1" x14ac:dyDescent="0.25">
      <c r="B61" s="66"/>
      <c r="C61" s="101" t="s">
        <v>141</v>
      </c>
      <c r="D61" s="89"/>
      <c r="L61" s="110">
        <f>+L53+L59</f>
        <v>0</v>
      </c>
      <c r="W61" s="110">
        <f>+W53+W59</f>
        <v>0</v>
      </c>
      <c r="AL61" s="41"/>
      <c r="AT61" s="110">
        <f>+AT53+AT59</f>
        <v>0</v>
      </c>
      <c r="BG61" s="110">
        <f>+BG53+BG59</f>
        <v>0</v>
      </c>
    </row>
    <row r="62" spans="2:59" outlineLevel="1" x14ac:dyDescent="0.25">
      <c r="B62" s="66"/>
      <c r="C62" s="66"/>
      <c r="D62" s="67"/>
      <c r="L62" s="110"/>
      <c r="W62" s="110"/>
      <c r="AL62" s="41"/>
      <c r="AT62" s="110"/>
      <c r="BG62" s="110"/>
    </row>
    <row r="63" spans="2:59" outlineLevel="1" x14ac:dyDescent="0.25">
      <c r="B63" s="66"/>
      <c r="C63" s="101" t="s">
        <v>142</v>
      </c>
      <c r="D63" s="89"/>
      <c r="L63" s="110"/>
      <c r="W63" s="110"/>
      <c r="AL63" s="41"/>
      <c r="AT63" s="110"/>
      <c r="BG63" s="110"/>
    </row>
    <row r="64" spans="2:59" outlineLevel="1" x14ac:dyDescent="0.25">
      <c r="B64" s="66"/>
      <c r="C64" s="66"/>
      <c r="D64" s="67" t="s">
        <v>143</v>
      </c>
      <c r="L64" s="110">
        <f>+L53-L49</f>
        <v>0</v>
      </c>
      <c r="W64" s="110">
        <f>+W53-W49</f>
        <v>0</v>
      </c>
      <c r="AL64" s="41"/>
      <c r="AT64" s="110">
        <f>+AT53</f>
        <v>0</v>
      </c>
      <c r="BG64" s="110">
        <f>+BG53</f>
        <v>0</v>
      </c>
    </row>
    <row r="65" spans="2:59" outlineLevel="1" x14ac:dyDescent="0.25">
      <c r="B65" s="66"/>
      <c r="C65" s="66"/>
      <c r="D65" s="67" t="s">
        <v>137</v>
      </c>
      <c r="L65" s="147">
        <f>+L59</f>
        <v>0</v>
      </c>
      <c r="W65" s="147">
        <f>+W59</f>
        <v>0</v>
      </c>
      <c r="AL65" s="41"/>
      <c r="AT65" s="147">
        <f>+AT59</f>
        <v>0</v>
      </c>
      <c r="BG65" s="147">
        <f>+BG59</f>
        <v>0</v>
      </c>
    </row>
    <row r="66" spans="2:59" outlineLevel="1" x14ac:dyDescent="0.25">
      <c r="B66" s="66"/>
      <c r="C66" s="101" t="s">
        <v>144</v>
      </c>
      <c r="D66" s="89"/>
      <c r="L66" s="110">
        <f>SUM(L64:L65)</f>
        <v>0</v>
      </c>
      <c r="W66" s="110">
        <f>SUM(W64:W65)</f>
        <v>0</v>
      </c>
      <c r="AL66" s="41"/>
      <c r="AT66" s="110">
        <f>SUM(AT64:AT65)</f>
        <v>0</v>
      </c>
      <c r="BG66" s="110">
        <f>SUM(BG64:BG65)</f>
        <v>0</v>
      </c>
    </row>
    <row r="67" spans="2:59" outlineLevel="1" x14ac:dyDescent="0.25">
      <c r="B67" s="66"/>
      <c r="C67" s="66"/>
      <c r="D67" s="67" t="s">
        <v>145</v>
      </c>
      <c r="L67" s="110"/>
      <c r="W67" s="110"/>
      <c r="AL67" s="41"/>
      <c r="AT67" s="110"/>
      <c r="BG67" s="110" t="e">
        <f>-#REF!</f>
        <v>#REF!</v>
      </c>
    </row>
    <row r="68" spans="2:59" outlineLevel="1" x14ac:dyDescent="0.25">
      <c r="B68" s="66"/>
      <c r="C68" s="66"/>
      <c r="D68" s="67" t="s">
        <v>146</v>
      </c>
      <c r="L68" s="147"/>
      <c r="W68" s="147"/>
      <c r="AL68" s="41"/>
      <c r="AT68" s="147"/>
      <c r="BG68" s="147"/>
    </row>
    <row r="69" spans="2:59" ht="15.75" outlineLevel="1" thickBot="1" x14ac:dyDescent="0.3">
      <c r="B69" s="66"/>
      <c r="C69" s="101" t="s">
        <v>147</v>
      </c>
      <c r="D69" s="89"/>
      <c r="L69" s="146">
        <f>SUM(L66:L68)</f>
        <v>0</v>
      </c>
      <c r="W69" s="146">
        <f>SUM(W66:W68)</f>
        <v>0</v>
      </c>
      <c r="AL69" s="41"/>
      <c r="AT69" s="146">
        <f>SUM(AT66:AT68)</f>
        <v>0</v>
      </c>
      <c r="BG69" s="146" t="e">
        <f>SUM(BG66:BG68)</f>
        <v>#REF!</v>
      </c>
    </row>
    <row r="70" spans="2:59" ht="15.75" outlineLevel="1" thickTop="1" x14ac:dyDescent="0.25">
      <c r="AL70" s="41"/>
    </row>
    <row r="71" spans="2:59" outlineLevel="1" x14ac:dyDescent="0.25">
      <c r="L71" s="148">
        <f>+L69-L32</f>
        <v>-3321918.1500000004</v>
      </c>
      <c r="M71" s="149"/>
      <c r="N71" s="149"/>
      <c r="O71" s="149"/>
      <c r="P71" s="149"/>
      <c r="Q71" s="149"/>
      <c r="R71" s="149"/>
      <c r="S71" s="149"/>
      <c r="T71" s="149"/>
      <c r="U71" s="149"/>
      <c r="V71" s="149"/>
      <c r="W71" s="148">
        <f ca="1">+W66-W32</f>
        <v>-4561382.72</v>
      </c>
      <c r="AL71" s="41"/>
      <c r="AT71" s="148">
        <f ca="1">+AT69-AT32</f>
        <v>-5041357.209999999</v>
      </c>
      <c r="BG71" s="150" t="e">
        <f ca="1">+BG69-BG32</f>
        <v>#REF!</v>
      </c>
    </row>
    <row r="72" spans="2:59" outlineLevel="1" x14ac:dyDescent="0.25">
      <c r="W72" s="149"/>
      <c r="AL72" s="41"/>
      <c r="AT72" s="149"/>
      <c r="BG72" s="149">
        <f>3063401-BG23</f>
        <v>3063401</v>
      </c>
    </row>
    <row r="73" spans="2:59" x14ac:dyDescent="0.25">
      <c r="W73" s="149"/>
      <c r="AH73" s="149"/>
      <c r="AL73" s="41"/>
      <c r="AT73" s="149"/>
      <c r="BG73" s="149"/>
    </row>
    <row r="74" spans="2:59" x14ac:dyDescent="0.25">
      <c r="AG74" s="151"/>
    </row>
    <row r="75" spans="2:59" x14ac:dyDescent="0.25">
      <c r="AG75" s="151"/>
      <c r="AH75" s="41"/>
    </row>
    <row r="76" spans="2:59" x14ac:dyDescent="0.25">
      <c r="AG76" s="151"/>
      <c r="AH76" s="41"/>
    </row>
    <row r="77" spans="2:59" x14ac:dyDescent="0.25">
      <c r="AG77" s="41"/>
      <c r="AH77" s="151"/>
    </row>
    <row r="78" spans="2:59" x14ac:dyDescent="0.25">
      <c r="AH78" s="151"/>
    </row>
    <row r="79" spans="2:59" x14ac:dyDescent="0.25">
      <c r="AH79" s="151"/>
    </row>
    <row r="80" spans="2:59" x14ac:dyDescent="0.25">
      <c r="AH80" s="151"/>
    </row>
    <row r="81" spans="34:34" x14ac:dyDescent="0.25">
      <c r="AH81" s="151"/>
    </row>
    <row r="82" spans="34:34" x14ac:dyDescent="0.25">
      <c r="AH82" s="151"/>
    </row>
    <row r="83" spans="34:34" x14ac:dyDescent="0.25">
      <c r="AH83" s="151"/>
    </row>
    <row r="84" spans="34:34" x14ac:dyDescent="0.25">
      <c r="AH84" s="151"/>
    </row>
    <row r="85" spans="34:34" x14ac:dyDescent="0.25">
      <c r="AH85" s="151"/>
    </row>
    <row r="86" spans="34:34" x14ac:dyDescent="0.25">
      <c r="AH86" s="151"/>
    </row>
    <row r="87" spans="34:34" x14ac:dyDescent="0.25">
      <c r="AH87" s="151"/>
    </row>
    <row r="88" spans="34:34" x14ac:dyDescent="0.25">
      <c r="AH88" s="151"/>
    </row>
    <row r="89" spans="34:34" x14ac:dyDescent="0.25">
      <c r="AH89" s="151"/>
    </row>
    <row r="90" spans="34:34" x14ac:dyDescent="0.25">
      <c r="AH90" s="151"/>
    </row>
    <row r="91" spans="34:34" x14ac:dyDescent="0.25">
      <c r="AH91" s="151"/>
    </row>
    <row r="92" spans="34:34" x14ac:dyDescent="0.25">
      <c r="AH92" s="151"/>
    </row>
    <row r="93" spans="34:34" x14ac:dyDescent="0.25">
      <c r="AH93" s="41"/>
    </row>
    <row r="94" spans="34:34" x14ac:dyDescent="0.25">
      <c r="AH94" s="152"/>
    </row>
    <row r="95" spans="34:34" x14ac:dyDescent="0.25">
      <c r="AH95" s="153"/>
    </row>
    <row r="96" spans="34:34" x14ac:dyDescent="0.25">
      <c r="AH96" s="41"/>
    </row>
    <row r="97" spans="34:34" x14ac:dyDescent="0.25">
      <c r="AH97" s="41"/>
    </row>
    <row r="98" spans="34:34" x14ac:dyDescent="0.25">
      <c r="AH98" s="41"/>
    </row>
    <row r="99" spans="34:34" x14ac:dyDescent="0.25">
      <c r="AH99" s="41"/>
    </row>
    <row r="100" spans="34:34" x14ac:dyDescent="0.25">
      <c r="AH100" s="41"/>
    </row>
    <row r="101" spans="34:34" x14ac:dyDescent="0.25">
      <c r="AH101" s="41"/>
    </row>
    <row r="102" spans="34:34" x14ac:dyDescent="0.25">
      <c r="AH102" s="41"/>
    </row>
    <row r="103" spans="34:34" x14ac:dyDescent="0.25">
      <c r="AH103" s="41"/>
    </row>
  </sheetData>
  <mergeCells count="10">
    <mergeCell ref="AU6:AV6"/>
    <mergeCell ref="AZ6:BA6"/>
    <mergeCell ref="BH6:BI6"/>
    <mergeCell ref="F5:L5"/>
    <mergeCell ref="Q5:W5"/>
    <mergeCell ref="AB5:AK5"/>
    <mergeCell ref="M6:N6"/>
    <mergeCell ref="X6:Y6"/>
    <mergeCell ref="AI6:AJ6"/>
    <mergeCell ref="AM5:AW5"/>
  </mergeCells>
  <pageMargins left="0.7" right="0.7" top="0.75" bottom="0.75" header="0.3" footer="0.3"/>
  <pageSetup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Z355"/>
  <sheetViews>
    <sheetView topLeftCell="A7" zoomScale="110" zoomScaleNormal="110" workbookViewId="0">
      <selection activeCell="AJ7" sqref="AJ7:AJ206"/>
    </sheetView>
  </sheetViews>
  <sheetFormatPr defaultRowHeight="12.75" outlineLevelCol="1" x14ac:dyDescent="0.2"/>
  <cols>
    <col min="1" max="1" width="9.140625" style="170"/>
    <col min="2" max="2" width="20.42578125" style="170" bestFit="1" customWidth="1"/>
    <col min="3" max="3" width="9.42578125" style="214" hidden="1" customWidth="1" outlineLevel="1"/>
    <col min="4" max="4" width="8" style="214" hidden="1" customWidth="1" outlineLevel="1"/>
    <col min="5" max="5" width="12.5703125" style="214" hidden="1" customWidth="1" outlineLevel="1"/>
    <col min="6" max="6" width="8.7109375" style="170" hidden="1" customWidth="1" outlineLevel="1"/>
    <col min="7" max="7" width="54.28515625" style="170" customWidth="1" collapsed="1"/>
    <col min="8" max="8" width="11.85546875" style="170" hidden="1" customWidth="1" outlineLevel="1"/>
    <col min="9" max="9" width="11.85546875" style="170" bestFit="1" customWidth="1" collapsed="1"/>
    <col min="10" max="13" width="15.42578125" style="170" hidden="1" customWidth="1" outlineLevel="1"/>
    <col min="14" max="14" width="10.5703125" style="170" bestFit="1" customWidth="1" collapsed="1"/>
    <col min="15" max="15" width="13.28515625" style="170" hidden="1" customWidth="1" outlineLevel="1"/>
    <col min="16" max="16" width="2.7109375" style="170" customWidth="1" collapsed="1"/>
    <col min="17" max="17" width="12.42578125" style="170" hidden="1" customWidth="1" outlineLevel="1"/>
    <col min="18" max="18" width="11.85546875" style="170" bestFit="1" customWidth="1" collapsed="1"/>
    <col min="19" max="22" width="15.42578125" style="170" hidden="1" customWidth="1" outlineLevel="1"/>
    <col min="23" max="23" width="10.5703125" style="170" bestFit="1" customWidth="1" collapsed="1"/>
    <col min="24" max="24" width="17.7109375" style="170" hidden="1" customWidth="1" outlineLevel="1"/>
    <col min="25" max="25" width="2.7109375" style="170" customWidth="1" collapsed="1"/>
    <col min="26" max="26" width="12.42578125" style="170" hidden="1" customWidth="1" outlineLevel="1"/>
    <col min="27" max="27" width="11.85546875" style="170" bestFit="1" customWidth="1" collapsed="1"/>
    <col min="28" max="30" width="15.42578125" style="170" hidden="1" customWidth="1" outlineLevel="1"/>
    <col min="31" max="31" width="15.42578125" style="214" hidden="1" customWidth="1" outlineLevel="1"/>
    <col min="32" max="32" width="13.7109375" style="170" bestFit="1" customWidth="1" collapsed="1"/>
    <col min="33" max="33" width="13.28515625" style="170" hidden="1" customWidth="1" outlineLevel="1"/>
    <col min="34" max="34" width="2.7109375" style="170" customWidth="1" collapsed="1"/>
    <col min="35" max="35" width="10.7109375" style="170" hidden="1" customWidth="1" outlineLevel="1"/>
    <col min="36" max="36" width="11.85546875" style="170" bestFit="1" customWidth="1" collapsed="1"/>
    <col min="37" max="37" width="11.85546875" style="170" customWidth="1"/>
    <col min="38" max="41" width="15.42578125" style="170" hidden="1" customWidth="1" outlineLevel="1"/>
    <col min="42" max="42" width="34.140625" style="170" customWidth="1" collapsed="1"/>
    <col min="43" max="43" width="17.7109375" style="170" hidden="1" customWidth="1" outlineLevel="1"/>
    <col min="44" max="44" width="2.7109375" style="170" customWidth="1" collapsed="1"/>
    <col min="45" max="45" width="10.7109375" style="170" customWidth="1"/>
    <col min="46" max="46" width="11.85546875" style="170" bestFit="1" customWidth="1"/>
    <col min="47" max="50" width="15.42578125" style="170" bestFit="1" customWidth="1"/>
    <col min="51" max="51" width="13.7109375" style="170" bestFit="1" customWidth="1"/>
    <col min="52" max="52" width="17.7109375" style="170" bestFit="1" customWidth="1"/>
    <col min="53" max="258" width="9.140625" style="170"/>
    <col min="259" max="259" width="20.42578125" style="170" bestFit="1" customWidth="1"/>
    <col min="260" max="263" width="0" style="170" hidden="1" customWidth="1"/>
    <col min="264" max="264" width="54.28515625" style="170" customWidth="1"/>
    <col min="265" max="265" width="0" style="170" hidden="1" customWidth="1"/>
    <col min="266" max="266" width="11.85546875" style="170" bestFit="1" customWidth="1"/>
    <col min="267" max="270" width="0" style="170" hidden="1" customWidth="1"/>
    <col min="271" max="271" width="10.5703125" style="170" bestFit="1" customWidth="1"/>
    <col min="272" max="272" width="0" style="170" hidden="1" customWidth="1"/>
    <col min="273" max="273" width="2.7109375" style="170" customWidth="1"/>
    <col min="274" max="274" width="0" style="170" hidden="1" customWidth="1"/>
    <col min="275" max="275" width="11.85546875" style="170" bestFit="1" customWidth="1"/>
    <col min="276" max="279" width="0" style="170" hidden="1" customWidth="1"/>
    <col min="280" max="280" width="10.5703125" style="170" bestFit="1" customWidth="1"/>
    <col min="281" max="281" width="0" style="170" hidden="1" customWidth="1"/>
    <col min="282" max="282" width="2.7109375" style="170" customWidth="1"/>
    <col min="283" max="283" width="12.42578125" style="170" bestFit="1" customWidth="1"/>
    <col min="284" max="284" width="11.85546875" style="170" bestFit="1" customWidth="1"/>
    <col min="285" max="288" width="15.42578125" style="170" bestFit="1" customWidth="1"/>
    <col min="289" max="289" width="13.7109375" style="170" bestFit="1" customWidth="1"/>
    <col min="290" max="290" width="13.28515625" style="170" bestFit="1" customWidth="1"/>
    <col min="291" max="291" width="2.7109375" style="170" customWidth="1"/>
    <col min="292" max="292" width="10.7109375" style="170" customWidth="1"/>
    <col min="293" max="293" width="11.85546875" style="170" bestFit="1" customWidth="1"/>
    <col min="294" max="297" width="15.42578125" style="170" bestFit="1" customWidth="1"/>
    <col min="298" max="298" width="13.7109375" style="170" bestFit="1" customWidth="1"/>
    <col min="299" max="299" width="17.7109375" style="170" bestFit="1" customWidth="1"/>
    <col min="300" max="514" width="9.140625" style="170"/>
    <col min="515" max="515" width="20.42578125" style="170" bestFit="1" customWidth="1"/>
    <col min="516" max="519" width="0" style="170" hidden="1" customWidth="1"/>
    <col min="520" max="520" width="54.28515625" style="170" customWidth="1"/>
    <col min="521" max="521" width="0" style="170" hidden="1" customWidth="1"/>
    <col min="522" max="522" width="11.85546875" style="170" bestFit="1" customWidth="1"/>
    <col min="523" max="526" width="0" style="170" hidden="1" customWidth="1"/>
    <col min="527" max="527" width="10.5703125" style="170" bestFit="1" customWidth="1"/>
    <col min="528" max="528" width="0" style="170" hidden="1" customWidth="1"/>
    <col min="529" max="529" width="2.7109375" style="170" customWidth="1"/>
    <col min="530" max="530" width="0" style="170" hidden="1" customWidth="1"/>
    <col min="531" max="531" width="11.85546875" style="170" bestFit="1" customWidth="1"/>
    <col min="532" max="535" width="0" style="170" hidden="1" customWidth="1"/>
    <col min="536" max="536" width="10.5703125" style="170" bestFit="1" customWidth="1"/>
    <col min="537" max="537" width="0" style="170" hidden="1" customWidth="1"/>
    <col min="538" max="538" width="2.7109375" style="170" customWidth="1"/>
    <col min="539" max="539" width="12.42578125" style="170" bestFit="1" customWidth="1"/>
    <col min="540" max="540" width="11.85546875" style="170" bestFit="1" customWidth="1"/>
    <col min="541" max="544" width="15.42578125" style="170" bestFit="1" customWidth="1"/>
    <col min="545" max="545" width="13.7109375" style="170" bestFit="1" customWidth="1"/>
    <col min="546" max="546" width="13.28515625" style="170" bestFit="1" customWidth="1"/>
    <col min="547" max="547" width="2.7109375" style="170" customWidth="1"/>
    <col min="548" max="548" width="10.7109375" style="170" customWidth="1"/>
    <col min="549" max="549" width="11.85546875" style="170" bestFit="1" customWidth="1"/>
    <col min="550" max="553" width="15.42578125" style="170" bestFit="1" customWidth="1"/>
    <col min="554" max="554" width="13.7109375" style="170" bestFit="1" customWidth="1"/>
    <col min="555" max="555" width="17.7109375" style="170" bestFit="1" customWidth="1"/>
    <col min="556" max="770" width="9.140625" style="170"/>
    <col min="771" max="771" width="20.42578125" style="170" bestFit="1" customWidth="1"/>
    <col min="772" max="775" width="0" style="170" hidden="1" customWidth="1"/>
    <col min="776" max="776" width="54.28515625" style="170" customWidth="1"/>
    <col min="777" max="777" width="0" style="170" hidden="1" customWidth="1"/>
    <col min="778" max="778" width="11.85546875" style="170" bestFit="1" customWidth="1"/>
    <col min="779" max="782" width="0" style="170" hidden="1" customWidth="1"/>
    <col min="783" max="783" width="10.5703125" style="170" bestFit="1" customWidth="1"/>
    <col min="784" max="784" width="0" style="170" hidden="1" customWidth="1"/>
    <col min="785" max="785" width="2.7109375" style="170" customWidth="1"/>
    <col min="786" max="786" width="0" style="170" hidden="1" customWidth="1"/>
    <col min="787" max="787" width="11.85546875" style="170" bestFit="1" customWidth="1"/>
    <col min="788" max="791" width="0" style="170" hidden="1" customWidth="1"/>
    <col min="792" max="792" width="10.5703125" style="170" bestFit="1" customWidth="1"/>
    <col min="793" max="793" width="0" style="170" hidden="1" customWidth="1"/>
    <col min="794" max="794" width="2.7109375" style="170" customWidth="1"/>
    <col min="795" max="795" width="12.42578125" style="170" bestFit="1" customWidth="1"/>
    <col min="796" max="796" width="11.85546875" style="170" bestFit="1" customWidth="1"/>
    <col min="797" max="800" width="15.42578125" style="170" bestFit="1" customWidth="1"/>
    <col min="801" max="801" width="13.7109375" style="170" bestFit="1" customWidth="1"/>
    <col min="802" max="802" width="13.28515625" style="170" bestFit="1" customWidth="1"/>
    <col min="803" max="803" width="2.7109375" style="170" customWidth="1"/>
    <col min="804" max="804" width="10.7109375" style="170" customWidth="1"/>
    <col min="805" max="805" width="11.85546875" style="170" bestFit="1" customWidth="1"/>
    <col min="806" max="809" width="15.42578125" style="170" bestFit="1" customWidth="1"/>
    <col min="810" max="810" width="13.7109375" style="170" bestFit="1" customWidth="1"/>
    <col min="811" max="811" width="17.7109375" style="170" bestFit="1" customWidth="1"/>
    <col min="812" max="1026" width="9.140625" style="170"/>
    <col min="1027" max="1027" width="20.42578125" style="170" bestFit="1" customWidth="1"/>
    <col min="1028" max="1031" width="0" style="170" hidden="1" customWidth="1"/>
    <col min="1032" max="1032" width="54.28515625" style="170" customWidth="1"/>
    <col min="1033" max="1033" width="0" style="170" hidden="1" customWidth="1"/>
    <col min="1034" max="1034" width="11.85546875" style="170" bestFit="1" customWidth="1"/>
    <col min="1035" max="1038" width="0" style="170" hidden="1" customWidth="1"/>
    <col min="1039" max="1039" width="10.5703125" style="170" bestFit="1" customWidth="1"/>
    <col min="1040" max="1040" width="0" style="170" hidden="1" customWidth="1"/>
    <col min="1041" max="1041" width="2.7109375" style="170" customWidth="1"/>
    <col min="1042" max="1042" width="0" style="170" hidden="1" customWidth="1"/>
    <col min="1043" max="1043" width="11.85546875" style="170" bestFit="1" customWidth="1"/>
    <col min="1044" max="1047" width="0" style="170" hidden="1" customWidth="1"/>
    <col min="1048" max="1048" width="10.5703125" style="170" bestFit="1" customWidth="1"/>
    <col min="1049" max="1049" width="0" style="170" hidden="1" customWidth="1"/>
    <col min="1050" max="1050" width="2.7109375" style="170" customWidth="1"/>
    <col min="1051" max="1051" width="12.42578125" style="170" bestFit="1" customWidth="1"/>
    <col min="1052" max="1052" width="11.85546875" style="170" bestFit="1" customWidth="1"/>
    <col min="1053" max="1056" width="15.42578125" style="170" bestFit="1" customWidth="1"/>
    <col min="1057" max="1057" width="13.7109375" style="170" bestFit="1" customWidth="1"/>
    <col min="1058" max="1058" width="13.28515625" style="170" bestFit="1" customWidth="1"/>
    <col min="1059" max="1059" width="2.7109375" style="170" customWidth="1"/>
    <col min="1060" max="1060" width="10.7109375" style="170" customWidth="1"/>
    <col min="1061" max="1061" width="11.85546875" style="170" bestFit="1" customWidth="1"/>
    <col min="1062" max="1065" width="15.42578125" style="170" bestFit="1" customWidth="1"/>
    <col min="1066" max="1066" width="13.7109375" style="170" bestFit="1" customWidth="1"/>
    <col min="1067" max="1067" width="17.7109375" style="170" bestFit="1" customWidth="1"/>
    <col min="1068" max="1282" width="9.140625" style="170"/>
    <col min="1283" max="1283" width="20.42578125" style="170" bestFit="1" customWidth="1"/>
    <col min="1284" max="1287" width="0" style="170" hidden="1" customWidth="1"/>
    <col min="1288" max="1288" width="54.28515625" style="170" customWidth="1"/>
    <col min="1289" max="1289" width="0" style="170" hidden="1" customWidth="1"/>
    <col min="1290" max="1290" width="11.85546875" style="170" bestFit="1" customWidth="1"/>
    <col min="1291" max="1294" width="0" style="170" hidden="1" customWidth="1"/>
    <col min="1295" max="1295" width="10.5703125" style="170" bestFit="1" customWidth="1"/>
    <col min="1296" max="1296" width="0" style="170" hidden="1" customWidth="1"/>
    <col min="1297" max="1297" width="2.7109375" style="170" customWidth="1"/>
    <col min="1298" max="1298" width="0" style="170" hidden="1" customWidth="1"/>
    <col min="1299" max="1299" width="11.85546875" style="170" bestFit="1" customWidth="1"/>
    <col min="1300" max="1303" width="0" style="170" hidden="1" customWidth="1"/>
    <col min="1304" max="1304" width="10.5703125" style="170" bestFit="1" customWidth="1"/>
    <col min="1305" max="1305" width="0" style="170" hidden="1" customWidth="1"/>
    <col min="1306" max="1306" width="2.7109375" style="170" customWidth="1"/>
    <col min="1307" max="1307" width="12.42578125" style="170" bestFit="1" customWidth="1"/>
    <col min="1308" max="1308" width="11.85546875" style="170" bestFit="1" customWidth="1"/>
    <col min="1309" max="1312" width="15.42578125" style="170" bestFit="1" customWidth="1"/>
    <col min="1313" max="1313" width="13.7109375" style="170" bestFit="1" customWidth="1"/>
    <col min="1314" max="1314" width="13.28515625" style="170" bestFit="1" customWidth="1"/>
    <col min="1315" max="1315" width="2.7109375" style="170" customWidth="1"/>
    <col min="1316" max="1316" width="10.7109375" style="170" customWidth="1"/>
    <col min="1317" max="1317" width="11.85546875" style="170" bestFit="1" customWidth="1"/>
    <col min="1318" max="1321" width="15.42578125" style="170" bestFit="1" customWidth="1"/>
    <col min="1322" max="1322" width="13.7109375" style="170" bestFit="1" customWidth="1"/>
    <col min="1323" max="1323" width="17.7109375" style="170" bestFit="1" customWidth="1"/>
    <col min="1324" max="1538" width="9.140625" style="170"/>
    <col min="1539" max="1539" width="20.42578125" style="170" bestFit="1" customWidth="1"/>
    <col min="1540" max="1543" width="0" style="170" hidden="1" customWidth="1"/>
    <col min="1544" max="1544" width="54.28515625" style="170" customWidth="1"/>
    <col min="1545" max="1545" width="0" style="170" hidden="1" customWidth="1"/>
    <col min="1546" max="1546" width="11.85546875" style="170" bestFit="1" customWidth="1"/>
    <col min="1547" max="1550" width="0" style="170" hidden="1" customWidth="1"/>
    <col min="1551" max="1551" width="10.5703125" style="170" bestFit="1" customWidth="1"/>
    <col min="1552" max="1552" width="0" style="170" hidden="1" customWidth="1"/>
    <col min="1553" max="1553" width="2.7109375" style="170" customWidth="1"/>
    <col min="1554" max="1554" width="0" style="170" hidden="1" customWidth="1"/>
    <col min="1555" max="1555" width="11.85546875" style="170" bestFit="1" customWidth="1"/>
    <col min="1556" max="1559" width="0" style="170" hidden="1" customWidth="1"/>
    <col min="1560" max="1560" width="10.5703125" style="170" bestFit="1" customWidth="1"/>
    <col min="1561" max="1561" width="0" style="170" hidden="1" customWidth="1"/>
    <col min="1562" max="1562" width="2.7109375" style="170" customWidth="1"/>
    <col min="1563" max="1563" width="12.42578125" style="170" bestFit="1" customWidth="1"/>
    <col min="1564" max="1564" width="11.85546875" style="170" bestFit="1" customWidth="1"/>
    <col min="1565" max="1568" width="15.42578125" style="170" bestFit="1" customWidth="1"/>
    <col min="1569" max="1569" width="13.7109375" style="170" bestFit="1" customWidth="1"/>
    <col min="1570" max="1570" width="13.28515625" style="170" bestFit="1" customWidth="1"/>
    <col min="1571" max="1571" width="2.7109375" style="170" customWidth="1"/>
    <col min="1572" max="1572" width="10.7109375" style="170" customWidth="1"/>
    <col min="1573" max="1573" width="11.85546875" style="170" bestFit="1" customWidth="1"/>
    <col min="1574" max="1577" width="15.42578125" style="170" bestFit="1" customWidth="1"/>
    <col min="1578" max="1578" width="13.7109375" style="170" bestFit="1" customWidth="1"/>
    <col min="1579" max="1579" width="17.7109375" style="170" bestFit="1" customWidth="1"/>
    <col min="1580" max="1794" width="9.140625" style="170"/>
    <col min="1795" max="1795" width="20.42578125" style="170" bestFit="1" customWidth="1"/>
    <col min="1796" max="1799" width="0" style="170" hidden="1" customWidth="1"/>
    <col min="1800" max="1800" width="54.28515625" style="170" customWidth="1"/>
    <col min="1801" max="1801" width="0" style="170" hidden="1" customWidth="1"/>
    <col min="1802" max="1802" width="11.85546875" style="170" bestFit="1" customWidth="1"/>
    <col min="1803" max="1806" width="0" style="170" hidden="1" customWidth="1"/>
    <col min="1807" max="1807" width="10.5703125" style="170" bestFit="1" customWidth="1"/>
    <col min="1808" max="1808" width="0" style="170" hidden="1" customWidth="1"/>
    <col min="1809" max="1809" width="2.7109375" style="170" customWidth="1"/>
    <col min="1810" max="1810" width="0" style="170" hidden="1" customWidth="1"/>
    <col min="1811" max="1811" width="11.85546875" style="170" bestFit="1" customWidth="1"/>
    <col min="1812" max="1815" width="0" style="170" hidden="1" customWidth="1"/>
    <col min="1816" max="1816" width="10.5703125" style="170" bestFit="1" customWidth="1"/>
    <col min="1817" max="1817" width="0" style="170" hidden="1" customWidth="1"/>
    <col min="1818" max="1818" width="2.7109375" style="170" customWidth="1"/>
    <col min="1819" max="1819" width="12.42578125" style="170" bestFit="1" customWidth="1"/>
    <col min="1820" max="1820" width="11.85546875" style="170" bestFit="1" customWidth="1"/>
    <col min="1821" max="1824" width="15.42578125" style="170" bestFit="1" customWidth="1"/>
    <col min="1825" max="1825" width="13.7109375" style="170" bestFit="1" customWidth="1"/>
    <col min="1826" max="1826" width="13.28515625" style="170" bestFit="1" customWidth="1"/>
    <col min="1827" max="1827" width="2.7109375" style="170" customWidth="1"/>
    <col min="1828" max="1828" width="10.7109375" style="170" customWidth="1"/>
    <col min="1829" max="1829" width="11.85546875" style="170" bestFit="1" customWidth="1"/>
    <col min="1830" max="1833" width="15.42578125" style="170" bestFit="1" customWidth="1"/>
    <col min="1834" max="1834" width="13.7109375" style="170" bestFit="1" customWidth="1"/>
    <col min="1835" max="1835" width="17.7109375" style="170" bestFit="1" customWidth="1"/>
    <col min="1836" max="2050" width="9.140625" style="170"/>
    <col min="2051" max="2051" width="20.42578125" style="170" bestFit="1" customWidth="1"/>
    <col min="2052" max="2055" width="0" style="170" hidden="1" customWidth="1"/>
    <col min="2056" max="2056" width="54.28515625" style="170" customWidth="1"/>
    <col min="2057" max="2057" width="0" style="170" hidden="1" customWidth="1"/>
    <col min="2058" max="2058" width="11.85546875" style="170" bestFit="1" customWidth="1"/>
    <col min="2059" max="2062" width="0" style="170" hidden="1" customWidth="1"/>
    <col min="2063" max="2063" width="10.5703125" style="170" bestFit="1" customWidth="1"/>
    <col min="2064" max="2064" width="0" style="170" hidden="1" customWidth="1"/>
    <col min="2065" max="2065" width="2.7109375" style="170" customWidth="1"/>
    <col min="2066" max="2066" width="0" style="170" hidden="1" customWidth="1"/>
    <col min="2067" max="2067" width="11.85546875" style="170" bestFit="1" customWidth="1"/>
    <col min="2068" max="2071" width="0" style="170" hidden="1" customWidth="1"/>
    <col min="2072" max="2072" width="10.5703125" style="170" bestFit="1" customWidth="1"/>
    <col min="2073" max="2073" width="0" style="170" hidden="1" customWidth="1"/>
    <col min="2074" max="2074" width="2.7109375" style="170" customWidth="1"/>
    <col min="2075" max="2075" width="12.42578125" style="170" bestFit="1" customWidth="1"/>
    <col min="2076" max="2076" width="11.85546875" style="170" bestFit="1" customWidth="1"/>
    <col min="2077" max="2080" width="15.42578125" style="170" bestFit="1" customWidth="1"/>
    <col min="2081" max="2081" width="13.7109375" style="170" bestFit="1" customWidth="1"/>
    <col min="2082" max="2082" width="13.28515625" style="170" bestFit="1" customWidth="1"/>
    <col min="2083" max="2083" width="2.7109375" style="170" customWidth="1"/>
    <col min="2084" max="2084" width="10.7109375" style="170" customWidth="1"/>
    <col min="2085" max="2085" width="11.85546875" style="170" bestFit="1" customWidth="1"/>
    <col min="2086" max="2089" width="15.42578125" style="170" bestFit="1" customWidth="1"/>
    <col min="2090" max="2090" width="13.7109375" style="170" bestFit="1" customWidth="1"/>
    <col min="2091" max="2091" width="17.7109375" style="170" bestFit="1" customWidth="1"/>
    <col min="2092" max="2306" width="9.140625" style="170"/>
    <col min="2307" max="2307" width="20.42578125" style="170" bestFit="1" customWidth="1"/>
    <col min="2308" max="2311" width="0" style="170" hidden="1" customWidth="1"/>
    <col min="2312" max="2312" width="54.28515625" style="170" customWidth="1"/>
    <col min="2313" max="2313" width="0" style="170" hidden="1" customWidth="1"/>
    <col min="2314" max="2314" width="11.85546875" style="170" bestFit="1" customWidth="1"/>
    <col min="2315" max="2318" width="0" style="170" hidden="1" customWidth="1"/>
    <col min="2319" max="2319" width="10.5703125" style="170" bestFit="1" customWidth="1"/>
    <col min="2320" max="2320" width="0" style="170" hidden="1" customWidth="1"/>
    <col min="2321" max="2321" width="2.7109375" style="170" customWidth="1"/>
    <col min="2322" max="2322" width="0" style="170" hidden="1" customWidth="1"/>
    <col min="2323" max="2323" width="11.85546875" style="170" bestFit="1" customWidth="1"/>
    <col min="2324" max="2327" width="0" style="170" hidden="1" customWidth="1"/>
    <col min="2328" max="2328" width="10.5703125" style="170" bestFit="1" customWidth="1"/>
    <col min="2329" max="2329" width="0" style="170" hidden="1" customWidth="1"/>
    <col min="2330" max="2330" width="2.7109375" style="170" customWidth="1"/>
    <col min="2331" max="2331" width="12.42578125" style="170" bestFit="1" customWidth="1"/>
    <col min="2332" max="2332" width="11.85546875" style="170" bestFit="1" customWidth="1"/>
    <col min="2333" max="2336" width="15.42578125" style="170" bestFit="1" customWidth="1"/>
    <col min="2337" max="2337" width="13.7109375" style="170" bestFit="1" customWidth="1"/>
    <col min="2338" max="2338" width="13.28515625" style="170" bestFit="1" customWidth="1"/>
    <col min="2339" max="2339" width="2.7109375" style="170" customWidth="1"/>
    <col min="2340" max="2340" width="10.7109375" style="170" customWidth="1"/>
    <col min="2341" max="2341" width="11.85546875" style="170" bestFit="1" customWidth="1"/>
    <col min="2342" max="2345" width="15.42578125" style="170" bestFit="1" customWidth="1"/>
    <col min="2346" max="2346" width="13.7109375" style="170" bestFit="1" customWidth="1"/>
    <col min="2347" max="2347" width="17.7109375" style="170" bestFit="1" customWidth="1"/>
    <col min="2348" max="2562" width="9.140625" style="170"/>
    <col min="2563" max="2563" width="20.42578125" style="170" bestFit="1" customWidth="1"/>
    <col min="2564" max="2567" width="0" style="170" hidden="1" customWidth="1"/>
    <col min="2568" max="2568" width="54.28515625" style="170" customWidth="1"/>
    <col min="2569" max="2569" width="0" style="170" hidden="1" customWidth="1"/>
    <col min="2570" max="2570" width="11.85546875" style="170" bestFit="1" customWidth="1"/>
    <col min="2571" max="2574" width="0" style="170" hidden="1" customWidth="1"/>
    <col min="2575" max="2575" width="10.5703125" style="170" bestFit="1" customWidth="1"/>
    <col min="2576" max="2576" width="0" style="170" hidden="1" customWidth="1"/>
    <col min="2577" max="2577" width="2.7109375" style="170" customWidth="1"/>
    <col min="2578" max="2578" width="0" style="170" hidden="1" customWidth="1"/>
    <col min="2579" max="2579" width="11.85546875" style="170" bestFit="1" customWidth="1"/>
    <col min="2580" max="2583" width="0" style="170" hidden="1" customWidth="1"/>
    <col min="2584" max="2584" width="10.5703125" style="170" bestFit="1" customWidth="1"/>
    <col min="2585" max="2585" width="0" style="170" hidden="1" customWidth="1"/>
    <col min="2586" max="2586" width="2.7109375" style="170" customWidth="1"/>
    <col min="2587" max="2587" width="12.42578125" style="170" bestFit="1" customWidth="1"/>
    <col min="2588" max="2588" width="11.85546875" style="170" bestFit="1" customWidth="1"/>
    <col min="2589" max="2592" width="15.42578125" style="170" bestFit="1" customWidth="1"/>
    <col min="2593" max="2593" width="13.7109375" style="170" bestFit="1" customWidth="1"/>
    <col min="2594" max="2594" width="13.28515625" style="170" bestFit="1" customWidth="1"/>
    <col min="2595" max="2595" width="2.7109375" style="170" customWidth="1"/>
    <col min="2596" max="2596" width="10.7109375" style="170" customWidth="1"/>
    <col min="2597" max="2597" width="11.85546875" style="170" bestFit="1" customWidth="1"/>
    <col min="2598" max="2601" width="15.42578125" style="170" bestFit="1" customWidth="1"/>
    <col min="2602" max="2602" width="13.7109375" style="170" bestFit="1" customWidth="1"/>
    <col min="2603" max="2603" width="17.7109375" style="170" bestFit="1" customWidth="1"/>
    <col min="2604" max="2818" width="9.140625" style="170"/>
    <col min="2819" max="2819" width="20.42578125" style="170" bestFit="1" customWidth="1"/>
    <col min="2820" max="2823" width="0" style="170" hidden="1" customWidth="1"/>
    <col min="2824" max="2824" width="54.28515625" style="170" customWidth="1"/>
    <col min="2825" max="2825" width="0" style="170" hidden="1" customWidth="1"/>
    <col min="2826" max="2826" width="11.85546875" style="170" bestFit="1" customWidth="1"/>
    <col min="2827" max="2830" width="0" style="170" hidden="1" customWidth="1"/>
    <col min="2831" max="2831" width="10.5703125" style="170" bestFit="1" customWidth="1"/>
    <col min="2832" max="2832" width="0" style="170" hidden="1" customWidth="1"/>
    <col min="2833" max="2833" width="2.7109375" style="170" customWidth="1"/>
    <col min="2834" max="2834" width="0" style="170" hidden="1" customWidth="1"/>
    <col min="2835" max="2835" width="11.85546875" style="170" bestFit="1" customWidth="1"/>
    <col min="2836" max="2839" width="0" style="170" hidden="1" customWidth="1"/>
    <col min="2840" max="2840" width="10.5703125" style="170" bestFit="1" customWidth="1"/>
    <col min="2841" max="2841" width="0" style="170" hidden="1" customWidth="1"/>
    <col min="2842" max="2842" width="2.7109375" style="170" customWidth="1"/>
    <col min="2843" max="2843" width="12.42578125" style="170" bestFit="1" customWidth="1"/>
    <col min="2844" max="2844" width="11.85546875" style="170" bestFit="1" customWidth="1"/>
    <col min="2845" max="2848" width="15.42578125" style="170" bestFit="1" customWidth="1"/>
    <col min="2849" max="2849" width="13.7109375" style="170" bestFit="1" customWidth="1"/>
    <col min="2850" max="2850" width="13.28515625" style="170" bestFit="1" customWidth="1"/>
    <col min="2851" max="2851" width="2.7109375" style="170" customWidth="1"/>
    <col min="2852" max="2852" width="10.7109375" style="170" customWidth="1"/>
    <col min="2853" max="2853" width="11.85546875" style="170" bestFit="1" customWidth="1"/>
    <col min="2854" max="2857" width="15.42578125" style="170" bestFit="1" customWidth="1"/>
    <col min="2858" max="2858" width="13.7109375" style="170" bestFit="1" customWidth="1"/>
    <col min="2859" max="2859" width="17.7109375" style="170" bestFit="1" customWidth="1"/>
    <col min="2860" max="3074" width="9.140625" style="170"/>
    <col min="3075" max="3075" width="20.42578125" style="170" bestFit="1" customWidth="1"/>
    <col min="3076" max="3079" width="0" style="170" hidden="1" customWidth="1"/>
    <col min="3080" max="3080" width="54.28515625" style="170" customWidth="1"/>
    <col min="3081" max="3081" width="0" style="170" hidden="1" customWidth="1"/>
    <col min="3082" max="3082" width="11.85546875" style="170" bestFit="1" customWidth="1"/>
    <col min="3083" max="3086" width="0" style="170" hidden="1" customWidth="1"/>
    <col min="3087" max="3087" width="10.5703125" style="170" bestFit="1" customWidth="1"/>
    <col min="3088" max="3088" width="0" style="170" hidden="1" customWidth="1"/>
    <col min="3089" max="3089" width="2.7109375" style="170" customWidth="1"/>
    <col min="3090" max="3090" width="0" style="170" hidden="1" customWidth="1"/>
    <col min="3091" max="3091" width="11.85546875" style="170" bestFit="1" customWidth="1"/>
    <col min="3092" max="3095" width="0" style="170" hidden="1" customWidth="1"/>
    <col min="3096" max="3096" width="10.5703125" style="170" bestFit="1" customWidth="1"/>
    <col min="3097" max="3097" width="0" style="170" hidden="1" customWidth="1"/>
    <col min="3098" max="3098" width="2.7109375" style="170" customWidth="1"/>
    <col min="3099" max="3099" width="12.42578125" style="170" bestFit="1" customWidth="1"/>
    <col min="3100" max="3100" width="11.85546875" style="170" bestFit="1" customWidth="1"/>
    <col min="3101" max="3104" width="15.42578125" style="170" bestFit="1" customWidth="1"/>
    <col min="3105" max="3105" width="13.7109375" style="170" bestFit="1" customWidth="1"/>
    <col min="3106" max="3106" width="13.28515625" style="170" bestFit="1" customWidth="1"/>
    <col min="3107" max="3107" width="2.7109375" style="170" customWidth="1"/>
    <col min="3108" max="3108" width="10.7109375" style="170" customWidth="1"/>
    <col min="3109" max="3109" width="11.85546875" style="170" bestFit="1" customWidth="1"/>
    <col min="3110" max="3113" width="15.42578125" style="170" bestFit="1" customWidth="1"/>
    <col min="3114" max="3114" width="13.7109375" style="170" bestFit="1" customWidth="1"/>
    <col min="3115" max="3115" width="17.7109375" style="170" bestFit="1" customWidth="1"/>
    <col min="3116" max="3330" width="9.140625" style="170"/>
    <col min="3331" max="3331" width="20.42578125" style="170" bestFit="1" customWidth="1"/>
    <col min="3332" max="3335" width="0" style="170" hidden="1" customWidth="1"/>
    <col min="3336" max="3336" width="54.28515625" style="170" customWidth="1"/>
    <col min="3337" max="3337" width="0" style="170" hidden="1" customWidth="1"/>
    <col min="3338" max="3338" width="11.85546875" style="170" bestFit="1" customWidth="1"/>
    <col min="3339" max="3342" width="0" style="170" hidden="1" customWidth="1"/>
    <col min="3343" max="3343" width="10.5703125" style="170" bestFit="1" customWidth="1"/>
    <col min="3344" max="3344" width="0" style="170" hidden="1" customWidth="1"/>
    <col min="3345" max="3345" width="2.7109375" style="170" customWidth="1"/>
    <col min="3346" max="3346" width="0" style="170" hidden="1" customWidth="1"/>
    <col min="3347" max="3347" width="11.85546875" style="170" bestFit="1" customWidth="1"/>
    <col min="3348" max="3351" width="0" style="170" hidden="1" customWidth="1"/>
    <col min="3352" max="3352" width="10.5703125" style="170" bestFit="1" customWidth="1"/>
    <col min="3353" max="3353" width="0" style="170" hidden="1" customWidth="1"/>
    <col min="3354" max="3354" width="2.7109375" style="170" customWidth="1"/>
    <col min="3355" max="3355" width="12.42578125" style="170" bestFit="1" customWidth="1"/>
    <col min="3356" max="3356" width="11.85546875" style="170" bestFit="1" customWidth="1"/>
    <col min="3357" max="3360" width="15.42578125" style="170" bestFit="1" customWidth="1"/>
    <col min="3361" max="3361" width="13.7109375" style="170" bestFit="1" customWidth="1"/>
    <col min="3362" max="3362" width="13.28515625" style="170" bestFit="1" customWidth="1"/>
    <col min="3363" max="3363" width="2.7109375" style="170" customWidth="1"/>
    <col min="3364" max="3364" width="10.7109375" style="170" customWidth="1"/>
    <col min="3365" max="3365" width="11.85546875" style="170" bestFit="1" customWidth="1"/>
    <col min="3366" max="3369" width="15.42578125" style="170" bestFit="1" customWidth="1"/>
    <col min="3370" max="3370" width="13.7109375" style="170" bestFit="1" customWidth="1"/>
    <col min="3371" max="3371" width="17.7109375" style="170" bestFit="1" customWidth="1"/>
    <col min="3372" max="3586" width="9.140625" style="170"/>
    <col min="3587" max="3587" width="20.42578125" style="170" bestFit="1" customWidth="1"/>
    <col min="3588" max="3591" width="0" style="170" hidden="1" customWidth="1"/>
    <col min="3592" max="3592" width="54.28515625" style="170" customWidth="1"/>
    <col min="3593" max="3593" width="0" style="170" hidden="1" customWidth="1"/>
    <col min="3594" max="3594" width="11.85546875" style="170" bestFit="1" customWidth="1"/>
    <col min="3595" max="3598" width="0" style="170" hidden="1" customWidth="1"/>
    <col min="3599" max="3599" width="10.5703125" style="170" bestFit="1" customWidth="1"/>
    <col min="3600" max="3600" width="0" style="170" hidden="1" customWidth="1"/>
    <col min="3601" max="3601" width="2.7109375" style="170" customWidth="1"/>
    <col min="3602" max="3602" width="0" style="170" hidden="1" customWidth="1"/>
    <col min="3603" max="3603" width="11.85546875" style="170" bestFit="1" customWidth="1"/>
    <col min="3604" max="3607" width="0" style="170" hidden="1" customWidth="1"/>
    <col min="3608" max="3608" width="10.5703125" style="170" bestFit="1" customWidth="1"/>
    <col min="3609" max="3609" width="0" style="170" hidden="1" customWidth="1"/>
    <col min="3610" max="3610" width="2.7109375" style="170" customWidth="1"/>
    <col min="3611" max="3611" width="12.42578125" style="170" bestFit="1" customWidth="1"/>
    <col min="3612" max="3612" width="11.85546875" style="170" bestFit="1" customWidth="1"/>
    <col min="3613" max="3616" width="15.42578125" style="170" bestFit="1" customWidth="1"/>
    <col min="3617" max="3617" width="13.7109375" style="170" bestFit="1" customWidth="1"/>
    <col min="3618" max="3618" width="13.28515625" style="170" bestFit="1" customWidth="1"/>
    <col min="3619" max="3619" width="2.7109375" style="170" customWidth="1"/>
    <col min="3620" max="3620" width="10.7109375" style="170" customWidth="1"/>
    <col min="3621" max="3621" width="11.85546875" style="170" bestFit="1" customWidth="1"/>
    <col min="3622" max="3625" width="15.42578125" style="170" bestFit="1" customWidth="1"/>
    <col min="3626" max="3626" width="13.7109375" style="170" bestFit="1" customWidth="1"/>
    <col min="3627" max="3627" width="17.7109375" style="170" bestFit="1" customWidth="1"/>
    <col min="3628" max="3842" width="9.140625" style="170"/>
    <col min="3843" max="3843" width="20.42578125" style="170" bestFit="1" customWidth="1"/>
    <col min="3844" max="3847" width="0" style="170" hidden="1" customWidth="1"/>
    <col min="3848" max="3848" width="54.28515625" style="170" customWidth="1"/>
    <col min="3849" max="3849" width="0" style="170" hidden="1" customWidth="1"/>
    <col min="3850" max="3850" width="11.85546875" style="170" bestFit="1" customWidth="1"/>
    <col min="3851" max="3854" width="0" style="170" hidden="1" customWidth="1"/>
    <col min="3855" max="3855" width="10.5703125" style="170" bestFit="1" customWidth="1"/>
    <col min="3856" max="3856" width="0" style="170" hidden="1" customWidth="1"/>
    <col min="3857" max="3857" width="2.7109375" style="170" customWidth="1"/>
    <col min="3858" max="3858" width="0" style="170" hidden="1" customWidth="1"/>
    <col min="3859" max="3859" width="11.85546875" style="170" bestFit="1" customWidth="1"/>
    <col min="3860" max="3863" width="0" style="170" hidden="1" customWidth="1"/>
    <col min="3864" max="3864" width="10.5703125" style="170" bestFit="1" customWidth="1"/>
    <col min="3865" max="3865" width="0" style="170" hidden="1" customWidth="1"/>
    <col min="3866" max="3866" width="2.7109375" style="170" customWidth="1"/>
    <col min="3867" max="3867" width="12.42578125" style="170" bestFit="1" customWidth="1"/>
    <col min="3868" max="3868" width="11.85546875" style="170" bestFit="1" customWidth="1"/>
    <col min="3869" max="3872" width="15.42578125" style="170" bestFit="1" customWidth="1"/>
    <col min="3873" max="3873" width="13.7109375" style="170" bestFit="1" customWidth="1"/>
    <col min="3874" max="3874" width="13.28515625" style="170" bestFit="1" customWidth="1"/>
    <col min="3875" max="3875" width="2.7109375" style="170" customWidth="1"/>
    <col min="3876" max="3876" width="10.7109375" style="170" customWidth="1"/>
    <col min="3877" max="3877" width="11.85546875" style="170" bestFit="1" customWidth="1"/>
    <col min="3878" max="3881" width="15.42578125" style="170" bestFit="1" customWidth="1"/>
    <col min="3882" max="3882" width="13.7109375" style="170" bestFit="1" customWidth="1"/>
    <col min="3883" max="3883" width="17.7109375" style="170" bestFit="1" customWidth="1"/>
    <col min="3884" max="4098" width="9.140625" style="170"/>
    <col min="4099" max="4099" width="20.42578125" style="170" bestFit="1" customWidth="1"/>
    <col min="4100" max="4103" width="0" style="170" hidden="1" customWidth="1"/>
    <col min="4104" max="4104" width="54.28515625" style="170" customWidth="1"/>
    <col min="4105" max="4105" width="0" style="170" hidden="1" customWidth="1"/>
    <col min="4106" max="4106" width="11.85546875" style="170" bestFit="1" customWidth="1"/>
    <col min="4107" max="4110" width="0" style="170" hidden="1" customWidth="1"/>
    <col min="4111" max="4111" width="10.5703125" style="170" bestFit="1" customWidth="1"/>
    <col min="4112" max="4112" width="0" style="170" hidden="1" customWidth="1"/>
    <col min="4113" max="4113" width="2.7109375" style="170" customWidth="1"/>
    <col min="4114" max="4114" width="0" style="170" hidden="1" customWidth="1"/>
    <col min="4115" max="4115" width="11.85546875" style="170" bestFit="1" customWidth="1"/>
    <col min="4116" max="4119" width="0" style="170" hidden="1" customWidth="1"/>
    <col min="4120" max="4120" width="10.5703125" style="170" bestFit="1" customWidth="1"/>
    <col min="4121" max="4121" width="0" style="170" hidden="1" customWidth="1"/>
    <col min="4122" max="4122" width="2.7109375" style="170" customWidth="1"/>
    <col min="4123" max="4123" width="12.42578125" style="170" bestFit="1" customWidth="1"/>
    <col min="4124" max="4124" width="11.85546875" style="170" bestFit="1" customWidth="1"/>
    <col min="4125" max="4128" width="15.42578125" style="170" bestFit="1" customWidth="1"/>
    <col min="4129" max="4129" width="13.7109375" style="170" bestFit="1" customWidth="1"/>
    <col min="4130" max="4130" width="13.28515625" style="170" bestFit="1" customWidth="1"/>
    <col min="4131" max="4131" width="2.7109375" style="170" customWidth="1"/>
    <col min="4132" max="4132" width="10.7109375" style="170" customWidth="1"/>
    <col min="4133" max="4133" width="11.85546875" style="170" bestFit="1" customWidth="1"/>
    <col min="4134" max="4137" width="15.42578125" style="170" bestFit="1" customWidth="1"/>
    <col min="4138" max="4138" width="13.7109375" style="170" bestFit="1" customWidth="1"/>
    <col min="4139" max="4139" width="17.7109375" style="170" bestFit="1" customWidth="1"/>
    <col min="4140" max="4354" width="9.140625" style="170"/>
    <col min="4355" max="4355" width="20.42578125" style="170" bestFit="1" customWidth="1"/>
    <col min="4356" max="4359" width="0" style="170" hidden="1" customWidth="1"/>
    <col min="4360" max="4360" width="54.28515625" style="170" customWidth="1"/>
    <col min="4361" max="4361" width="0" style="170" hidden="1" customWidth="1"/>
    <col min="4362" max="4362" width="11.85546875" style="170" bestFit="1" customWidth="1"/>
    <col min="4363" max="4366" width="0" style="170" hidden="1" customWidth="1"/>
    <col min="4367" max="4367" width="10.5703125" style="170" bestFit="1" customWidth="1"/>
    <col min="4368" max="4368" width="0" style="170" hidden="1" customWidth="1"/>
    <col min="4369" max="4369" width="2.7109375" style="170" customWidth="1"/>
    <col min="4370" max="4370" width="0" style="170" hidden="1" customWidth="1"/>
    <col min="4371" max="4371" width="11.85546875" style="170" bestFit="1" customWidth="1"/>
    <col min="4372" max="4375" width="0" style="170" hidden="1" customWidth="1"/>
    <col min="4376" max="4376" width="10.5703125" style="170" bestFit="1" customWidth="1"/>
    <col min="4377" max="4377" width="0" style="170" hidden="1" customWidth="1"/>
    <col min="4378" max="4378" width="2.7109375" style="170" customWidth="1"/>
    <col min="4379" max="4379" width="12.42578125" style="170" bestFit="1" customWidth="1"/>
    <col min="4380" max="4380" width="11.85546875" style="170" bestFit="1" customWidth="1"/>
    <col min="4381" max="4384" width="15.42578125" style="170" bestFit="1" customWidth="1"/>
    <col min="4385" max="4385" width="13.7109375" style="170" bestFit="1" customWidth="1"/>
    <col min="4386" max="4386" width="13.28515625" style="170" bestFit="1" customWidth="1"/>
    <col min="4387" max="4387" width="2.7109375" style="170" customWidth="1"/>
    <col min="4388" max="4388" width="10.7109375" style="170" customWidth="1"/>
    <col min="4389" max="4389" width="11.85546875" style="170" bestFit="1" customWidth="1"/>
    <col min="4390" max="4393" width="15.42578125" style="170" bestFit="1" customWidth="1"/>
    <col min="4394" max="4394" width="13.7109375" style="170" bestFit="1" customWidth="1"/>
    <col min="4395" max="4395" width="17.7109375" style="170" bestFit="1" customWidth="1"/>
    <col min="4396" max="4610" width="9.140625" style="170"/>
    <col min="4611" max="4611" width="20.42578125" style="170" bestFit="1" customWidth="1"/>
    <col min="4612" max="4615" width="0" style="170" hidden="1" customWidth="1"/>
    <col min="4616" max="4616" width="54.28515625" style="170" customWidth="1"/>
    <col min="4617" max="4617" width="0" style="170" hidden="1" customWidth="1"/>
    <col min="4618" max="4618" width="11.85546875" style="170" bestFit="1" customWidth="1"/>
    <col min="4619" max="4622" width="0" style="170" hidden="1" customWidth="1"/>
    <col min="4623" max="4623" width="10.5703125" style="170" bestFit="1" customWidth="1"/>
    <col min="4624" max="4624" width="0" style="170" hidden="1" customWidth="1"/>
    <col min="4625" max="4625" width="2.7109375" style="170" customWidth="1"/>
    <col min="4626" max="4626" width="0" style="170" hidden="1" customWidth="1"/>
    <col min="4627" max="4627" width="11.85546875" style="170" bestFit="1" customWidth="1"/>
    <col min="4628" max="4631" width="0" style="170" hidden="1" customWidth="1"/>
    <col min="4632" max="4632" width="10.5703125" style="170" bestFit="1" customWidth="1"/>
    <col min="4633" max="4633" width="0" style="170" hidden="1" customWidth="1"/>
    <col min="4634" max="4634" width="2.7109375" style="170" customWidth="1"/>
    <col min="4635" max="4635" width="12.42578125" style="170" bestFit="1" customWidth="1"/>
    <col min="4636" max="4636" width="11.85546875" style="170" bestFit="1" customWidth="1"/>
    <col min="4637" max="4640" width="15.42578125" style="170" bestFit="1" customWidth="1"/>
    <col min="4641" max="4641" width="13.7109375" style="170" bestFit="1" customWidth="1"/>
    <col min="4642" max="4642" width="13.28515625" style="170" bestFit="1" customWidth="1"/>
    <col min="4643" max="4643" width="2.7109375" style="170" customWidth="1"/>
    <col min="4644" max="4644" width="10.7109375" style="170" customWidth="1"/>
    <col min="4645" max="4645" width="11.85546875" style="170" bestFit="1" customWidth="1"/>
    <col min="4646" max="4649" width="15.42578125" style="170" bestFit="1" customWidth="1"/>
    <col min="4650" max="4650" width="13.7109375" style="170" bestFit="1" customWidth="1"/>
    <col min="4651" max="4651" width="17.7109375" style="170" bestFit="1" customWidth="1"/>
    <col min="4652" max="4866" width="9.140625" style="170"/>
    <col min="4867" max="4867" width="20.42578125" style="170" bestFit="1" customWidth="1"/>
    <col min="4868" max="4871" width="0" style="170" hidden="1" customWidth="1"/>
    <col min="4872" max="4872" width="54.28515625" style="170" customWidth="1"/>
    <col min="4873" max="4873" width="0" style="170" hidden="1" customWidth="1"/>
    <col min="4874" max="4874" width="11.85546875" style="170" bestFit="1" customWidth="1"/>
    <col min="4875" max="4878" width="0" style="170" hidden="1" customWidth="1"/>
    <col min="4879" max="4879" width="10.5703125" style="170" bestFit="1" customWidth="1"/>
    <col min="4880" max="4880" width="0" style="170" hidden="1" customWidth="1"/>
    <col min="4881" max="4881" width="2.7109375" style="170" customWidth="1"/>
    <col min="4882" max="4882" width="0" style="170" hidden="1" customWidth="1"/>
    <col min="4883" max="4883" width="11.85546875" style="170" bestFit="1" customWidth="1"/>
    <col min="4884" max="4887" width="0" style="170" hidden="1" customWidth="1"/>
    <col min="4888" max="4888" width="10.5703125" style="170" bestFit="1" customWidth="1"/>
    <col min="4889" max="4889" width="0" style="170" hidden="1" customWidth="1"/>
    <col min="4890" max="4890" width="2.7109375" style="170" customWidth="1"/>
    <col min="4891" max="4891" width="12.42578125" style="170" bestFit="1" customWidth="1"/>
    <col min="4892" max="4892" width="11.85546875" style="170" bestFit="1" customWidth="1"/>
    <col min="4893" max="4896" width="15.42578125" style="170" bestFit="1" customWidth="1"/>
    <col min="4897" max="4897" width="13.7109375" style="170" bestFit="1" customWidth="1"/>
    <col min="4898" max="4898" width="13.28515625" style="170" bestFit="1" customWidth="1"/>
    <col min="4899" max="4899" width="2.7109375" style="170" customWidth="1"/>
    <col min="4900" max="4900" width="10.7109375" style="170" customWidth="1"/>
    <col min="4901" max="4901" width="11.85546875" style="170" bestFit="1" customWidth="1"/>
    <col min="4902" max="4905" width="15.42578125" style="170" bestFit="1" customWidth="1"/>
    <col min="4906" max="4906" width="13.7109375" style="170" bestFit="1" customWidth="1"/>
    <col min="4907" max="4907" width="17.7109375" style="170" bestFit="1" customWidth="1"/>
    <col min="4908" max="5122" width="9.140625" style="170"/>
    <col min="5123" max="5123" width="20.42578125" style="170" bestFit="1" customWidth="1"/>
    <col min="5124" max="5127" width="0" style="170" hidden="1" customWidth="1"/>
    <col min="5128" max="5128" width="54.28515625" style="170" customWidth="1"/>
    <col min="5129" max="5129" width="0" style="170" hidden="1" customWidth="1"/>
    <col min="5130" max="5130" width="11.85546875" style="170" bestFit="1" customWidth="1"/>
    <col min="5131" max="5134" width="0" style="170" hidden="1" customWidth="1"/>
    <col min="5135" max="5135" width="10.5703125" style="170" bestFit="1" customWidth="1"/>
    <col min="5136" max="5136" width="0" style="170" hidden="1" customWidth="1"/>
    <col min="5137" max="5137" width="2.7109375" style="170" customWidth="1"/>
    <col min="5138" max="5138" width="0" style="170" hidden="1" customWidth="1"/>
    <col min="5139" max="5139" width="11.85546875" style="170" bestFit="1" customWidth="1"/>
    <col min="5140" max="5143" width="0" style="170" hidden="1" customWidth="1"/>
    <col min="5144" max="5144" width="10.5703125" style="170" bestFit="1" customWidth="1"/>
    <col min="5145" max="5145" width="0" style="170" hidden="1" customWidth="1"/>
    <col min="5146" max="5146" width="2.7109375" style="170" customWidth="1"/>
    <col min="5147" max="5147" width="12.42578125" style="170" bestFit="1" customWidth="1"/>
    <col min="5148" max="5148" width="11.85546875" style="170" bestFit="1" customWidth="1"/>
    <col min="5149" max="5152" width="15.42578125" style="170" bestFit="1" customWidth="1"/>
    <col min="5153" max="5153" width="13.7109375" style="170" bestFit="1" customWidth="1"/>
    <col min="5154" max="5154" width="13.28515625" style="170" bestFit="1" customWidth="1"/>
    <col min="5155" max="5155" width="2.7109375" style="170" customWidth="1"/>
    <col min="5156" max="5156" width="10.7109375" style="170" customWidth="1"/>
    <col min="5157" max="5157" width="11.85546875" style="170" bestFit="1" customWidth="1"/>
    <col min="5158" max="5161" width="15.42578125" style="170" bestFit="1" customWidth="1"/>
    <col min="5162" max="5162" width="13.7109375" style="170" bestFit="1" customWidth="1"/>
    <col min="5163" max="5163" width="17.7109375" style="170" bestFit="1" customWidth="1"/>
    <col min="5164" max="5378" width="9.140625" style="170"/>
    <col min="5379" max="5379" width="20.42578125" style="170" bestFit="1" customWidth="1"/>
    <col min="5380" max="5383" width="0" style="170" hidden="1" customWidth="1"/>
    <col min="5384" max="5384" width="54.28515625" style="170" customWidth="1"/>
    <col min="5385" max="5385" width="0" style="170" hidden="1" customWidth="1"/>
    <col min="5386" max="5386" width="11.85546875" style="170" bestFit="1" customWidth="1"/>
    <col min="5387" max="5390" width="0" style="170" hidden="1" customWidth="1"/>
    <col min="5391" max="5391" width="10.5703125" style="170" bestFit="1" customWidth="1"/>
    <col min="5392" max="5392" width="0" style="170" hidden="1" customWidth="1"/>
    <col min="5393" max="5393" width="2.7109375" style="170" customWidth="1"/>
    <col min="5394" max="5394" width="0" style="170" hidden="1" customWidth="1"/>
    <col min="5395" max="5395" width="11.85546875" style="170" bestFit="1" customWidth="1"/>
    <col min="5396" max="5399" width="0" style="170" hidden="1" customWidth="1"/>
    <col min="5400" max="5400" width="10.5703125" style="170" bestFit="1" customWidth="1"/>
    <col min="5401" max="5401" width="0" style="170" hidden="1" customWidth="1"/>
    <col min="5402" max="5402" width="2.7109375" style="170" customWidth="1"/>
    <col min="5403" max="5403" width="12.42578125" style="170" bestFit="1" customWidth="1"/>
    <col min="5404" max="5404" width="11.85546875" style="170" bestFit="1" customWidth="1"/>
    <col min="5405" max="5408" width="15.42578125" style="170" bestFit="1" customWidth="1"/>
    <col min="5409" max="5409" width="13.7109375" style="170" bestFit="1" customWidth="1"/>
    <col min="5410" max="5410" width="13.28515625" style="170" bestFit="1" customWidth="1"/>
    <col min="5411" max="5411" width="2.7109375" style="170" customWidth="1"/>
    <col min="5412" max="5412" width="10.7109375" style="170" customWidth="1"/>
    <col min="5413" max="5413" width="11.85546875" style="170" bestFit="1" customWidth="1"/>
    <col min="5414" max="5417" width="15.42578125" style="170" bestFit="1" customWidth="1"/>
    <col min="5418" max="5418" width="13.7109375" style="170" bestFit="1" customWidth="1"/>
    <col min="5419" max="5419" width="17.7109375" style="170" bestFit="1" customWidth="1"/>
    <col min="5420" max="5634" width="9.140625" style="170"/>
    <col min="5635" max="5635" width="20.42578125" style="170" bestFit="1" customWidth="1"/>
    <col min="5636" max="5639" width="0" style="170" hidden="1" customWidth="1"/>
    <col min="5640" max="5640" width="54.28515625" style="170" customWidth="1"/>
    <col min="5641" max="5641" width="0" style="170" hidden="1" customWidth="1"/>
    <col min="5642" max="5642" width="11.85546875" style="170" bestFit="1" customWidth="1"/>
    <col min="5643" max="5646" width="0" style="170" hidden="1" customWidth="1"/>
    <col min="5647" max="5647" width="10.5703125" style="170" bestFit="1" customWidth="1"/>
    <col min="5648" max="5648" width="0" style="170" hidden="1" customWidth="1"/>
    <col min="5649" max="5649" width="2.7109375" style="170" customWidth="1"/>
    <col min="5650" max="5650" width="0" style="170" hidden="1" customWidth="1"/>
    <col min="5651" max="5651" width="11.85546875" style="170" bestFit="1" customWidth="1"/>
    <col min="5652" max="5655" width="0" style="170" hidden="1" customWidth="1"/>
    <col min="5656" max="5656" width="10.5703125" style="170" bestFit="1" customWidth="1"/>
    <col min="5657" max="5657" width="0" style="170" hidden="1" customWidth="1"/>
    <col min="5658" max="5658" width="2.7109375" style="170" customWidth="1"/>
    <col min="5659" max="5659" width="12.42578125" style="170" bestFit="1" customWidth="1"/>
    <col min="5660" max="5660" width="11.85546875" style="170" bestFit="1" customWidth="1"/>
    <col min="5661" max="5664" width="15.42578125" style="170" bestFit="1" customWidth="1"/>
    <col min="5665" max="5665" width="13.7109375" style="170" bestFit="1" customWidth="1"/>
    <col min="5666" max="5666" width="13.28515625" style="170" bestFit="1" customWidth="1"/>
    <col min="5667" max="5667" width="2.7109375" style="170" customWidth="1"/>
    <col min="5668" max="5668" width="10.7109375" style="170" customWidth="1"/>
    <col min="5669" max="5669" width="11.85546875" style="170" bestFit="1" customWidth="1"/>
    <col min="5670" max="5673" width="15.42578125" style="170" bestFit="1" customWidth="1"/>
    <col min="5674" max="5674" width="13.7109375" style="170" bestFit="1" customWidth="1"/>
    <col min="5675" max="5675" width="17.7109375" style="170" bestFit="1" customWidth="1"/>
    <col min="5676" max="5890" width="9.140625" style="170"/>
    <col min="5891" max="5891" width="20.42578125" style="170" bestFit="1" customWidth="1"/>
    <col min="5892" max="5895" width="0" style="170" hidden="1" customWidth="1"/>
    <col min="5896" max="5896" width="54.28515625" style="170" customWidth="1"/>
    <col min="5897" max="5897" width="0" style="170" hidden="1" customWidth="1"/>
    <col min="5898" max="5898" width="11.85546875" style="170" bestFit="1" customWidth="1"/>
    <col min="5899" max="5902" width="0" style="170" hidden="1" customWidth="1"/>
    <col min="5903" max="5903" width="10.5703125" style="170" bestFit="1" customWidth="1"/>
    <col min="5904" max="5904" width="0" style="170" hidden="1" customWidth="1"/>
    <col min="5905" max="5905" width="2.7109375" style="170" customWidth="1"/>
    <col min="5906" max="5906" width="0" style="170" hidden="1" customWidth="1"/>
    <col min="5907" max="5907" width="11.85546875" style="170" bestFit="1" customWidth="1"/>
    <col min="5908" max="5911" width="0" style="170" hidden="1" customWidth="1"/>
    <col min="5912" max="5912" width="10.5703125" style="170" bestFit="1" customWidth="1"/>
    <col min="5913" max="5913" width="0" style="170" hidden="1" customWidth="1"/>
    <col min="5914" max="5914" width="2.7109375" style="170" customWidth="1"/>
    <col min="5915" max="5915" width="12.42578125" style="170" bestFit="1" customWidth="1"/>
    <col min="5916" max="5916" width="11.85546875" style="170" bestFit="1" customWidth="1"/>
    <col min="5917" max="5920" width="15.42578125" style="170" bestFit="1" customWidth="1"/>
    <col min="5921" max="5921" width="13.7109375" style="170" bestFit="1" customWidth="1"/>
    <col min="5922" max="5922" width="13.28515625" style="170" bestFit="1" customWidth="1"/>
    <col min="5923" max="5923" width="2.7109375" style="170" customWidth="1"/>
    <col min="5924" max="5924" width="10.7109375" style="170" customWidth="1"/>
    <col min="5925" max="5925" width="11.85546875" style="170" bestFit="1" customWidth="1"/>
    <col min="5926" max="5929" width="15.42578125" style="170" bestFit="1" customWidth="1"/>
    <col min="5930" max="5930" width="13.7109375" style="170" bestFit="1" customWidth="1"/>
    <col min="5931" max="5931" width="17.7109375" style="170" bestFit="1" customWidth="1"/>
    <col min="5932" max="6146" width="9.140625" style="170"/>
    <col min="6147" max="6147" width="20.42578125" style="170" bestFit="1" customWidth="1"/>
    <col min="6148" max="6151" width="0" style="170" hidden="1" customWidth="1"/>
    <col min="6152" max="6152" width="54.28515625" style="170" customWidth="1"/>
    <col min="6153" max="6153" width="0" style="170" hidden="1" customWidth="1"/>
    <col min="6154" max="6154" width="11.85546875" style="170" bestFit="1" customWidth="1"/>
    <col min="6155" max="6158" width="0" style="170" hidden="1" customWidth="1"/>
    <col min="6159" max="6159" width="10.5703125" style="170" bestFit="1" customWidth="1"/>
    <col min="6160" max="6160" width="0" style="170" hidden="1" customWidth="1"/>
    <col min="6161" max="6161" width="2.7109375" style="170" customWidth="1"/>
    <col min="6162" max="6162" width="0" style="170" hidden="1" customWidth="1"/>
    <col min="6163" max="6163" width="11.85546875" style="170" bestFit="1" customWidth="1"/>
    <col min="6164" max="6167" width="0" style="170" hidden="1" customWidth="1"/>
    <col min="6168" max="6168" width="10.5703125" style="170" bestFit="1" customWidth="1"/>
    <col min="6169" max="6169" width="0" style="170" hidden="1" customWidth="1"/>
    <col min="6170" max="6170" width="2.7109375" style="170" customWidth="1"/>
    <col min="6171" max="6171" width="12.42578125" style="170" bestFit="1" customWidth="1"/>
    <col min="6172" max="6172" width="11.85546875" style="170" bestFit="1" customWidth="1"/>
    <col min="6173" max="6176" width="15.42578125" style="170" bestFit="1" customWidth="1"/>
    <col min="6177" max="6177" width="13.7109375" style="170" bestFit="1" customWidth="1"/>
    <col min="6178" max="6178" width="13.28515625" style="170" bestFit="1" customWidth="1"/>
    <col min="6179" max="6179" width="2.7109375" style="170" customWidth="1"/>
    <col min="6180" max="6180" width="10.7109375" style="170" customWidth="1"/>
    <col min="6181" max="6181" width="11.85546875" style="170" bestFit="1" customWidth="1"/>
    <col min="6182" max="6185" width="15.42578125" style="170" bestFit="1" customWidth="1"/>
    <col min="6186" max="6186" width="13.7109375" style="170" bestFit="1" customWidth="1"/>
    <col min="6187" max="6187" width="17.7109375" style="170" bestFit="1" customWidth="1"/>
    <col min="6188" max="6402" width="9.140625" style="170"/>
    <col min="6403" max="6403" width="20.42578125" style="170" bestFit="1" customWidth="1"/>
    <col min="6404" max="6407" width="0" style="170" hidden="1" customWidth="1"/>
    <col min="6408" max="6408" width="54.28515625" style="170" customWidth="1"/>
    <col min="6409" max="6409" width="0" style="170" hidden="1" customWidth="1"/>
    <col min="6410" max="6410" width="11.85546875" style="170" bestFit="1" customWidth="1"/>
    <col min="6411" max="6414" width="0" style="170" hidden="1" customWidth="1"/>
    <col min="6415" max="6415" width="10.5703125" style="170" bestFit="1" customWidth="1"/>
    <col min="6416" max="6416" width="0" style="170" hidden="1" customWidth="1"/>
    <col min="6417" max="6417" width="2.7109375" style="170" customWidth="1"/>
    <col min="6418" max="6418" width="0" style="170" hidden="1" customWidth="1"/>
    <col min="6419" max="6419" width="11.85546875" style="170" bestFit="1" customWidth="1"/>
    <col min="6420" max="6423" width="0" style="170" hidden="1" customWidth="1"/>
    <col min="6424" max="6424" width="10.5703125" style="170" bestFit="1" customWidth="1"/>
    <col min="6425" max="6425" width="0" style="170" hidden="1" customWidth="1"/>
    <col min="6426" max="6426" width="2.7109375" style="170" customWidth="1"/>
    <col min="6427" max="6427" width="12.42578125" style="170" bestFit="1" customWidth="1"/>
    <col min="6428" max="6428" width="11.85546875" style="170" bestFit="1" customWidth="1"/>
    <col min="6429" max="6432" width="15.42578125" style="170" bestFit="1" customWidth="1"/>
    <col min="6433" max="6433" width="13.7109375" style="170" bestFit="1" customWidth="1"/>
    <col min="6434" max="6434" width="13.28515625" style="170" bestFit="1" customWidth="1"/>
    <col min="6435" max="6435" width="2.7109375" style="170" customWidth="1"/>
    <col min="6436" max="6436" width="10.7109375" style="170" customWidth="1"/>
    <col min="6437" max="6437" width="11.85546875" style="170" bestFit="1" customWidth="1"/>
    <col min="6438" max="6441" width="15.42578125" style="170" bestFit="1" customWidth="1"/>
    <col min="6442" max="6442" width="13.7109375" style="170" bestFit="1" customWidth="1"/>
    <col min="6443" max="6443" width="17.7109375" style="170" bestFit="1" customWidth="1"/>
    <col min="6444" max="6658" width="9.140625" style="170"/>
    <col min="6659" max="6659" width="20.42578125" style="170" bestFit="1" customWidth="1"/>
    <col min="6660" max="6663" width="0" style="170" hidden="1" customWidth="1"/>
    <col min="6664" max="6664" width="54.28515625" style="170" customWidth="1"/>
    <col min="6665" max="6665" width="0" style="170" hidden="1" customWidth="1"/>
    <col min="6666" max="6666" width="11.85546875" style="170" bestFit="1" customWidth="1"/>
    <col min="6667" max="6670" width="0" style="170" hidden="1" customWidth="1"/>
    <col min="6671" max="6671" width="10.5703125" style="170" bestFit="1" customWidth="1"/>
    <col min="6672" max="6672" width="0" style="170" hidden="1" customWidth="1"/>
    <col min="6673" max="6673" width="2.7109375" style="170" customWidth="1"/>
    <col min="6674" max="6674" width="0" style="170" hidden="1" customWidth="1"/>
    <col min="6675" max="6675" width="11.85546875" style="170" bestFit="1" customWidth="1"/>
    <col min="6676" max="6679" width="0" style="170" hidden="1" customWidth="1"/>
    <col min="6680" max="6680" width="10.5703125" style="170" bestFit="1" customWidth="1"/>
    <col min="6681" max="6681" width="0" style="170" hidden="1" customWidth="1"/>
    <col min="6682" max="6682" width="2.7109375" style="170" customWidth="1"/>
    <col min="6683" max="6683" width="12.42578125" style="170" bestFit="1" customWidth="1"/>
    <col min="6684" max="6684" width="11.85546875" style="170" bestFit="1" customWidth="1"/>
    <col min="6685" max="6688" width="15.42578125" style="170" bestFit="1" customWidth="1"/>
    <col min="6689" max="6689" width="13.7109375" style="170" bestFit="1" customWidth="1"/>
    <col min="6690" max="6690" width="13.28515625" style="170" bestFit="1" customWidth="1"/>
    <col min="6691" max="6691" width="2.7109375" style="170" customWidth="1"/>
    <col min="6692" max="6692" width="10.7109375" style="170" customWidth="1"/>
    <col min="6693" max="6693" width="11.85546875" style="170" bestFit="1" customWidth="1"/>
    <col min="6694" max="6697" width="15.42578125" style="170" bestFit="1" customWidth="1"/>
    <col min="6698" max="6698" width="13.7109375" style="170" bestFit="1" customWidth="1"/>
    <col min="6699" max="6699" width="17.7109375" style="170" bestFit="1" customWidth="1"/>
    <col min="6700" max="6914" width="9.140625" style="170"/>
    <col min="6915" max="6915" width="20.42578125" style="170" bestFit="1" customWidth="1"/>
    <col min="6916" max="6919" width="0" style="170" hidden="1" customWidth="1"/>
    <col min="6920" max="6920" width="54.28515625" style="170" customWidth="1"/>
    <col min="6921" max="6921" width="0" style="170" hidden="1" customWidth="1"/>
    <col min="6922" max="6922" width="11.85546875" style="170" bestFit="1" customWidth="1"/>
    <col min="6923" max="6926" width="0" style="170" hidden="1" customWidth="1"/>
    <col min="6927" max="6927" width="10.5703125" style="170" bestFit="1" customWidth="1"/>
    <col min="6928" max="6928" width="0" style="170" hidden="1" customWidth="1"/>
    <col min="6929" max="6929" width="2.7109375" style="170" customWidth="1"/>
    <col min="6930" max="6930" width="0" style="170" hidden="1" customWidth="1"/>
    <col min="6931" max="6931" width="11.85546875" style="170" bestFit="1" customWidth="1"/>
    <col min="6932" max="6935" width="0" style="170" hidden="1" customWidth="1"/>
    <col min="6936" max="6936" width="10.5703125" style="170" bestFit="1" customWidth="1"/>
    <col min="6937" max="6937" width="0" style="170" hidden="1" customWidth="1"/>
    <col min="6938" max="6938" width="2.7109375" style="170" customWidth="1"/>
    <col min="6939" max="6939" width="12.42578125" style="170" bestFit="1" customWidth="1"/>
    <col min="6940" max="6940" width="11.85546875" style="170" bestFit="1" customWidth="1"/>
    <col min="6941" max="6944" width="15.42578125" style="170" bestFit="1" customWidth="1"/>
    <col min="6945" max="6945" width="13.7109375" style="170" bestFit="1" customWidth="1"/>
    <col min="6946" max="6946" width="13.28515625" style="170" bestFit="1" customWidth="1"/>
    <col min="6947" max="6947" width="2.7109375" style="170" customWidth="1"/>
    <col min="6948" max="6948" width="10.7109375" style="170" customWidth="1"/>
    <col min="6949" max="6949" width="11.85546875" style="170" bestFit="1" customWidth="1"/>
    <col min="6950" max="6953" width="15.42578125" style="170" bestFit="1" customWidth="1"/>
    <col min="6954" max="6954" width="13.7109375" style="170" bestFit="1" customWidth="1"/>
    <col min="6955" max="6955" width="17.7109375" style="170" bestFit="1" customWidth="1"/>
    <col min="6956" max="7170" width="9.140625" style="170"/>
    <col min="7171" max="7171" width="20.42578125" style="170" bestFit="1" customWidth="1"/>
    <col min="7172" max="7175" width="0" style="170" hidden="1" customWidth="1"/>
    <col min="7176" max="7176" width="54.28515625" style="170" customWidth="1"/>
    <col min="7177" max="7177" width="0" style="170" hidden="1" customWidth="1"/>
    <col min="7178" max="7178" width="11.85546875" style="170" bestFit="1" customWidth="1"/>
    <col min="7179" max="7182" width="0" style="170" hidden="1" customWidth="1"/>
    <col min="7183" max="7183" width="10.5703125" style="170" bestFit="1" customWidth="1"/>
    <col min="7184" max="7184" width="0" style="170" hidden="1" customWidth="1"/>
    <col min="7185" max="7185" width="2.7109375" style="170" customWidth="1"/>
    <col min="7186" max="7186" width="0" style="170" hidden="1" customWidth="1"/>
    <col min="7187" max="7187" width="11.85546875" style="170" bestFit="1" customWidth="1"/>
    <col min="7188" max="7191" width="0" style="170" hidden="1" customWidth="1"/>
    <col min="7192" max="7192" width="10.5703125" style="170" bestFit="1" customWidth="1"/>
    <col min="7193" max="7193" width="0" style="170" hidden="1" customWidth="1"/>
    <col min="7194" max="7194" width="2.7109375" style="170" customWidth="1"/>
    <col min="7195" max="7195" width="12.42578125" style="170" bestFit="1" customWidth="1"/>
    <col min="7196" max="7196" width="11.85546875" style="170" bestFit="1" customWidth="1"/>
    <col min="7197" max="7200" width="15.42578125" style="170" bestFit="1" customWidth="1"/>
    <col min="7201" max="7201" width="13.7109375" style="170" bestFit="1" customWidth="1"/>
    <col min="7202" max="7202" width="13.28515625" style="170" bestFit="1" customWidth="1"/>
    <col min="7203" max="7203" width="2.7109375" style="170" customWidth="1"/>
    <col min="7204" max="7204" width="10.7109375" style="170" customWidth="1"/>
    <col min="7205" max="7205" width="11.85546875" style="170" bestFit="1" customWidth="1"/>
    <col min="7206" max="7209" width="15.42578125" style="170" bestFit="1" customWidth="1"/>
    <col min="7210" max="7210" width="13.7109375" style="170" bestFit="1" customWidth="1"/>
    <col min="7211" max="7211" width="17.7109375" style="170" bestFit="1" customWidth="1"/>
    <col min="7212" max="7426" width="9.140625" style="170"/>
    <col min="7427" max="7427" width="20.42578125" style="170" bestFit="1" customWidth="1"/>
    <col min="7428" max="7431" width="0" style="170" hidden="1" customWidth="1"/>
    <col min="7432" max="7432" width="54.28515625" style="170" customWidth="1"/>
    <col min="7433" max="7433" width="0" style="170" hidden="1" customWidth="1"/>
    <col min="7434" max="7434" width="11.85546875" style="170" bestFit="1" customWidth="1"/>
    <col min="7435" max="7438" width="0" style="170" hidden="1" customWidth="1"/>
    <col min="7439" max="7439" width="10.5703125" style="170" bestFit="1" customWidth="1"/>
    <col min="7440" max="7440" width="0" style="170" hidden="1" customWidth="1"/>
    <col min="7441" max="7441" width="2.7109375" style="170" customWidth="1"/>
    <col min="7442" max="7442" width="0" style="170" hidden="1" customWidth="1"/>
    <col min="7443" max="7443" width="11.85546875" style="170" bestFit="1" customWidth="1"/>
    <col min="7444" max="7447" width="0" style="170" hidden="1" customWidth="1"/>
    <col min="7448" max="7448" width="10.5703125" style="170" bestFit="1" customWidth="1"/>
    <col min="7449" max="7449" width="0" style="170" hidden="1" customWidth="1"/>
    <col min="7450" max="7450" width="2.7109375" style="170" customWidth="1"/>
    <col min="7451" max="7451" width="12.42578125" style="170" bestFit="1" customWidth="1"/>
    <col min="7452" max="7452" width="11.85546875" style="170" bestFit="1" customWidth="1"/>
    <col min="7453" max="7456" width="15.42578125" style="170" bestFit="1" customWidth="1"/>
    <col min="7457" max="7457" width="13.7109375" style="170" bestFit="1" customWidth="1"/>
    <col min="7458" max="7458" width="13.28515625" style="170" bestFit="1" customWidth="1"/>
    <col min="7459" max="7459" width="2.7109375" style="170" customWidth="1"/>
    <col min="7460" max="7460" width="10.7109375" style="170" customWidth="1"/>
    <col min="7461" max="7461" width="11.85546875" style="170" bestFit="1" customWidth="1"/>
    <col min="7462" max="7465" width="15.42578125" style="170" bestFit="1" customWidth="1"/>
    <col min="7466" max="7466" width="13.7109375" style="170" bestFit="1" customWidth="1"/>
    <col min="7467" max="7467" width="17.7109375" style="170" bestFit="1" customWidth="1"/>
    <col min="7468" max="7682" width="9.140625" style="170"/>
    <col min="7683" max="7683" width="20.42578125" style="170" bestFit="1" customWidth="1"/>
    <col min="7684" max="7687" width="0" style="170" hidden="1" customWidth="1"/>
    <col min="7688" max="7688" width="54.28515625" style="170" customWidth="1"/>
    <col min="7689" max="7689" width="0" style="170" hidden="1" customWidth="1"/>
    <col min="7690" max="7690" width="11.85546875" style="170" bestFit="1" customWidth="1"/>
    <col min="7691" max="7694" width="0" style="170" hidden="1" customWidth="1"/>
    <col min="7695" max="7695" width="10.5703125" style="170" bestFit="1" customWidth="1"/>
    <col min="7696" max="7696" width="0" style="170" hidden="1" customWidth="1"/>
    <col min="7697" max="7697" width="2.7109375" style="170" customWidth="1"/>
    <col min="7698" max="7698" width="0" style="170" hidden="1" customWidth="1"/>
    <col min="7699" max="7699" width="11.85546875" style="170" bestFit="1" customWidth="1"/>
    <col min="7700" max="7703" width="0" style="170" hidden="1" customWidth="1"/>
    <col min="7704" max="7704" width="10.5703125" style="170" bestFit="1" customWidth="1"/>
    <col min="7705" max="7705" width="0" style="170" hidden="1" customWidth="1"/>
    <col min="7706" max="7706" width="2.7109375" style="170" customWidth="1"/>
    <col min="7707" max="7707" width="12.42578125" style="170" bestFit="1" customWidth="1"/>
    <col min="7708" max="7708" width="11.85546875" style="170" bestFit="1" customWidth="1"/>
    <col min="7709" max="7712" width="15.42578125" style="170" bestFit="1" customWidth="1"/>
    <col min="7713" max="7713" width="13.7109375" style="170" bestFit="1" customWidth="1"/>
    <col min="7714" max="7714" width="13.28515625" style="170" bestFit="1" customWidth="1"/>
    <col min="7715" max="7715" width="2.7109375" style="170" customWidth="1"/>
    <col min="7716" max="7716" width="10.7109375" style="170" customWidth="1"/>
    <col min="7717" max="7717" width="11.85546875" style="170" bestFit="1" customWidth="1"/>
    <col min="7718" max="7721" width="15.42578125" style="170" bestFit="1" customWidth="1"/>
    <col min="7722" max="7722" width="13.7109375" style="170" bestFit="1" customWidth="1"/>
    <col min="7723" max="7723" width="17.7109375" style="170" bestFit="1" customWidth="1"/>
    <col min="7724" max="7938" width="9.140625" style="170"/>
    <col min="7939" max="7939" width="20.42578125" style="170" bestFit="1" customWidth="1"/>
    <col min="7940" max="7943" width="0" style="170" hidden="1" customWidth="1"/>
    <col min="7944" max="7944" width="54.28515625" style="170" customWidth="1"/>
    <col min="7945" max="7945" width="0" style="170" hidden="1" customWidth="1"/>
    <col min="7946" max="7946" width="11.85546875" style="170" bestFit="1" customWidth="1"/>
    <col min="7947" max="7950" width="0" style="170" hidden="1" customWidth="1"/>
    <col min="7951" max="7951" width="10.5703125" style="170" bestFit="1" customWidth="1"/>
    <col min="7952" max="7952" width="0" style="170" hidden="1" customWidth="1"/>
    <col min="7953" max="7953" width="2.7109375" style="170" customWidth="1"/>
    <col min="7954" max="7954" width="0" style="170" hidden="1" customWidth="1"/>
    <col min="7955" max="7955" width="11.85546875" style="170" bestFit="1" customWidth="1"/>
    <col min="7956" max="7959" width="0" style="170" hidden="1" customWidth="1"/>
    <col min="7960" max="7960" width="10.5703125" style="170" bestFit="1" customWidth="1"/>
    <col min="7961" max="7961" width="0" style="170" hidden="1" customWidth="1"/>
    <col min="7962" max="7962" width="2.7109375" style="170" customWidth="1"/>
    <col min="7963" max="7963" width="12.42578125" style="170" bestFit="1" customWidth="1"/>
    <col min="7964" max="7964" width="11.85546875" style="170" bestFit="1" customWidth="1"/>
    <col min="7965" max="7968" width="15.42578125" style="170" bestFit="1" customWidth="1"/>
    <col min="7969" max="7969" width="13.7109375" style="170" bestFit="1" customWidth="1"/>
    <col min="7970" max="7970" width="13.28515625" style="170" bestFit="1" customWidth="1"/>
    <col min="7971" max="7971" width="2.7109375" style="170" customWidth="1"/>
    <col min="7972" max="7972" width="10.7109375" style="170" customWidth="1"/>
    <col min="7973" max="7973" width="11.85546875" style="170" bestFit="1" customWidth="1"/>
    <col min="7974" max="7977" width="15.42578125" style="170" bestFit="1" customWidth="1"/>
    <col min="7978" max="7978" width="13.7109375" style="170" bestFit="1" customWidth="1"/>
    <col min="7979" max="7979" width="17.7109375" style="170" bestFit="1" customWidth="1"/>
    <col min="7980" max="8194" width="9.140625" style="170"/>
    <col min="8195" max="8195" width="20.42578125" style="170" bestFit="1" customWidth="1"/>
    <col min="8196" max="8199" width="0" style="170" hidden="1" customWidth="1"/>
    <col min="8200" max="8200" width="54.28515625" style="170" customWidth="1"/>
    <col min="8201" max="8201" width="0" style="170" hidden="1" customWidth="1"/>
    <col min="8202" max="8202" width="11.85546875" style="170" bestFit="1" customWidth="1"/>
    <col min="8203" max="8206" width="0" style="170" hidden="1" customWidth="1"/>
    <col min="8207" max="8207" width="10.5703125" style="170" bestFit="1" customWidth="1"/>
    <col min="8208" max="8208" width="0" style="170" hidden="1" customWidth="1"/>
    <col min="8209" max="8209" width="2.7109375" style="170" customWidth="1"/>
    <col min="8210" max="8210" width="0" style="170" hidden="1" customWidth="1"/>
    <col min="8211" max="8211" width="11.85546875" style="170" bestFit="1" customWidth="1"/>
    <col min="8212" max="8215" width="0" style="170" hidden="1" customWidth="1"/>
    <col min="8216" max="8216" width="10.5703125" style="170" bestFit="1" customWidth="1"/>
    <col min="8217" max="8217" width="0" style="170" hidden="1" customWidth="1"/>
    <col min="8218" max="8218" width="2.7109375" style="170" customWidth="1"/>
    <col min="8219" max="8219" width="12.42578125" style="170" bestFit="1" customWidth="1"/>
    <col min="8220" max="8220" width="11.85546875" style="170" bestFit="1" customWidth="1"/>
    <col min="8221" max="8224" width="15.42578125" style="170" bestFit="1" customWidth="1"/>
    <col min="8225" max="8225" width="13.7109375" style="170" bestFit="1" customWidth="1"/>
    <col min="8226" max="8226" width="13.28515625" style="170" bestFit="1" customWidth="1"/>
    <col min="8227" max="8227" width="2.7109375" style="170" customWidth="1"/>
    <col min="8228" max="8228" width="10.7109375" style="170" customWidth="1"/>
    <col min="8229" max="8229" width="11.85546875" style="170" bestFit="1" customWidth="1"/>
    <col min="8230" max="8233" width="15.42578125" style="170" bestFit="1" customWidth="1"/>
    <col min="8234" max="8234" width="13.7109375" style="170" bestFit="1" customWidth="1"/>
    <col min="8235" max="8235" width="17.7109375" style="170" bestFit="1" customWidth="1"/>
    <col min="8236" max="8450" width="9.140625" style="170"/>
    <col min="8451" max="8451" width="20.42578125" style="170" bestFit="1" customWidth="1"/>
    <col min="8452" max="8455" width="0" style="170" hidden="1" customWidth="1"/>
    <col min="8456" max="8456" width="54.28515625" style="170" customWidth="1"/>
    <col min="8457" max="8457" width="0" style="170" hidden="1" customWidth="1"/>
    <col min="8458" max="8458" width="11.85546875" style="170" bestFit="1" customWidth="1"/>
    <col min="8459" max="8462" width="0" style="170" hidden="1" customWidth="1"/>
    <col min="8463" max="8463" width="10.5703125" style="170" bestFit="1" customWidth="1"/>
    <col min="8464" max="8464" width="0" style="170" hidden="1" customWidth="1"/>
    <col min="8465" max="8465" width="2.7109375" style="170" customWidth="1"/>
    <col min="8466" max="8466" width="0" style="170" hidden="1" customWidth="1"/>
    <col min="8467" max="8467" width="11.85546875" style="170" bestFit="1" customWidth="1"/>
    <col min="8468" max="8471" width="0" style="170" hidden="1" customWidth="1"/>
    <col min="8472" max="8472" width="10.5703125" style="170" bestFit="1" customWidth="1"/>
    <col min="8473" max="8473" width="0" style="170" hidden="1" customWidth="1"/>
    <col min="8474" max="8474" width="2.7109375" style="170" customWidth="1"/>
    <col min="8475" max="8475" width="12.42578125" style="170" bestFit="1" customWidth="1"/>
    <col min="8476" max="8476" width="11.85546875" style="170" bestFit="1" customWidth="1"/>
    <col min="8477" max="8480" width="15.42578125" style="170" bestFit="1" customWidth="1"/>
    <col min="8481" max="8481" width="13.7109375" style="170" bestFit="1" customWidth="1"/>
    <col min="8482" max="8482" width="13.28515625" style="170" bestFit="1" customWidth="1"/>
    <col min="8483" max="8483" width="2.7109375" style="170" customWidth="1"/>
    <col min="8484" max="8484" width="10.7109375" style="170" customWidth="1"/>
    <col min="8485" max="8485" width="11.85546875" style="170" bestFit="1" customWidth="1"/>
    <col min="8486" max="8489" width="15.42578125" style="170" bestFit="1" customWidth="1"/>
    <col min="8490" max="8490" width="13.7109375" style="170" bestFit="1" customWidth="1"/>
    <col min="8491" max="8491" width="17.7109375" style="170" bestFit="1" customWidth="1"/>
    <col min="8492" max="8706" width="9.140625" style="170"/>
    <col min="8707" max="8707" width="20.42578125" style="170" bestFit="1" customWidth="1"/>
    <col min="8708" max="8711" width="0" style="170" hidden="1" customWidth="1"/>
    <col min="8712" max="8712" width="54.28515625" style="170" customWidth="1"/>
    <col min="8713" max="8713" width="0" style="170" hidden="1" customWidth="1"/>
    <col min="8714" max="8714" width="11.85546875" style="170" bestFit="1" customWidth="1"/>
    <col min="8715" max="8718" width="0" style="170" hidden="1" customWidth="1"/>
    <col min="8719" max="8719" width="10.5703125" style="170" bestFit="1" customWidth="1"/>
    <col min="8720" max="8720" width="0" style="170" hidden="1" customWidth="1"/>
    <col min="8721" max="8721" width="2.7109375" style="170" customWidth="1"/>
    <col min="8722" max="8722" width="0" style="170" hidden="1" customWidth="1"/>
    <col min="8723" max="8723" width="11.85546875" style="170" bestFit="1" customWidth="1"/>
    <col min="8724" max="8727" width="0" style="170" hidden="1" customWidth="1"/>
    <col min="8728" max="8728" width="10.5703125" style="170" bestFit="1" customWidth="1"/>
    <col min="8729" max="8729" width="0" style="170" hidden="1" customWidth="1"/>
    <col min="8730" max="8730" width="2.7109375" style="170" customWidth="1"/>
    <col min="8731" max="8731" width="12.42578125" style="170" bestFit="1" customWidth="1"/>
    <col min="8732" max="8732" width="11.85546875" style="170" bestFit="1" customWidth="1"/>
    <col min="8733" max="8736" width="15.42578125" style="170" bestFit="1" customWidth="1"/>
    <col min="8737" max="8737" width="13.7109375" style="170" bestFit="1" customWidth="1"/>
    <col min="8738" max="8738" width="13.28515625" style="170" bestFit="1" customWidth="1"/>
    <col min="8739" max="8739" width="2.7109375" style="170" customWidth="1"/>
    <col min="8740" max="8740" width="10.7109375" style="170" customWidth="1"/>
    <col min="8741" max="8741" width="11.85546875" style="170" bestFit="1" customWidth="1"/>
    <col min="8742" max="8745" width="15.42578125" style="170" bestFit="1" customWidth="1"/>
    <col min="8746" max="8746" width="13.7109375" style="170" bestFit="1" customWidth="1"/>
    <col min="8747" max="8747" width="17.7109375" style="170" bestFit="1" customWidth="1"/>
    <col min="8748" max="8962" width="9.140625" style="170"/>
    <col min="8963" max="8963" width="20.42578125" style="170" bestFit="1" customWidth="1"/>
    <col min="8964" max="8967" width="0" style="170" hidden="1" customWidth="1"/>
    <col min="8968" max="8968" width="54.28515625" style="170" customWidth="1"/>
    <col min="8969" max="8969" width="0" style="170" hidden="1" customWidth="1"/>
    <col min="8970" max="8970" width="11.85546875" style="170" bestFit="1" customWidth="1"/>
    <col min="8971" max="8974" width="0" style="170" hidden="1" customWidth="1"/>
    <col min="8975" max="8975" width="10.5703125" style="170" bestFit="1" customWidth="1"/>
    <col min="8976" max="8976" width="0" style="170" hidden="1" customWidth="1"/>
    <col min="8977" max="8977" width="2.7109375" style="170" customWidth="1"/>
    <col min="8978" max="8978" width="0" style="170" hidden="1" customWidth="1"/>
    <col min="8979" max="8979" width="11.85546875" style="170" bestFit="1" customWidth="1"/>
    <col min="8980" max="8983" width="0" style="170" hidden="1" customWidth="1"/>
    <col min="8984" max="8984" width="10.5703125" style="170" bestFit="1" customWidth="1"/>
    <col min="8985" max="8985" width="0" style="170" hidden="1" customWidth="1"/>
    <col min="8986" max="8986" width="2.7109375" style="170" customWidth="1"/>
    <col min="8987" max="8987" width="12.42578125" style="170" bestFit="1" customWidth="1"/>
    <col min="8988" max="8988" width="11.85546875" style="170" bestFit="1" customWidth="1"/>
    <col min="8989" max="8992" width="15.42578125" style="170" bestFit="1" customWidth="1"/>
    <col min="8993" max="8993" width="13.7109375" style="170" bestFit="1" customWidth="1"/>
    <col min="8994" max="8994" width="13.28515625" style="170" bestFit="1" customWidth="1"/>
    <col min="8995" max="8995" width="2.7109375" style="170" customWidth="1"/>
    <col min="8996" max="8996" width="10.7109375" style="170" customWidth="1"/>
    <col min="8997" max="8997" width="11.85546875" style="170" bestFit="1" customWidth="1"/>
    <col min="8998" max="9001" width="15.42578125" style="170" bestFit="1" customWidth="1"/>
    <col min="9002" max="9002" width="13.7109375" style="170" bestFit="1" customWidth="1"/>
    <col min="9003" max="9003" width="17.7109375" style="170" bestFit="1" customWidth="1"/>
    <col min="9004" max="9218" width="9.140625" style="170"/>
    <col min="9219" max="9219" width="20.42578125" style="170" bestFit="1" customWidth="1"/>
    <col min="9220" max="9223" width="0" style="170" hidden="1" customWidth="1"/>
    <col min="9224" max="9224" width="54.28515625" style="170" customWidth="1"/>
    <col min="9225" max="9225" width="0" style="170" hidden="1" customWidth="1"/>
    <col min="9226" max="9226" width="11.85546875" style="170" bestFit="1" customWidth="1"/>
    <col min="9227" max="9230" width="0" style="170" hidden="1" customWidth="1"/>
    <col min="9231" max="9231" width="10.5703125" style="170" bestFit="1" customWidth="1"/>
    <col min="9232" max="9232" width="0" style="170" hidden="1" customWidth="1"/>
    <col min="9233" max="9233" width="2.7109375" style="170" customWidth="1"/>
    <col min="9234" max="9234" width="0" style="170" hidden="1" customWidth="1"/>
    <col min="9235" max="9235" width="11.85546875" style="170" bestFit="1" customWidth="1"/>
    <col min="9236" max="9239" width="0" style="170" hidden="1" customWidth="1"/>
    <col min="9240" max="9240" width="10.5703125" style="170" bestFit="1" customWidth="1"/>
    <col min="9241" max="9241" width="0" style="170" hidden="1" customWidth="1"/>
    <col min="9242" max="9242" width="2.7109375" style="170" customWidth="1"/>
    <col min="9243" max="9243" width="12.42578125" style="170" bestFit="1" customWidth="1"/>
    <col min="9244" max="9244" width="11.85546875" style="170" bestFit="1" customWidth="1"/>
    <col min="9245" max="9248" width="15.42578125" style="170" bestFit="1" customWidth="1"/>
    <col min="9249" max="9249" width="13.7109375" style="170" bestFit="1" customWidth="1"/>
    <col min="9250" max="9250" width="13.28515625" style="170" bestFit="1" customWidth="1"/>
    <col min="9251" max="9251" width="2.7109375" style="170" customWidth="1"/>
    <col min="9252" max="9252" width="10.7109375" style="170" customWidth="1"/>
    <col min="9253" max="9253" width="11.85546875" style="170" bestFit="1" customWidth="1"/>
    <col min="9254" max="9257" width="15.42578125" style="170" bestFit="1" customWidth="1"/>
    <col min="9258" max="9258" width="13.7109375" style="170" bestFit="1" customWidth="1"/>
    <col min="9259" max="9259" width="17.7109375" style="170" bestFit="1" customWidth="1"/>
    <col min="9260" max="9474" width="9.140625" style="170"/>
    <col min="9475" max="9475" width="20.42578125" style="170" bestFit="1" customWidth="1"/>
    <col min="9476" max="9479" width="0" style="170" hidden="1" customWidth="1"/>
    <col min="9480" max="9480" width="54.28515625" style="170" customWidth="1"/>
    <col min="9481" max="9481" width="0" style="170" hidden="1" customWidth="1"/>
    <col min="9482" max="9482" width="11.85546875" style="170" bestFit="1" customWidth="1"/>
    <col min="9483" max="9486" width="0" style="170" hidden="1" customWidth="1"/>
    <col min="9487" max="9487" width="10.5703125" style="170" bestFit="1" customWidth="1"/>
    <col min="9488" max="9488" width="0" style="170" hidden="1" customWidth="1"/>
    <col min="9489" max="9489" width="2.7109375" style="170" customWidth="1"/>
    <col min="9490" max="9490" width="0" style="170" hidden="1" customWidth="1"/>
    <col min="9491" max="9491" width="11.85546875" style="170" bestFit="1" customWidth="1"/>
    <col min="9492" max="9495" width="0" style="170" hidden="1" customWidth="1"/>
    <col min="9496" max="9496" width="10.5703125" style="170" bestFit="1" customWidth="1"/>
    <col min="9497" max="9497" width="0" style="170" hidden="1" customWidth="1"/>
    <col min="9498" max="9498" width="2.7109375" style="170" customWidth="1"/>
    <col min="9499" max="9499" width="12.42578125" style="170" bestFit="1" customWidth="1"/>
    <col min="9500" max="9500" width="11.85546875" style="170" bestFit="1" customWidth="1"/>
    <col min="9501" max="9504" width="15.42578125" style="170" bestFit="1" customWidth="1"/>
    <col min="9505" max="9505" width="13.7109375" style="170" bestFit="1" customWidth="1"/>
    <col min="9506" max="9506" width="13.28515625" style="170" bestFit="1" customWidth="1"/>
    <col min="9507" max="9507" width="2.7109375" style="170" customWidth="1"/>
    <col min="9508" max="9508" width="10.7109375" style="170" customWidth="1"/>
    <col min="9509" max="9509" width="11.85546875" style="170" bestFit="1" customWidth="1"/>
    <col min="9510" max="9513" width="15.42578125" style="170" bestFit="1" customWidth="1"/>
    <col min="9514" max="9514" width="13.7109375" style="170" bestFit="1" customWidth="1"/>
    <col min="9515" max="9515" width="17.7109375" style="170" bestFit="1" customWidth="1"/>
    <col min="9516" max="9730" width="9.140625" style="170"/>
    <col min="9731" max="9731" width="20.42578125" style="170" bestFit="1" customWidth="1"/>
    <col min="9732" max="9735" width="0" style="170" hidden="1" customWidth="1"/>
    <col min="9736" max="9736" width="54.28515625" style="170" customWidth="1"/>
    <col min="9737" max="9737" width="0" style="170" hidden="1" customWidth="1"/>
    <col min="9738" max="9738" width="11.85546875" style="170" bestFit="1" customWidth="1"/>
    <col min="9739" max="9742" width="0" style="170" hidden="1" customWidth="1"/>
    <col min="9743" max="9743" width="10.5703125" style="170" bestFit="1" customWidth="1"/>
    <col min="9744" max="9744" width="0" style="170" hidden="1" customWidth="1"/>
    <col min="9745" max="9745" width="2.7109375" style="170" customWidth="1"/>
    <col min="9746" max="9746" width="0" style="170" hidden="1" customWidth="1"/>
    <col min="9747" max="9747" width="11.85546875" style="170" bestFit="1" customWidth="1"/>
    <col min="9748" max="9751" width="0" style="170" hidden="1" customWidth="1"/>
    <col min="9752" max="9752" width="10.5703125" style="170" bestFit="1" customWidth="1"/>
    <col min="9753" max="9753" width="0" style="170" hidden="1" customWidth="1"/>
    <col min="9754" max="9754" width="2.7109375" style="170" customWidth="1"/>
    <col min="9755" max="9755" width="12.42578125" style="170" bestFit="1" customWidth="1"/>
    <col min="9756" max="9756" width="11.85546875" style="170" bestFit="1" customWidth="1"/>
    <col min="9757" max="9760" width="15.42578125" style="170" bestFit="1" customWidth="1"/>
    <col min="9761" max="9761" width="13.7109375" style="170" bestFit="1" customWidth="1"/>
    <col min="9762" max="9762" width="13.28515625" style="170" bestFit="1" customWidth="1"/>
    <col min="9763" max="9763" width="2.7109375" style="170" customWidth="1"/>
    <col min="9764" max="9764" width="10.7109375" style="170" customWidth="1"/>
    <col min="9765" max="9765" width="11.85546875" style="170" bestFit="1" customWidth="1"/>
    <col min="9766" max="9769" width="15.42578125" style="170" bestFit="1" customWidth="1"/>
    <col min="9770" max="9770" width="13.7109375" style="170" bestFit="1" customWidth="1"/>
    <col min="9771" max="9771" width="17.7109375" style="170" bestFit="1" customWidth="1"/>
    <col min="9772" max="9986" width="9.140625" style="170"/>
    <col min="9987" max="9987" width="20.42578125" style="170" bestFit="1" customWidth="1"/>
    <col min="9988" max="9991" width="0" style="170" hidden="1" customWidth="1"/>
    <col min="9992" max="9992" width="54.28515625" style="170" customWidth="1"/>
    <col min="9993" max="9993" width="0" style="170" hidden="1" customWidth="1"/>
    <col min="9994" max="9994" width="11.85546875" style="170" bestFit="1" customWidth="1"/>
    <col min="9995" max="9998" width="0" style="170" hidden="1" customWidth="1"/>
    <col min="9999" max="9999" width="10.5703125" style="170" bestFit="1" customWidth="1"/>
    <col min="10000" max="10000" width="0" style="170" hidden="1" customWidth="1"/>
    <col min="10001" max="10001" width="2.7109375" style="170" customWidth="1"/>
    <col min="10002" max="10002" width="0" style="170" hidden="1" customWidth="1"/>
    <col min="10003" max="10003" width="11.85546875" style="170" bestFit="1" customWidth="1"/>
    <col min="10004" max="10007" width="0" style="170" hidden="1" customWidth="1"/>
    <col min="10008" max="10008" width="10.5703125" style="170" bestFit="1" customWidth="1"/>
    <col min="10009" max="10009" width="0" style="170" hidden="1" customWidth="1"/>
    <col min="10010" max="10010" width="2.7109375" style="170" customWidth="1"/>
    <col min="10011" max="10011" width="12.42578125" style="170" bestFit="1" customWidth="1"/>
    <col min="10012" max="10012" width="11.85546875" style="170" bestFit="1" customWidth="1"/>
    <col min="10013" max="10016" width="15.42578125" style="170" bestFit="1" customWidth="1"/>
    <col min="10017" max="10017" width="13.7109375" style="170" bestFit="1" customWidth="1"/>
    <col min="10018" max="10018" width="13.28515625" style="170" bestFit="1" customWidth="1"/>
    <col min="10019" max="10019" width="2.7109375" style="170" customWidth="1"/>
    <col min="10020" max="10020" width="10.7109375" style="170" customWidth="1"/>
    <col min="10021" max="10021" width="11.85546875" style="170" bestFit="1" customWidth="1"/>
    <col min="10022" max="10025" width="15.42578125" style="170" bestFit="1" customWidth="1"/>
    <col min="10026" max="10026" width="13.7109375" style="170" bestFit="1" customWidth="1"/>
    <col min="10027" max="10027" width="17.7109375" style="170" bestFit="1" customWidth="1"/>
    <col min="10028" max="10242" width="9.140625" style="170"/>
    <col min="10243" max="10243" width="20.42578125" style="170" bestFit="1" customWidth="1"/>
    <col min="10244" max="10247" width="0" style="170" hidden="1" customWidth="1"/>
    <col min="10248" max="10248" width="54.28515625" style="170" customWidth="1"/>
    <col min="10249" max="10249" width="0" style="170" hidden="1" customWidth="1"/>
    <col min="10250" max="10250" width="11.85546875" style="170" bestFit="1" customWidth="1"/>
    <col min="10251" max="10254" width="0" style="170" hidden="1" customWidth="1"/>
    <col min="10255" max="10255" width="10.5703125" style="170" bestFit="1" customWidth="1"/>
    <col min="10256" max="10256" width="0" style="170" hidden="1" customWidth="1"/>
    <col min="10257" max="10257" width="2.7109375" style="170" customWidth="1"/>
    <col min="10258" max="10258" width="0" style="170" hidden="1" customWidth="1"/>
    <col min="10259" max="10259" width="11.85546875" style="170" bestFit="1" customWidth="1"/>
    <col min="10260" max="10263" width="0" style="170" hidden="1" customWidth="1"/>
    <col min="10264" max="10264" width="10.5703125" style="170" bestFit="1" customWidth="1"/>
    <col min="10265" max="10265" width="0" style="170" hidden="1" customWidth="1"/>
    <col min="10266" max="10266" width="2.7109375" style="170" customWidth="1"/>
    <col min="10267" max="10267" width="12.42578125" style="170" bestFit="1" customWidth="1"/>
    <col min="10268" max="10268" width="11.85546875" style="170" bestFit="1" customWidth="1"/>
    <col min="10269" max="10272" width="15.42578125" style="170" bestFit="1" customWidth="1"/>
    <col min="10273" max="10273" width="13.7109375" style="170" bestFit="1" customWidth="1"/>
    <col min="10274" max="10274" width="13.28515625" style="170" bestFit="1" customWidth="1"/>
    <col min="10275" max="10275" width="2.7109375" style="170" customWidth="1"/>
    <col min="10276" max="10276" width="10.7109375" style="170" customWidth="1"/>
    <col min="10277" max="10277" width="11.85546875" style="170" bestFit="1" customWidth="1"/>
    <col min="10278" max="10281" width="15.42578125" style="170" bestFit="1" customWidth="1"/>
    <col min="10282" max="10282" width="13.7109375" style="170" bestFit="1" customWidth="1"/>
    <col min="10283" max="10283" width="17.7109375" style="170" bestFit="1" customWidth="1"/>
    <col min="10284" max="10498" width="9.140625" style="170"/>
    <col min="10499" max="10499" width="20.42578125" style="170" bestFit="1" customWidth="1"/>
    <col min="10500" max="10503" width="0" style="170" hidden="1" customWidth="1"/>
    <col min="10504" max="10504" width="54.28515625" style="170" customWidth="1"/>
    <col min="10505" max="10505" width="0" style="170" hidden="1" customWidth="1"/>
    <col min="10506" max="10506" width="11.85546875" style="170" bestFit="1" customWidth="1"/>
    <col min="10507" max="10510" width="0" style="170" hidden="1" customWidth="1"/>
    <col min="10511" max="10511" width="10.5703125" style="170" bestFit="1" customWidth="1"/>
    <col min="10512" max="10512" width="0" style="170" hidden="1" customWidth="1"/>
    <col min="10513" max="10513" width="2.7109375" style="170" customWidth="1"/>
    <col min="10514" max="10514" width="0" style="170" hidden="1" customWidth="1"/>
    <col min="10515" max="10515" width="11.85546875" style="170" bestFit="1" customWidth="1"/>
    <col min="10516" max="10519" width="0" style="170" hidden="1" customWidth="1"/>
    <col min="10520" max="10520" width="10.5703125" style="170" bestFit="1" customWidth="1"/>
    <col min="10521" max="10521" width="0" style="170" hidden="1" customWidth="1"/>
    <col min="10522" max="10522" width="2.7109375" style="170" customWidth="1"/>
    <col min="10523" max="10523" width="12.42578125" style="170" bestFit="1" customWidth="1"/>
    <col min="10524" max="10524" width="11.85546875" style="170" bestFit="1" customWidth="1"/>
    <col min="10525" max="10528" width="15.42578125" style="170" bestFit="1" customWidth="1"/>
    <col min="10529" max="10529" width="13.7109375" style="170" bestFit="1" customWidth="1"/>
    <col min="10530" max="10530" width="13.28515625" style="170" bestFit="1" customWidth="1"/>
    <col min="10531" max="10531" width="2.7109375" style="170" customWidth="1"/>
    <col min="10532" max="10532" width="10.7109375" style="170" customWidth="1"/>
    <col min="10533" max="10533" width="11.85546875" style="170" bestFit="1" customWidth="1"/>
    <col min="10534" max="10537" width="15.42578125" style="170" bestFit="1" customWidth="1"/>
    <col min="10538" max="10538" width="13.7109375" style="170" bestFit="1" customWidth="1"/>
    <col min="10539" max="10539" width="17.7109375" style="170" bestFit="1" customWidth="1"/>
    <col min="10540" max="10754" width="9.140625" style="170"/>
    <col min="10755" max="10755" width="20.42578125" style="170" bestFit="1" customWidth="1"/>
    <col min="10756" max="10759" width="0" style="170" hidden="1" customWidth="1"/>
    <col min="10760" max="10760" width="54.28515625" style="170" customWidth="1"/>
    <col min="10761" max="10761" width="0" style="170" hidden="1" customWidth="1"/>
    <col min="10762" max="10762" width="11.85546875" style="170" bestFit="1" customWidth="1"/>
    <col min="10763" max="10766" width="0" style="170" hidden="1" customWidth="1"/>
    <col min="10767" max="10767" width="10.5703125" style="170" bestFit="1" customWidth="1"/>
    <col min="10768" max="10768" width="0" style="170" hidden="1" customWidth="1"/>
    <col min="10769" max="10769" width="2.7109375" style="170" customWidth="1"/>
    <col min="10770" max="10770" width="0" style="170" hidden="1" customWidth="1"/>
    <col min="10771" max="10771" width="11.85546875" style="170" bestFit="1" customWidth="1"/>
    <col min="10772" max="10775" width="0" style="170" hidden="1" customWidth="1"/>
    <col min="10776" max="10776" width="10.5703125" style="170" bestFit="1" customWidth="1"/>
    <col min="10777" max="10777" width="0" style="170" hidden="1" customWidth="1"/>
    <col min="10778" max="10778" width="2.7109375" style="170" customWidth="1"/>
    <col min="10779" max="10779" width="12.42578125" style="170" bestFit="1" customWidth="1"/>
    <col min="10780" max="10780" width="11.85546875" style="170" bestFit="1" customWidth="1"/>
    <col min="10781" max="10784" width="15.42578125" style="170" bestFit="1" customWidth="1"/>
    <col min="10785" max="10785" width="13.7109375" style="170" bestFit="1" customWidth="1"/>
    <col min="10786" max="10786" width="13.28515625" style="170" bestFit="1" customWidth="1"/>
    <col min="10787" max="10787" width="2.7109375" style="170" customWidth="1"/>
    <col min="10788" max="10788" width="10.7109375" style="170" customWidth="1"/>
    <col min="10789" max="10789" width="11.85546875" style="170" bestFit="1" customWidth="1"/>
    <col min="10790" max="10793" width="15.42578125" style="170" bestFit="1" customWidth="1"/>
    <col min="10794" max="10794" width="13.7109375" style="170" bestFit="1" customWidth="1"/>
    <col min="10795" max="10795" width="17.7109375" style="170" bestFit="1" customWidth="1"/>
    <col min="10796" max="11010" width="9.140625" style="170"/>
    <col min="11011" max="11011" width="20.42578125" style="170" bestFit="1" customWidth="1"/>
    <col min="11012" max="11015" width="0" style="170" hidden="1" customWidth="1"/>
    <col min="11016" max="11016" width="54.28515625" style="170" customWidth="1"/>
    <col min="11017" max="11017" width="0" style="170" hidden="1" customWidth="1"/>
    <col min="11018" max="11018" width="11.85546875" style="170" bestFit="1" customWidth="1"/>
    <col min="11019" max="11022" width="0" style="170" hidden="1" customWidth="1"/>
    <col min="11023" max="11023" width="10.5703125" style="170" bestFit="1" customWidth="1"/>
    <col min="11024" max="11024" width="0" style="170" hidden="1" customWidth="1"/>
    <col min="11025" max="11025" width="2.7109375" style="170" customWidth="1"/>
    <col min="11026" max="11026" width="0" style="170" hidden="1" customWidth="1"/>
    <col min="11027" max="11027" width="11.85546875" style="170" bestFit="1" customWidth="1"/>
    <col min="11028" max="11031" width="0" style="170" hidden="1" customWidth="1"/>
    <col min="11032" max="11032" width="10.5703125" style="170" bestFit="1" customWidth="1"/>
    <col min="11033" max="11033" width="0" style="170" hidden="1" customWidth="1"/>
    <col min="11034" max="11034" width="2.7109375" style="170" customWidth="1"/>
    <col min="11035" max="11035" width="12.42578125" style="170" bestFit="1" customWidth="1"/>
    <col min="11036" max="11036" width="11.85546875" style="170" bestFit="1" customWidth="1"/>
    <col min="11037" max="11040" width="15.42578125" style="170" bestFit="1" customWidth="1"/>
    <col min="11041" max="11041" width="13.7109375" style="170" bestFit="1" customWidth="1"/>
    <col min="11042" max="11042" width="13.28515625" style="170" bestFit="1" customWidth="1"/>
    <col min="11043" max="11043" width="2.7109375" style="170" customWidth="1"/>
    <col min="11044" max="11044" width="10.7109375" style="170" customWidth="1"/>
    <col min="11045" max="11045" width="11.85546875" style="170" bestFit="1" customWidth="1"/>
    <col min="11046" max="11049" width="15.42578125" style="170" bestFit="1" customWidth="1"/>
    <col min="11050" max="11050" width="13.7109375" style="170" bestFit="1" customWidth="1"/>
    <col min="11051" max="11051" width="17.7109375" style="170" bestFit="1" customWidth="1"/>
    <col min="11052" max="11266" width="9.140625" style="170"/>
    <col min="11267" max="11267" width="20.42578125" style="170" bestFit="1" customWidth="1"/>
    <col min="11268" max="11271" width="0" style="170" hidden="1" customWidth="1"/>
    <col min="11272" max="11272" width="54.28515625" style="170" customWidth="1"/>
    <col min="11273" max="11273" width="0" style="170" hidden="1" customWidth="1"/>
    <col min="11274" max="11274" width="11.85546875" style="170" bestFit="1" customWidth="1"/>
    <col min="11275" max="11278" width="0" style="170" hidden="1" customWidth="1"/>
    <col min="11279" max="11279" width="10.5703125" style="170" bestFit="1" customWidth="1"/>
    <col min="11280" max="11280" width="0" style="170" hidden="1" customWidth="1"/>
    <col min="11281" max="11281" width="2.7109375" style="170" customWidth="1"/>
    <col min="11282" max="11282" width="0" style="170" hidden="1" customWidth="1"/>
    <col min="11283" max="11283" width="11.85546875" style="170" bestFit="1" customWidth="1"/>
    <col min="11284" max="11287" width="0" style="170" hidden="1" customWidth="1"/>
    <col min="11288" max="11288" width="10.5703125" style="170" bestFit="1" customWidth="1"/>
    <col min="11289" max="11289" width="0" style="170" hidden="1" customWidth="1"/>
    <col min="11290" max="11290" width="2.7109375" style="170" customWidth="1"/>
    <col min="11291" max="11291" width="12.42578125" style="170" bestFit="1" customWidth="1"/>
    <col min="11292" max="11292" width="11.85546875" style="170" bestFit="1" customWidth="1"/>
    <col min="11293" max="11296" width="15.42578125" style="170" bestFit="1" customWidth="1"/>
    <col min="11297" max="11297" width="13.7109375" style="170" bestFit="1" customWidth="1"/>
    <col min="11298" max="11298" width="13.28515625" style="170" bestFit="1" customWidth="1"/>
    <col min="11299" max="11299" width="2.7109375" style="170" customWidth="1"/>
    <col min="11300" max="11300" width="10.7109375" style="170" customWidth="1"/>
    <col min="11301" max="11301" width="11.85546875" style="170" bestFit="1" customWidth="1"/>
    <col min="11302" max="11305" width="15.42578125" style="170" bestFit="1" customWidth="1"/>
    <col min="11306" max="11306" width="13.7109375" style="170" bestFit="1" customWidth="1"/>
    <col min="11307" max="11307" width="17.7109375" style="170" bestFit="1" customWidth="1"/>
    <col min="11308" max="11522" width="9.140625" style="170"/>
    <col min="11523" max="11523" width="20.42578125" style="170" bestFit="1" customWidth="1"/>
    <col min="11524" max="11527" width="0" style="170" hidden="1" customWidth="1"/>
    <col min="11528" max="11528" width="54.28515625" style="170" customWidth="1"/>
    <col min="11529" max="11529" width="0" style="170" hidden="1" customWidth="1"/>
    <col min="11530" max="11530" width="11.85546875" style="170" bestFit="1" customWidth="1"/>
    <col min="11531" max="11534" width="0" style="170" hidden="1" customWidth="1"/>
    <col min="11535" max="11535" width="10.5703125" style="170" bestFit="1" customWidth="1"/>
    <col min="11536" max="11536" width="0" style="170" hidden="1" customWidth="1"/>
    <col min="11537" max="11537" width="2.7109375" style="170" customWidth="1"/>
    <col min="11538" max="11538" width="0" style="170" hidden="1" customWidth="1"/>
    <col min="11539" max="11539" width="11.85546875" style="170" bestFit="1" customWidth="1"/>
    <col min="11540" max="11543" width="0" style="170" hidden="1" customWidth="1"/>
    <col min="11544" max="11544" width="10.5703125" style="170" bestFit="1" customWidth="1"/>
    <col min="11545" max="11545" width="0" style="170" hidden="1" customWidth="1"/>
    <col min="11546" max="11546" width="2.7109375" style="170" customWidth="1"/>
    <col min="11547" max="11547" width="12.42578125" style="170" bestFit="1" customWidth="1"/>
    <col min="11548" max="11548" width="11.85546875" style="170" bestFit="1" customWidth="1"/>
    <col min="11549" max="11552" width="15.42578125" style="170" bestFit="1" customWidth="1"/>
    <col min="11553" max="11553" width="13.7109375" style="170" bestFit="1" customWidth="1"/>
    <col min="11554" max="11554" width="13.28515625" style="170" bestFit="1" customWidth="1"/>
    <col min="11555" max="11555" width="2.7109375" style="170" customWidth="1"/>
    <col min="11556" max="11556" width="10.7109375" style="170" customWidth="1"/>
    <col min="11557" max="11557" width="11.85546875" style="170" bestFit="1" customWidth="1"/>
    <col min="11558" max="11561" width="15.42578125" style="170" bestFit="1" customWidth="1"/>
    <col min="11562" max="11562" width="13.7109375" style="170" bestFit="1" customWidth="1"/>
    <col min="11563" max="11563" width="17.7109375" style="170" bestFit="1" customWidth="1"/>
    <col min="11564" max="11778" width="9.140625" style="170"/>
    <col min="11779" max="11779" width="20.42578125" style="170" bestFit="1" customWidth="1"/>
    <col min="11780" max="11783" width="0" style="170" hidden="1" customWidth="1"/>
    <col min="11784" max="11784" width="54.28515625" style="170" customWidth="1"/>
    <col min="11785" max="11785" width="0" style="170" hidden="1" customWidth="1"/>
    <col min="11786" max="11786" width="11.85546875" style="170" bestFit="1" customWidth="1"/>
    <col min="11787" max="11790" width="0" style="170" hidden="1" customWidth="1"/>
    <col min="11791" max="11791" width="10.5703125" style="170" bestFit="1" customWidth="1"/>
    <col min="11792" max="11792" width="0" style="170" hidden="1" customWidth="1"/>
    <col min="11793" max="11793" width="2.7109375" style="170" customWidth="1"/>
    <col min="11794" max="11794" width="0" style="170" hidden="1" customWidth="1"/>
    <col min="11795" max="11795" width="11.85546875" style="170" bestFit="1" customWidth="1"/>
    <col min="11796" max="11799" width="0" style="170" hidden="1" customWidth="1"/>
    <col min="11800" max="11800" width="10.5703125" style="170" bestFit="1" customWidth="1"/>
    <col min="11801" max="11801" width="0" style="170" hidden="1" customWidth="1"/>
    <col min="11802" max="11802" width="2.7109375" style="170" customWidth="1"/>
    <col min="11803" max="11803" width="12.42578125" style="170" bestFit="1" customWidth="1"/>
    <col min="11804" max="11804" width="11.85546875" style="170" bestFit="1" customWidth="1"/>
    <col min="11805" max="11808" width="15.42578125" style="170" bestFit="1" customWidth="1"/>
    <col min="11809" max="11809" width="13.7109375" style="170" bestFit="1" customWidth="1"/>
    <col min="11810" max="11810" width="13.28515625" style="170" bestFit="1" customWidth="1"/>
    <col min="11811" max="11811" width="2.7109375" style="170" customWidth="1"/>
    <col min="11812" max="11812" width="10.7109375" style="170" customWidth="1"/>
    <col min="11813" max="11813" width="11.85546875" style="170" bestFit="1" customWidth="1"/>
    <col min="11814" max="11817" width="15.42578125" style="170" bestFit="1" customWidth="1"/>
    <col min="11818" max="11818" width="13.7109375" style="170" bestFit="1" customWidth="1"/>
    <col min="11819" max="11819" width="17.7109375" style="170" bestFit="1" customWidth="1"/>
    <col min="11820" max="12034" width="9.140625" style="170"/>
    <col min="12035" max="12035" width="20.42578125" style="170" bestFit="1" customWidth="1"/>
    <col min="12036" max="12039" width="0" style="170" hidden="1" customWidth="1"/>
    <col min="12040" max="12040" width="54.28515625" style="170" customWidth="1"/>
    <col min="12041" max="12041" width="0" style="170" hidden="1" customWidth="1"/>
    <col min="12042" max="12042" width="11.85546875" style="170" bestFit="1" customWidth="1"/>
    <col min="12043" max="12046" width="0" style="170" hidden="1" customWidth="1"/>
    <col min="12047" max="12047" width="10.5703125" style="170" bestFit="1" customWidth="1"/>
    <col min="12048" max="12048" width="0" style="170" hidden="1" customWidth="1"/>
    <col min="12049" max="12049" width="2.7109375" style="170" customWidth="1"/>
    <col min="12050" max="12050" width="0" style="170" hidden="1" customWidth="1"/>
    <col min="12051" max="12051" width="11.85546875" style="170" bestFit="1" customWidth="1"/>
    <col min="12052" max="12055" width="0" style="170" hidden="1" customWidth="1"/>
    <col min="12056" max="12056" width="10.5703125" style="170" bestFit="1" customWidth="1"/>
    <col min="12057" max="12057" width="0" style="170" hidden="1" customWidth="1"/>
    <col min="12058" max="12058" width="2.7109375" style="170" customWidth="1"/>
    <col min="12059" max="12059" width="12.42578125" style="170" bestFit="1" customWidth="1"/>
    <col min="12060" max="12060" width="11.85546875" style="170" bestFit="1" customWidth="1"/>
    <col min="12061" max="12064" width="15.42578125" style="170" bestFit="1" customWidth="1"/>
    <col min="12065" max="12065" width="13.7109375" style="170" bestFit="1" customWidth="1"/>
    <col min="12066" max="12066" width="13.28515625" style="170" bestFit="1" customWidth="1"/>
    <col min="12067" max="12067" width="2.7109375" style="170" customWidth="1"/>
    <col min="12068" max="12068" width="10.7109375" style="170" customWidth="1"/>
    <col min="12069" max="12069" width="11.85546875" style="170" bestFit="1" customWidth="1"/>
    <col min="12070" max="12073" width="15.42578125" style="170" bestFit="1" customWidth="1"/>
    <col min="12074" max="12074" width="13.7109375" style="170" bestFit="1" customWidth="1"/>
    <col min="12075" max="12075" width="17.7109375" style="170" bestFit="1" customWidth="1"/>
    <col min="12076" max="12290" width="9.140625" style="170"/>
    <col min="12291" max="12291" width="20.42578125" style="170" bestFit="1" customWidth="1"/>
    <col min="12292" max="12295" width="0" style="170" hidden="1" customWidth="1"/>
    <col min="12296" max="12296" width="54.28515625" style="170" customWidth="1"/>
    <col min="12297" max="12297" width="0" style="170" hidden="1" customWidth="1"/>
    <col min="12298" max="12298" width="11.85546875" style="170" bestFit="1" customWidth="1"/>
    <col min="12299" max="12302" width="0" style="170" hidden="1" customWidth="1"/>
    <col min="12303" max="12303" width="10.5703125" style="170" bestFit="1" customWidth="1"/>
    <col min="12304" max="12304" width="0" style="170" hidden="1" customWidth="1"/>
    <col min="12305" max="12305" width="2.7109375" style="170" customWidth="1"/>
    <col min="12306" max="12306" width="0" style="170" hidden="1" customWidth="1"/>
    <col min="12307" max="12307" width="11.85546875" style="170" bestFit="1" customWidth="1"/>
    <col min="12308" max="12311" width="0" style="170" hidden="1" customWidth="1"/>
    <col min="12312" max="12312" width="10.5703125" style="170" bestFit="1" customWidth="1"/>
    <col min="12313" max="12313" width="0" style="170" hidden="1" customWidth="1"/>
    <col min="12314" max="12314" width="2.7109375" style="170" customWidth="1"/>
    <col min="12315" max="12315" width="12.42578125" style="170" bestFit="1" customWidth="1"/>
    <col min="12316" max="12316" width="11.85546875" style="170" bestFit="1" customWidth="1"/>
    <col min="12317" max="12320" width="15.42578125" style="170" bestFit="1" customWidth="1"/>
    <col min="12321" max="12321" width="13.7109375" style="170" bestFit="1" customWidth="1"/>
    <col min="12322" max="12322" width="13.28515625" style="170" bestFit="1" customWidth="1"/>
    <col min="12323" max="12323" width="2.7109375" style="170" customWidth="1"/>
    <col min="12324" max="12324" width="10.7109375" style="170" customWidth="1"/>
    <col min="12325" max="12325" width="11.85546875" style="170" bestFit="1" customWidth="1"/>
    <col min="12326" max="12329" width="15.42578125" style="170" bestFit="1" customWidth="1"/>
    <col min="12330" max="12330" width="13.7109375" style="170" bestFit="1" customWidth="1"/>
    <col min="12331" max="12331" width="17.7109375" style="170" bestFit="1" customWidth="1"/>
    <col min="12332" max="12546" width="9.140625" style="170"/>
    <col min="12547" max="12547" width="20.42578125" style="170" bestFit="1" customWidth="1"/>
    <col min="12548" max="12551" width="0" style="170" hidden="1" customWidth="1"/>
    <col min="12552" max="12552" width="54.28515625" style="170" customWidth="1"/>
    <col min="12553" max="12553" width="0" style="170" hidden="1" customWidth="1"/>
    <col min="12554" max="12554" width="11.85546875" style="170" bestFit="1" customWidth="1"/>
    <col min="12555" max="12558" width="0" style="170" hidden="1" customWidth="1"/>
    <col min="12559" max="12559" width="10.5703125" style="170" bestFit="1" customWidth="1"/>
    <col min="12560" max="12560" width="0" style="170" hidden="1" customWidth="1"/>
    <col min="12561" max="12561" width="2.7109375" style="170" customWidth="1"/>
    <col min="12562" max="12562" width="0" style="170" hidden="1" customWidth="1"/>
    <col min="12563" max="12563" width="11.85546875" style="170" bestFit="1" customWidth="1"/>
    <col min="12564" max="12567" width="0" style="170" hidden="1" customWidth="1"/>
    <col min="12568" max="12568" width="10.5703125" style="170" bestFit="1" customWidth="1"/>
    <col min="12569" max="12569" width="0" style="170" hidden="1" customWidth="1"/>
    <col min="12570" max="12570" width="2.7109375" style="170" customWidth="1"/>
    <col min="12571" max="12571" width="12.42578125" style="170" bestFit="1" customWidth="1"/>
    <col min="12572" max="12572" width="11.85546875" style="170" bestFit="1" customWidth="1"/>
    <col min="12573" max="12576" width="15.42578125" style="170" bestFit="1" customWidth="1"/>
    <col min="12577" max="12577" width="13.7109375" style="170" bestFit="1" customWidth="1"/>
    <col min="12578" max="12578" width="13.28515625" style="170" bestFit="1" customWidth="1"/>
    <col min="12579" max="12579" width="2.7109375" style="170" customWidth="1"/>
    <col min="12580" max="12580" width="10.7109375" style="170" customWidth="1"/>
    <col min="12581" max="12581" width="11.85546875" style="170" bestFit="1" customWidth="1"/>
    <col min="12582" max="12585" width="15.42578125" style="170" bestFit="1" customWidth="1"/>
    <col min="12586" max="12586" width="13.7109375" style="170" bestFit="1" customWidth="1"/>
    <col min="12587" max="12587" width="17.7109375" style="170" bestFit="1" customWidth="1"/>
    <col min="12588" max="12802" width="9.140625" style="170"/>
    <col min="12803" max="12803" width="20.42578125" style="170" bestFit="1" customWidth="1"/>
    <col min="12804" max="12807" width="0" style="170" hidden="1" customWidth="1"/>
    <col min="12808" max="12808" width="54.28515625" style="170" customWidth="1"/>
    <col min="12809" max="12809" width="0" style="170" hidden="1" customWidth="1"/>
    <col min="12810" max="12810" width="11.85546875" style="170" bestFit="1" customWidth="1"/>
    <col min="12811" max="12814" width="0" style="170" hidden="1" customWidth="1"/>
    <col min="12815" max="12815" width="10.5703125" style="170" bestFit="1" customWidth="1"/>
    <col min="12816" max="12816" width="0" style="170" hidden="1" customWidth="1"/>
    <col min="12817" max="12817" width="2.7109375" style="170" customWidth="1"/>
    <col min="12818" max="12818" width="0" style="170" hidden="1" customWidth="1"/>
    <col min="12819" max="12819" width="11.85546875" style="170" bestFit="1" customWidth="1"/>
    <col min="12820" max="12823" width="0" style="170" hidden="1" customWidth="1"/>
    <col min="12824" max="12824" width="10.5703125" style="170" bestFit="1" customWidth="1"/>
    <col min="12825" max="12825" width="0" style="170" hidden="1" customWidth="1"/>
    <col min="12826" max="12826" width="2.7109375" style="170" customWidth="1"/>
    <col min="12827" max="12827" width="12.42578125" style="170" bestFit="1" customWidth="1"/>
    <col min="12828" max="12828" width="11.85546875" style="170" bestFit="1" customWidth="1"/>
    <col min="12829" max="12832" width="15.42578125" style="170" bestFit="1" customWidth="1"/>
    <col min="12833" max="12833" width="13.7109375" style="170" bestFit="1" customWidth="1"/>
    <col min="12834" max="12834" width="13.28515625" style="170" bestFit="1" customWidth="1"/>
    <col min="12835" max="12835" width="2.7109375" style="170" customWidth="1"/>
    <col min="12836" max="12836" width="10.7109375" style="170" customWidth="1"/>
    <col min="12837" max="12837" width="11.85546875" style="170" bestFit="1" customWidth="1"/>
    <col min="12838" max="12841" width="15.42578125" style="170" bestFit="1" customWidth="1"/>
    <col min="12842" max="12842" width="13.7109375" style="170" bestFit="1" customWidth="1"/>
    <col min="12843" max="12843" width="17.7109375" style="170" bestFit="1" customWidth="1"/>
    <col min="12844" max="13058" width="9.140625" style="170"/>
    <col min="13059" max="13059" width="20.42578125" style="170" bestFit="1" customWidth="1"/>
    <col min="13060" max="13063" width="0" style="170" hidden="1" customWidth="1"/>
    <col min="13064" max="13064" width="54.28515625" style="170" customWidth="1"/>
    <col min="13065" max="13065" width="0" style="170" hidden="1" customWidth="1"/>
    <col min="13066" max="13066" width="11.85546875" style="170" bestFit="1" customWidth="1"/>
    <col min="13067" max="13070" width="0" style="170" hidden="1" customWidth="1"/>
    <col min="13071" max="13071" width="10.5703125" style="170" bestFit="1" customWidth="1"/>
    <col min="13072" max="13072" width="0" style="170" hidden="1" customWidth="1"/>
    <col min="13073" max="13073" width="2.7109375" style="170" customWidth="1"/>
    <col min="13074" max="13074" width="0" style="170" hidden="1" customWidth="1"/>
    <col min="13075" max="13075" width="11.85546875" style="170" bestFit="1" customWidth="1"/>
    <col min="13076" max="13079" width="0" style="170" hidden="1" customWidth="1"/>
    <col min="13080" max="13080" width="10.5703125" style="170" bestFit="1" customWidth="1"/>
    <col min="13081" max="13081" width="0" style="170" hidden="1" customWidth="1"/>
    <col min="13082" max="13082" width="2.7109375" style="170" customWidth="1"/>
    <col min="13083" max="13083" width="12.42578125" style="170" bestFit="1" customWidth="1"/>
    <col min="13084" max="13084" width="11.85546875" style="170" bestFit="1" customWidth="1"/>
    <col min="13085" max="13088" width="15.42578125" style="170" bestFit="1" customWidth="1"/>
    <col min="13089" max="13089" width="13.7109375" style="170" bestFit="1" customWidth="1"/>
    <col min="13090" max="13090" width="13.28515625" style="170" bestFit="1" customWidth="1"/>
    <col min="13091" max="13091" width="2.7109375" style="170" customWidth="1"/>
    <col min="13092" max="13092" width="10.7109375" style="170" customWidth="1"/>
    <col min="13093" max="13093" width="11.85546875" style="170" bestFit="1" customWidth="1"/>
    <col min="13094" max="13097" width="15.42578125" style="170" bestFit="1" customWidth="1"/>
    <col min="13098" max="13098" width="13.7109375" style="170" bestFit="1" customWidth="1"/>
    <col min="13099" max="13099" width="17.7109375" style="170" bestFit="1" customWidth="1"/>
    <col min="13100" max="13314" width="9.140625" style="170"/>
    <col min="13315" max="13315" width="20.42578125" style="170" bestFit="1" customWidth="1"/>
    <col min="13316" max="13319" width="0" style="170" hidden="1" customWidth="1"/>
    <col min="13320" max="13320" width="54.28515625" style="170" customWidth="1"/>
    <col min="13321" max="13321" width="0" style="170" hidden="1" customWidth="1"/>
    <col min="13322" max="13322" width="11.85546875" style="170" bestFit="1" customWidth="1"/>
    <col min="13323" max="13326" width="0" style="170" hidden="1" customWidth="1"/>
    <col min="13327" max="13327" width="10.5703125" style="170" bestFit="1" customWidth="1"/>
    <col min="13328" max="13328" width="0" style="170" hidden="1" customWidth="1"/>
    <col min="13329" max="13329" width="2.7109375" style="170" customWidth="1"/>
    <col min="13330" max="13330" width="0" style="170" hidden="1" customWidth="1"/>
    <col min="13331" max="13331" width="11.85546875" style="170" bestFit="1" customWidth="1"/>
    <col min="13332" max="13335" width="0" style="170" hidden="1" customWidth="1"/>
    <col min="13336" max="13336" width="10.5703125" style="170" bestFit="1" customWidth="1"/>
    <col min="13337" max="13337" width="0" style="170" hidden="1" customWidth="1"/>
    <col min="13338" max="13338" width="2.7109375" style="170" customWidth="1"/>
    <col min="13339" max="13339" width="12.42578125" style="170" bestFit="1" customWidth="1"/>
    <col min="13340" max="13340" width="11.85546875" style="170" bestFit="1" customWidth="1"/>
    <col min="13341" max="13344" width="15.42578125" style="170" bestFit="1" customWidth="1"/>
    <col min="13345" max="13345" width="13.7109375" style="170" bestFit="1" customWidth="1"/>
    <col min="13346" max="13346" width="13.28515625" style="170" bestFit="1" customWidth="1"/>
    <col min="13347" max="13347" width="2.7109375" style="170" customWidth="1"/>
    <col min="13348" max="13348" width="10.7109375" style="170" customWidth="1"/>
    <col min="13349" max="13349" width="11.85546875" style="170" bestFit="1" customWidth="1"/>
    <col min="13350" max="13353" width="15.42578125" style="170" bestFit="1" customWidth="1"/>
    <col min="13354" max="13354" width="13.7109375" style="170" bestFit="1" customWidth="1"/>
    <col min="13355" max="13355" width="17.7109375" style="170" bestFit="1" customWidth="1"/>
    <col min="13356" max="13570" width="9.140625" style="170"/>
    <col min="13571" max="13571" width="20.42578125" style="170" bestFit="1" customWidth="1"/>
    <col min="13572" max="13575" width="0" style="170" hidden="1" customWidth="1"/>
    <col min="13576" max="13576" width="54.28515625" style="170" customWidth="1"/>
    <col min="13577" max="13577" width="0" style="170" hidden="1" customWidth="1"/>
    <col min="13578" max="13578" width="11.85546875" style="170" bestFit="1" customWidth="1"/>
    <col min="13579" max="13582" width="0" style="170" hidden="1" customWidth="1"/>
    <col min="13583" max="13583" width="10.5703125" style="170" bestFit="1" customWidth="1"/>
    <col min="13584" max="13584" width="0" style="170" hidden="1" customWidth="1"/>
    <col min="13585" max="13585" width="2.7109375" style="170" customWidth="1"/>
    <col min="13586" max="13586" width="0" style="170" hidden="1" customWidth="1"/>
    <col min="13587" max="13587" width="11.85546875" style="170" bestFit="1" customWidth="1"/>
    <col min="13588" max="13591" width="0" style="170" hidden="1" customWidth="1"/>
    <col min="13592" max="13592" width="10.5703125" style="170" bestFit="1" customWidth="1"/>
    <col min="13593" max="13593" width="0" style="170" hidden="1" customWidth="1"/>
    <col min="13594" max="13594" width="2.7109375" style="170" customWidth="1"/>
    <col min="13595" max="13595" width="12.42578125" style="170" bestFit="1" customWidth="1"/>
    <col min="13596" max="13596" width="11.85546875" style="170" bestFit="1" customWidth="1"/>
    <col min="13597" max="13600" width="15.42578125" style="170" bestFit="1" customWidth="1"/>
    <col min="13601" max="13601" width="13.7109375" style="170" bestFit="1" customWidth="1"/>
    <col min="13602" max="13602" width="13.28515625" style="170" bestFit="1" customWidth="1"/>
    <col min="13603" max="13603" width="2.7109375" style="170" customWidth="1"/>
    <col min="13604" max="13604" width="10.7109375" style="170" customWidth="1"/>
    <col min="13605" max="13605" width="11.85546875" style="170" bestFit="1" customWidth="1"/>
    <col min="13606" max="13609" width="15.42578125" style="170" bestFit="1" customWidth="1"/>
    <col min="13610" max="13610" width="13.7109375" style="170" bestFit="1" customWidth="1"/>
    <col min="13611" max="13611" width="17.7109375" style="170" bestFit="1" customWidth="1"/>
    <col min="13612" max="13826" width="9.140625" style="170"/>
    <col min="13827" max="13827" width="20.42578125" style="170" bestFit="1" customWidth="1"/>
    <col min="13828" max="13831" width="0" style="170" hidden="1" customWidth="1"/>
    <col min="13832" max="13832" width="54.28515625" style="170" customWidth="1"/>
    <col min="13833" max="13833" width="0" style="170" hidden="1" customWidth="1"/>
    <col min="13834" max="13834" width="11.85546875" style="170" bestFit="1" customWidth="1"/>
    <col min="13835" max="13838" width="0" style="170" hidden="1" customWidth="1"/>
    <col min="13839" max="13839" width="10.5703125" style="170" bestFit="1" customWidth="1"/>
    <col min="13840" max="13840" width="0" style="170" hidden="1" customWidth="1"/>
    <col min="13841" max="13841" width="2.7109375" style="170" customWidth="1"/>
    <col min="13842" max="13842" width="0" style="170" hidden="1" customWidth="1"/>
    <col min="13843" max="13843" width="11.85546875" style="170" bestFit="1" customWidth="1"/>
    <col min="13844" max="13847" width="0" style="170" hidden="1" customWidth="1"/>
    <col min="13848" max="13848" width="10.5703125" style="170" bestFit="1" customWidth="1"/>
    <col min="13849" max="13849" width="0" style="170" hidden="1" customWidth="1"/>
    <col min="13850" max="13850" width="2.7109375" style="170" customWidth="1"/>
    <col min="13851" max="13851" width="12.42578125" style="170" bestFit="1" customWidth="1"/>
    <col min="13852" max="13852" width="11.85546875" style="170" bestFit="1" customWidth="1"/>
    <col min="13853" max="13856" width="15.42578125" style="170" bestFit="1" customWidth="1"/>
    <col min="13857" max="13857" width="13.7109375" style="170" bestFit="1" customWidth="1"/>
    <col min="13858" max="13858" width="13.28515625" style="170" bestFit="1" customWidth="1"/>
    <col min="13859" max="13859" width="2.7109375" style="170" customWidth="1"/>
    <col min="13860" max="13860" width="10.7109375" style="170" customWidth="1"/>
    <col min="13861" max="13861" width="11.85546875" style="170" bestFit="1" customWidth="1"/>
    <col min="13862" max="13865" width="15.42578125" style="170" bestFit="1" customWidth="1"/>
    <col min="13866" max="13866" width="13.7109375" style="170" bestFit="1" customWidth="1"/>
    <col min="13867" max="13867" width="17.7109375" style="170" bestFit="1" customWidth="1"/>
    <col min="13868" max="14082" width="9.140625" style="170"/>
    <col min="14083" max="14083" width="20.42578125" style="170" bestFit="1" customWidth="1"/>
    <col min="14084" max="14087" width="0" style="170" hidden="1" customWidth="1"/>
    <col min="14088" max="14088" width="54.28515625" style="170" customWidth="1"/>
    <col min="14089" max="14089" width="0" style="170" hidden="1" customWidth="1"/>
    <col min="14090" max="14090" width="11.85546875" style="170" bestFit="1" customWidth="1"/>
    <col min="14091" max="14094" width="0" style="170" hidden="1" customWidth="1"/>
    <col min="14095" max="14095" width="10.5703125" style="170" bestFit="1" customWidth="1"/>
    <col min="14096" max="14096" width="0" style="170" hidden="1" customWidth="1"/>
    <col min="14097" max="14097" width="2.7109375" style="170" customWidth="1"/>
    <col min="14098" max="14098" width="0" style="170" hidden="1" customWidth="1"/>
    <col min="14099" max="14099" width="11.85546875" style="170" bestFit="1" customWidth="1"/>
    <col min="14100" max="14103" width="0" style="170" hidden="1" customWidth="1"/>
    <col min="14104" max="14104" width="10.5703125" style="170" bestFit="1" customWidth="1"/>
    <col min="14105" max="14105" width="0" style="170" hidden="1" customWidth="1"/>
    <col min="14106" max="14106" width="2.7109375" style="170" customWidth="1"/>
    <col min="14107" max="14107" width="12.42578125" style="170" bestFit="1" customWidth="1"/>
    <col min="14108" max="14108" width="11.85546875" style="170" bestFit="1" customWidth="1"/>
    <col min="14109" max="14112" width="15.42578125" style="170" bestFit="1" customWidth="1"/>
    <col min="14113" max="14113" width="13.7109375" style="170" bestFit="1" customWidth="1"/>
    <col min="14114" max="14114" width="13.28515625" style="170" bestFit="1" customWidth="1"/>
    <col min="14115" max="14115" width="2.7109375" style="170" customWidth="1"/>
    <col min="14116" max="14116" width="10.7109375" style="170" customWidth="1"/>
    <col min="14117" max="14117" width="11.85546875" style="170" bestFit="1" customWidth="1"/>
    <col min="14118" max="14121" width="15.42578125" style="170" bestFit="1" customWidth="1"/>
    <col min="14122" max="14122" width="13.7109375" style="170" bestFit="1" customWidth="1"/>
    <col min="14123" max="14123" width="17.7109375" style="170" bestFit="1" customWidth="1"/>
    <col min="14124" max="14338" width="9.140625" style="170"/>
    <col min="14339" max="14339" width="20.42578125" style="170" bestFit="1" customWidth="1"/>
    <col min="14340" max="14343" width="0" style="170" hidden="1" customWidth="1"/>
    <col min="14344" max="14344" width="54.28515625" style="170" customWidth="1"/>
    <col min="14345" max="14345" width="0" style="170" hidden="1" customWidth="1"/>
    <col min="14346" max="14346" width="11.85546875" style="170" bestFit="1" customWidth="1"/>
    <col min="14347" max="14350" width="0" style="170" hidden="1" customWidth="1"/>
    <col min="14351" max="14351" width="10.5703125" style="170" bestFit="1" customWidth="1"/>
    <col min="14352" max="14352" width="0" style="170" hidden="1" customWidth="1"/>
    <col min="14353" max="14353" width="2.7109375" style="170" customWidth="1"/>
    <col min="14354" max="14354" width="0" style="170" hidden="1" customWidth="1"/>
    <col min="14355" max="14355" width="11.85546875" style="170" bestFit="1" customWidth="1"/>
    <col min="14356" max="14359" width="0" style="170" hidden="1" customWidth="1"/>
    <col min="14360" max="14360" width="10.5703125" style="170" bestFit="1" customWidth="1"/>
    <col min="14361" max="14361" width="0" style="170" hidden="1" customWidth="1"/>
    <col min="14362" max="14362" width="2.7109375" style="170" customWidth="1"/>
    <col min="14363" max="14363" width="12.42578125" style="170" bestFit="1" customWidth="1"/>
    <col min="14364" max="14364" width="11.85546875" style="170" bestFit="1" customWidth="1"/>
    <col min="14365" max="14368" width="15.42578125" style="170" bestFit="1" customWidth="1"/>
    <col min="14369" max="14369" width="13.7109375" style="170" bestFit="1" customWidth="1"/>
    <col min="14370" max="14370" width="13.28515625" style="170" bestFit="1" customWidth="1"/>
    <col min="14371" max="14371" width="2.7109375" style="170" customWidth="1"/>
    <col min="14372" max="14372" width="10.7109375" style="170" customWidth="1"/>
    <col min="14373" max="14373" width="11.85546875" style="170" bestFit="1" customWidth="1"/>
    <col min="14374" max="14377" width="15.42578125" style="170" bestFit="1" customWidth="1"/>
    <col min="14378" max="14378" width="13.7109375" style="170" bestFit="1" customWidth="1"/>
    <col min="14379" max="14379" width="17.7109375" style="170" bestFit="1" customWidth="1"/>
    <col min="14380" max="14594" width="9.140625" style="170"/>
    <col min="14595" max="14595" width="20.42578125" style="170" bestFit="1" customWidth="1"/>
    <col min="14596" max="14599" width="0" style="170" hidden="1" customWidth="1"/>
    <col min="14600" max="14600" width="54.28515625" style="170" customWidth="1"/>
    <col min="14601" max="14601" width="0" style="170" hidden="1" customWidth="1"/>
    <col min="14602" max="14602" width="11.85546875" style="170" bestFit="1" customWidth="1"/>
    <col min="14603" max="14606" width="0" style="170" hidden="1" customWidth="1"/>
    <col min="14607" max="14607" width="10.5703125" style="170" bestFit="1" customWidth="1"/>
    <col min="14608" max="14608" width="0" style="170" hidden="1" customWidth="1"/>
    <col min="14609" max="14609" width="2.7109375" style="170" customWidth="1"/>
    <col min="14610" max="14610" width="0" style="170" hidden="1" customWidth="1"/>
    <col min="14611" max="14611" width="11.85546875" style="170" bestFit="1" customWidth="1"/>
    <col min="14612" max="14615" width="0" style="170" hidden="1" customWidth="1"/>
    <col min="14616" max="14616" width="10.5703125" style="170" bestFit="1" customWidth="1"/>
    <col min="14617" max="14617" width="0" style="170" hidden="1" customWidth="1"/>
    <col min="14618" max="14618" width="2.7109375" style="170" customWidth="1"/>
    <col min="14619" max="14619" width="12.42578125" style="170" bestFit="1" customWidth="1"/>
    <col min="14620" max="14620" width="11.85546875" style="170" bestFit="1" customWidth="1"/>
    <col min="14621" max="14624" width="15.42578125" style="170" bestFit="1" customWidth="1"/>
    <col min="14625" max="14625" width="13.7109375" style="170" bestFit="1" customWidth="1"/>
    <col min="14626" max="14626" width="13.28515625" style="170" bestFit="1" customWidth="1"/>
    <col min="14627" max="14627" width="2.7109375" style="170" customWidth="1"/>
    <col min="14628" max="14628" width="10.7109375" style="170" customWidth="1"/>
    <col min="14629" max="14629" width="11.85546875" style="170" bestFit="1" customWidth="1"/>
    <col min="14630" max="14633" width="15.42578125" style="170" bestFit="1" customWidth="1"/>
    <col min="14634" max="14634" width="13.7109375" style="170" bestFit="1" customWidth="1"/>
    <col min="14635" max="14635" width="17.7109375" style="170" bestFit="1" customWidth="1"/>
    <col min="14636" max="14850" width="9.140625" style="170"/>
    <col min="14851" max="14851" width="20.42578125" style="170" bestFit="1" customWidth="1"/>
    <col min="14852" max="14855" width="0" style="170" hidden="1" customWidth="1"/>
    <col min="14856" max="14856" width="54.28515625" style="170" customWidth="1"/>
    <col min="14857" max="14857" width="0" style="170" hidden="1" customWidth="1"/>
    <col min="14858" max="14858" width="11.85546875" style="170" bestFit="1" customWidth="1"/>
    <col min="14859" max="14862" width="0" style="170" hidden="1" customWidth="1"/>
    <col min="14863" max="14863" width="10.5703125" style="170" bestFit="1" customWidth="1"/>
    <col min="14864" max="14864" width="0" style="170" hidden="1" customWidth="1"/>
    <col min="14865" max="14865" width="2.7109375" style="170" customWidth="1"/>
    <col min="14866" max="14866" width="0" style="170" hidden="1" customWidth="1"/>
    <col min="14867" max="14867" width="11.85546875" style="170" bestFit="1" customWidth="1"/>
    <col min="14868" max="14871" width="0" style="170" hidden="1" customWidth="1"/>
    <col min="14872" max="14872" width="10.5703125" style="170" bestFit="1" customWidth="1"/>
    <col min="14873" max="14873" width="0" style="170" hidden="1" customWidth="1"/>
    <col min="14874" max="14874" width="2.7109375" style="170" customWidth="1"/>
    <col min="14875" max="14875" width="12.42578125" style="170" bestFit="1" customWidth="1"/>
    <col min="14876" max="14876" width="11.85546875" style="170" bestFit="1" customWidth="1"/>
    <col min="14877" max="14880" width="15.42578125" style="170" bestFit="1" customWidth="1"/>
    <col min="14881" max="14881" width="13.7109375" style="170" bestFit="1" customWidth="1"/>
    <col min="14882" max="14882" width="13.28515625" style="170" bestFit="1" customWidth="1"/>
    <col min="14883" max="14883" width="2.7109375" style="170" customWidth="1"/>
    <col min="14884" max="14884" width="10.7109375" style="170" customWidth="1"/>
    <col min="14885" max="14885" width="11.85546875" style="170" bestFit="1" customWidth="1"/>
    <col min="14886" max="14889" width="15.42578125" style="170" bestFit="1" customWidth="1"/>
    <col min="14890" max="14890" width="13.7109375" style="170" bestFit="1" customWidth="1"/>
    <col min="14891" max="14891" width="17.7109375" style="170" bestFit="1" customWidth="1"/>
    <col min="14892" max="15106" width="9.140625" style="170"/>
    <col min="15107" max="15107" width="20.42578125" style="170" bestFit="1" customWidth="1"/>
    <col min="15108" max="15111" width="0" style="170" hidden="1" customWidth="1"/>
    <col min="15112" max="15112" width="54.28515625" style="170" customWidth="1"/>
    <col min="15113" max="15113" width="0" style="170" hidden="1" customWidth="1"/>
    <col min="15114" max="15114" width="11.85546875" style="170" bestFit="1" customWidth="1"/>
    <col min="15115" max="15118" width="0" style="170" hidden="1" customWidth="1"/>
    <col min="15119" max="15119" width="10.5703125" style="170" bestFit="1" customWidth="1"/>
    <col min="15120" max="15120" width="0" style="170" hidden="1" customWidth="1"/>
    <col min="15121" max="15121" width="2.7109375" style="170" customWidth="1"/>
    <col min="15122" max="15122" width="0" style="170" hidden="1" customWidth="1"/>
    <col min="15123" max="15123" width="11.85546875" style="170" bestFit="1" customWidth="1"/>
    <col min="15124" max="15127" width="0" style="170" hidden="1" customWidth="1"/>
    <col min="15128" max="15128" width="10.5703125" style="170" bestFit="1" customWidth="1"/>
    <col min="15129" max="15129" width="0" style="170" hidden="1" customWidth="1"/>
    <col min="15130" max="15130" width="2.7109375" style="170" customWidth="1"/>
    <col min="15131" max="15131" width="12.42578125" style="170" bestFit="1" customWidth="1"/>
    <col min="15132" max="15132" width="11.85546875" style="170" bestFit="1" customWidth="1"/>
    <col min="15133" max="15136" width="15.42578125" style="170" bestFit="1" customWidth="1"/>
    <col min="15137" max="15137" width="13.7109375" style="170" bestFit="1" customWidth="1"/>
    <col min="15138" max="15138" width="13.28515625" style="170" bestFit="1" customWidth="1"/>
    <col min="15139" max="15139" width="2.7109375" style="170" customWidth="1"/>
    <col min="15140" max="15140" width="10.7109375" style="170" customWidth="1"/>
    <col min="15141" max="15141" width="11.85546875" style="170" bestFit="1" customWidth="1"/>
    <col min="15142" max="15145" width="15.42578125" style="170" bestFit="1" customWidth="1"/>
    <col min="15146" max="15146" width="13.7109375" style="170" bestFit="1" customWidth="1"/>
    <col min="15147" max="15147" width="17.7109375" style="170" bestFit="1" customWidth="1"/>
    <col min="15148" max="15362" width="9.140625" style="170"/>
    <col min="15363" max="15363" width="20.42578125" style="170" bestFit="1" customWidth="1"/>
    <col min="15364" max="15367" width="0" style="170" hidden="1" customWidth="1"/>
    <col min="15368" max="15368" width="54.28515625" style="170" customWidth="1"/>
    <col min="15369" max="15369" width="0" style="170" hidden="1" customWidth="1"/>
    <col min="15370" max="15370" width="11.85546875" style="170" bestFit="1" customWidth="1"/>
    <col min="15371" max="15374" width="0" style="170" hidden="1" customWidth="1"/>
    <col min="15375" max="15375" width="10.5703125" style="170" bestFit="1" customWidth="1"/>
    <col min="15376" max="15376" width="0" style="170" hidden="1" customWidth="1"/>
    <col min="15377" max="15377" width="2.7109375" style="170" customWidth="1"/>
    <col min="15378" max="15378" width="0" style="170" hidden="1" customWidth="1"/>
    <col min="15379" max="15379" width="11.85546875" style="170" bestFit="1" customWidth="1"/>
    <col min="15380" max="15383" width="0" style="170" hidden="1" customWidth="1"/>
    <col min="15384" max="15384" width="10.5703125" style="170" bestFit="1" customWidth="1"/>
    <col min="15385" max="15385" width="0" style="170" hidden="1" customWidth="1"/>
    <col min="15386" max="15386" width="2.7109375" style="170" customWidth="1"/>
    <col min="15387" max="15387" width="12.42578125" style="170" bestFit="1" customWidth="1"/>
    <col min="15388" max="15388" width="11.85546875" style="170" bestFit="1" customWidth="1"/>
    <col min="15389" max="15392" width="15.42578125" style="170" bestFit="1" customWidth="1"/>
    <col min="15393" max="15393" width="13.7109375" style="170" bestFit="1" customWidth="1"/>
    <col min="15394" max="15394" width="13.28515625" style="170" bestFit="1" customWidth="1"/>
    <col min="15395" max="15395" width="2.7109375" style="170" customWidth="1"/>
    <col min="15396" max="15396" width="10.7109375" style="170" customWidth="1"/>
    <col min="15397" max="15397" width="11.85546875" style="170" bestFit="1" customWidth="1"/>
    <col min="15398" max="15401" width="15.42578125" style="170" bestFit="1" customWidth="1"/>
    <col min="15402" max="15402" width="13.7109375" style="170" bestFit="1" customWidth="1"/>
    <col min="15403" max="15403" width="17.7109375" style="170" bestFit="1" customWidth="1"/>
    <col min="15404" max="15618" width="9.140625" style="170"/>
    <col min="15619" max="15619" width="20.42578125" style="170" bestFit="1" customWidth="1"/>
    <col min="15620" max="15623" width="0" style="170" hidden="1" customWidth="1"/>
    <col min="15624" max="15624" width="54.28515625" style="170" customWidth="1"/>
    <col min="15625" max="15625" width="0" style="170" hidden="1" customWidth="1"/>
    <col min="15626" max="15626" width="11.85546875" style="170" bestFit="1" customWidth="1"/>
    <col min="15627" max="15630" width="0" style="170" hidden="1" customWidth="1"/>
    <col min="15631" max="15631" width="10.5703125" style="170" bestFit="1" customWidth="1"/>
    <col min="15632" max="15632" width="0" style="170" hidden="1" customWidth="1"/>
    <col min="15633" max="15633" width="2.7109375" style="170" customWidth="1"/>
    <col min="15634" max="15634" width="0" style="170" hidden="1" customWidth="1"/>
    <col min="15635" max="15635" width="11.85546875" style="170" bestFit="1" customWidth="1"/>
    <col min="15636" max="15639" width="0" style="170" hidden="1" customWidth="1"/>
    <col min="15640" max="15640" width="10.5703125" style="170" bestFit="1" customWidth="1"/>
    <col min="15641" max="15641" width="0" style="170" hidden="1" customWidth="1"/>
    <col min="15642" max="15642" width="2.7109375" style="170" customWidth="1"/>
    <col min="15643" max="15643" width="12.42578125" style="170" bestFit="1" customWidth="1"/>
    <col min="15644" max="15644" width="11.85546875" style="170" bestFit="1" customWidth="1"/>
    <col min="15645" max="15648" width="15.42578125" style="170" bestFit="1" customWidth="1"/>
    <col min="15649" max="15649" width="13.7109375" style="170" bestFit="1" customWidth="1"/>
    <col min="15650" max="15650" width="13.28515625" style="170" bestFit="1" customWidth="1"/>
    <col min="15651" max="15651" width="2.7109375" style="170" customWidth="1"/>
    <col min="15652" max="15652" width="10.7109375" style="170" customWidth="1"/>
    <col min="15653" max="15653" width="11.85546875" style="170" bestFit="1" customWidth="1"/>
    <col min="15654" max="15657" width="15.42578125" style="170" bestFit="1" customWidth="1"/>
    <col min="15658" max="15658" width="13.7109375" style="170" bestFit="1" customWidth="1"/>
    <col min="15659" max="15659" width="17.7109375" style="170" bestFit="1" customWidth="1"/>
    <col min="15660" max="15874" width="9.140625" style="170"/>
    <col min="15875" max="15875" width="20.42578125" style="170" bestFit="1" customWidth="1"/>
    <col min="15876" max="15879" width="0" style="170" hidden="1" customWidth="1"/>
    <col min="15880" max="15880" width="54.28515625" style="170" customWidth="1"/>
    <col min="15881" max="15881" width="0" style="170" hidden="1" customWidth="1"/>
    <col min="15882" max="15882" width="11.85546875" style="170" bestFit="1" customWidth="1"/>
    <col min="15883" max="15886" width="0" style="170" hidden="1" customWidth="1"/>
    <col min="15887" max="15887" width="10.5703125" style="170" bestFit="1" customWidth="1"/>
    <col min="15888" max="15888" width="0" style="170" hidden="1" customWidth="1"/>
    <col min="15889" max="15889" width="2.7109375" style="170" customWidth="1"/>
    <col min="15890" max="15890" width="0" style="170" hidden="1" customWidth="1"/>
    <col min="15891" max="15891" width="11.85546875" style="170" bestFit="1" customWidth="1"/>
    <col min="15892" max="15895" width="0" style="170" hidden="1" customWidth="1"/>
    <col min="15896" max="15896" width="10.5703125" style="170" bestFit="1" customWidth="1"/>
    <col min="15897" max="15897" width="0" style="170" hidden="1" customWidth="1"/>
    <col min="15898" max="15898" width="2.7109375" style="170" customWidth="1"/>
    <col min="15899" max="15899" width="12.42578125" style="170" bestFit="1" customWidth="1"/>
    <col min="15900" max="15900" width="11.85546875" style="170" bestFit="1" customWidth="1"/>
    <col min="15901" max="15904" width="15.42578125" style="170" bestFit="1" customWidth="1"/>
    <col min="15905" max="15905" width="13.7109375" style="170" bestFit="1" customWidth="1"/>
    <col min="15906" max="15906" width="13.28515625" style="170" bestFit="1" customWidth="1"/>
    <col min="15907" max="15907" width="2.7109375" style="170" customWidth="1"/>
    <col min="15908" max="15908" width="10.7109375" style="170" customWidth="1"/>
    <col min="15909" max="15909" width="11.85546875" style="170" bestFit="1" customWidth="1"/>
    <col min="15910" max="15913" width="15.42578125" style="170" bestFit="1" customWidth="1"/>
    <col min="15914" max="15914" width="13.7109375" style="170" bestFit="1" customWidth="1"/>
    <col min="15915" max="15915" width="17.7109375" style="170" bestFit="1" customWidth="1"/>
    <col min="15916" max="16130" width="9.140625" style="170"/>
    <col min="16131" max="16131" width="20.42578125" style="170" bestFit="1" customWidth="1"/>
    <col min="16132" max="16135" width="0" style="170" hidden="1" customWidth="1"/>
    <col min="16136" max="16136" width="54.28515625" style="170" customWidth="1"/>
    <col min="16137" max="16137" width="0" style="170" hidden="1" customWidth="1"/>
    <col min="16138" max="16138" width="11.85546875" style="170" bestFit="1" customWidth="1"/>
    <col min="16139" max="16142" width="0" style="170" hidden="1" customWidth="1"/>
    <col min="16143" max="16143" width="10.5703125" style="170" bestFit="1" customWidth="1"/>
    <col min="16144" max="16144" width="0" style="170" hidden="1" customWidth="1"/>
    <col min="16145" max="16145" width="2.7109375" style="170" customWidth="1"/>
    <col min="16146" max="16146" width="0" style="170" hidden="1" customWidth="1"/>
    <col min="16147" max="16147" width="11.85546875" style="170" bestFit="1" customWidth="1"/>
    <col min="16148" max="16151" width="0" style="170" hidden="1" customWidth="1"/>
    <col min="16152" max="16152" width="10.5703125" style="170" bestFit="1" customWidth="1"/>
    <col min="16153" max="16153" width="0" style="170" hidden="1" customWidth="1"/>
    <col min="16154" max="16154" width="2.7109375" style="170" customWidth="1"/>
    <col min="16155" max="16155" width="12.42578125" style="170" bestFit="1" customWidth="1"/>
    <col min="16156" max="16156" width="11.85546875" style="170" bestFit="1" customWidth="1"/>
    <col min="16157" max="16160" width="15.42578125" style="170" bestFit="1" customWidth="1"/>
    <col min="16161" max="16161" width="13.7109375" style="170" bestFit="1" customWidth="1"/>
    <col min="16162" max="16162" width="13.28515625" style="170" bestFit="1" customWidth="1"/>
    <col min="16163" max="16163" width="2.7109375" style="170" customWidth="1"/>
    <col min="16164" max="16164" width="10.7109375" style="170" customWidth="1"/>
    <col min="16165" max="16165" width="11.85546875" style="170" bestFit="1" customWidth="1"/>
    <col min="16166" max="16169" width="15.42578125" style="170" bestFit="1" customWidth="1"/>
    <col min="16170" max="16170" width="13.7109375" style="170" bestFit="1" customWidth="1"/>
    <col min="16171" max="16171" width="17.7109375" style="170" bestFit="1" customWidth="1"/>
    <col min="16172" max="16384" width="9.140625" style="170"/>
  </cols>
  <sheetData>
    <row r="1" spans="1:52" x14ac:dyDescent="0.2">
      <c r="H1" s="233" t="s">
        <v>80</v>
      </c>
      <c r="I1" s="233"/>
      <c r="J1" s="233"/>
      <c r="K1" s="233"/>
      <c r="L1" s="233"/>
      <c r="M1" s="233"/>
      <c r="N1" s="233"/>
      <c r="O1" s="233"/>
      <c r="Q1" s="234" t="s">
        <v>81</v>
      </c>
      <c r="R1" s="234"/>
      <c r="S1" s="234"/>
      <c r="T1" s="234"/>
      <c r="U1" s="234"/>
      <c r="V1" s="234"/>
      <c r="W1" s="234"/>
      <c r="X1" s="234"/>
      <c r="Z1" s="235" t="s">
        <v>82</v>
      </c>
      <c r="AA1" s="235"/>
      <c r="AB1" s="235"/>
      <c r="AC1" s="235"/>
      <c r="AD1" s="235"/>
      <c r="AE1" s="235"/>
      <c r="AF1" s="235"/>
      <c r="AG1" s="235"/>
      <c r="AI1" s="236" t="s">
        <v>83</v>
      </c>
      <c r="AJ1" s="236"/>
      <c r="AK1" s="236"/>
      <c r="AL1" s="236"/>
      <c r="AM1" s="236"/>
      <c r="AN1" s="236"/>
      <c r="AO1" s="236"/>
      <c r="AP1" s="236"/>
      <c r="AQ1" s="236"/>
      <c r="AS1" s="234" t="s">
        <v>84</v>
      </c>
      <c r="AT1" s="234"/>
      <c r="AU1" s="234"/>
      <c r="AV1" s="234"/>
      <c r="AW1" s="234"/>
      <c r="AX1" s="234"/>
      <c r="AY1" s="234"/>
      <c r="AZ1" s="234"/>
    </row>
    <row r="2" spans="1:52" s="219" customFormat="1" ht="33.75" customHeight="1" x14ac:dyDescent="0.2">
      <c r="A2" s="215" t="s">
        <v>149</v>
      </c>
      <c r="B2" s="215" t="s">
        <v>150</v>
      </c>
      <c r="C2" s="216" t="s">
        <v>151</v>
      </c>
      <c r="D2" s="216" t="s">
        <v>152</v>
      </c>
      <c r="E2" s="216" t="s">
        <v>153</v>
      </c>
      <c r="F2" s="217" t="s">
        <v>154</v>
      </c>
      <c r="G2" s="217" t="s">
        <v>155</v>
      </c>
      <c r="H2" s="218" t="s">
        <v>85</v>
      </c>
      <c r="I2" s="218" t="s">
        <v>86</v>
      </c>
      <c r="J2" s="218" t="s">
        <v>156</v>
      </c>
      <c r="K2" s="218" t="s">
        <v>157</v>
      </c>
      <c r="L2" s="218" t="s">
        <v>158</v>
      </c>
      <c r="M2" s="218" t="s">
        <v>159</v>
      </c>
      <c r="N2" s="218" t="s">
        <v>91</v>
      </c>
      <c r="O2" s="218" t="s">
        <v>160</v>
      </c>
      <c r="Q2" s="195" t="s">
        <v>85</v>
      </c>
      <c r="R2" s="195" t="s">
        <v>86</v>
      </c>
      <c r="S2" s="195" t="s">
        <v>156</v>
      </c>
      <c r="T2" s="195" t="s">
        <v>157</v>
      </c>
      <c r="U2" s="195" t="s">
        <v>158</v>
      </c>
      <c r="V2" s="195" t="s">
        <v>159</v>
      </c>
      <c r="W2" s="195" t="s">
        <v>91</v>
      </c>
      <c r="X2" s="195" t="s">
        <v>160</v>
      </c>
      <c r="Z2" s="197" t="s">
        <v>85</v>
      </c>
      <c r="AA2" s="197" t="s">
        <v>86</v>
      </c>
      <c r="AB2" s="197" t="s">
        <v>156</v>
      </c>
      <c r="AC2" s="197" t="s">
        <v>157</v>
      </c>
      <c r="AD2" s="197" t="s">
        <v>158</v>
      </c>
      <c r="AE2" s="197" t="s">
        <v>159</v>
      </c>
      <c r="AF2" s="197" t="s">
        <v>95</v>
      </c>
      <c r="AG2" s="197" t="s">
        <v>160</v>
      </c>
      <c r="AI2" s="199" t="s">
        <v>500</v>
      </c>
      <c r="AJ2" s="199" t="s">
        <v>86</v>
      </c>
      <c r="AK2" s="199" t="s">
        <v>499</v>
      </c>
      <c r="AL2" s="199" t="s">
        <v>156</v>
      </c>
      <c r="AM2" s="199" t="s">
        <v>157</v>
      </c>
      <c r="AN2" s="199" t="s">
        <v>158</v>
      </c>
      <c r="AO2" s="199" t="s">
        <v>159</v>
      </c>
      <c r="AP2" s="199" t="s">
        <v>95</v>
      </c>
      <c r="AQ2" s="203" t="s">
        <v>161</v>
      </c>
      <c r="AR2" s="201"/>
      <c r="AS2" s="195" t="s">
        <v>85</v>
      </c>
      <c r="AT2" s="195" t="s">
        <v>86</v>
      </c>
      <c r="AU2" s="195" t="s">
        <v>156</v>
      </c>
      <c r="AV2" s="195" t="s">
        <v>157</v>
      </c>
      <c r="AW2" s="195" t="s">
        <v>158</v>
      </c>
      <c r="AX2" s="195" t="s">
        <v>159</v>
      </c>
      <c r="AY2" s="195" t="s">
        <v>95</v>
      </c>
      <c r="AZ2" s="212" t="s">
        <v>161</v>
      </c>
    </row>
    <row r="3" spans="1:52" hidden="1" x14ac:dyDescent="0.2">
      <c r="A3" s="220">
        <v>9</v>
      </c>
      <c r="B3" s="170" t="s">
        <v>255</v>
      </c>
      <c r="C3" s="221" t="s">
        <v>162</v>
      </c>
      <c r="D3" s="221" t="s">
        <v>162</v>
      </c>
      <c r="E3" s="214">
        <v>900</v>
      </c>
      <c r="F3" s="170" t="str">
        <f t="shared" ref="F3:F18" si="0">RIGHT(B3,7)</f>
        <v>6410.01</v>
      </c>
      <c r="G3" s="170" t="s">
        <v>258</v>
      </c>
      <c r="H3" s="168">
        <v>0</v>
      </c>
      <c r="I3" s="168">
        <v>0</v>
      </c>
      <c r="J3" s="168"/>
      <c r="K3" s="168"/>
      <c r="L3" s="168"/>
      <c r="M3" s="194">
        <v>0</v>
      </c>
      <c r="N3" s="168">
        <v>0</v>
      </c>
      <c r="O3" s="168">
        <f t="shared" ref="O3:O59" si="1">N3-I3</f>
        <v>0</v>
      </c>
      <c r="Q3" s="169">
        <v>0</v>
      </c>
      <c r="R3" s="169">
        <v>0</v>
      </c>
      <c r="S3" s="169"/>
      <c r="T3" s="169"/>
      <c r="U3" s="169"/>
      <c r="V3" s="169">
        <v>0</v>
      </c>
      <c r="W3" s="169">
        <v>0</v>
      </c>
      <c r="X3" s="169">
        <f t="shared" ref="X3:X60" si="2">W3-R3</f>
        <v>0</v>
      </c>
      <c r="Z3" s="202">
        <v>0</v>
      </c>
      <c r="AA3" s="202">
        <v>1060480</v>
      </c>
      <c r="AB3" s="202"/>
      <c r="AC3" s="202"/>
      <c r="AD3" s="202"/>
      <c r="AE3" s="207">
        <v>0</v>
      </c>
      <c r="AF3" s="202">
        <v>0</v>
      </c>
      <c r="AG3" s="202">
        <f t="shared" ref="AG3:AG60" si="3">AF3-AA3</f>
        <v>-1060480</v>
      </c>
      <c r="AI3" s="200">
        <v>559000</v>
      </c>
      <c r="AJ3" s="200">
        <v>559000</v>
      </c>
      <c r="AK3" s="200">
        <f>AJ3</f>
        <v>559000</v>
      </c>
      <c r="AL3" s="200">
        <f>IFERROR(VLOOKUP(B3,[2]rptBudgetaryBudgetCrossOrganiza!$A$5236:$O$5854,13,FALSE),"0")</f>
        <v>0</v>
      </c>
      <c r="AM3" s="200"/>
      <c r="AN3" s="200"/>
      <c r="AO3" s="200"/>
      <c r="AP3" s="200"/>
      <c r="AQ3" s="200">
        <f t="shared" ref="AQ3:AQ67" si="4">AP3-AJ3</f>
        <v>-559000</v>
      </c>
      <c r="AS3" s="169"/>
      <c r="AT3" s="169"/>
      <c r="AU3" s="169"/>
      <c r="AV3" s="169"/>
      <c r="AW3" s="169"/>
      <c r="AX3" s="169"/>
      <c r="AY3" s="169"/>
      <c r="AZ3" s="169">
        <f t="shared" ref="AZ3:AZ67" si="5">AY3-AT3</f>
        <v>0</v>
      </c>
    </row>
    <row r="4" spans="1:52" hidden="1" x14ac:dyDescent="0.2">
      <c r="A4" s="220">
        <v>9</v>
      </c>
      <c r="B4" s="170" t="s">
        <v>256</v>
      </c>
      <c r="C4" s="221" t="s">
        <v>162</v>
      </c>
      <c r="D4" s="221" t="s">
        <v>162</v>
      </c>
      <c r="E4" s="214">
        <v>900</v>
      </c>
      <c r="F4" s="170" t="str">
        <f t="shared" si="0"/>
        <v>6410.05</v>
      </c>
      <c r="G4" s="170" t="s">
        <v>259</v>
      </c>
      <c r="H4" s="168">
        <v>0</v>
      </c>
      <c r="I4" s="168">
        <v>0</v>
      </c>
      <c r="J4" s="168"/>
      <c r="K4" s="168"/>
      <c r="L4" s="168"/>
      <c r="M4" s="194">
        <v>0</v>
      </c>
      <c r="N4" s="168">
        <v>0</v>
      </c>
      <c r="O4" s="168">
        <f t="shared" si="1"/>
        <v>0</v>
      </c>
      <c r="Q4" s="169">
        <v>0</v>
      </c>
      <c r="R4" s="169">
        <v>0</v>
      </c>
      <c r="S4" s="169"/>
      <c r="T4" s="169"/>
      <c r="U4" s="169"/>
      <c r="V4" s="169">
        <v>0</v>
      </c>
      <c r="W4" s="169">
        <v>0</v>
      </c>
      <c r="X4" s="169">
        <f t="shared" si="2"/>
        <v>0</v>
      </c>
      <c r="Z4" s="202">
        <v>0</v>
      </c>
      <c r="AA4" s="202">
        <v>0</v>
      </c>
      <c r="AB4" s="202"/>
      <c r="AC4" s="202"/>
      <c r="AD4" s="202"/>
      <c r="AE4" s="207">
        <v>0</v>
      </c>
      <c r="AF4" s="202">
        <v>0</v>
      </c>
      <c r="AG4" s="202">
        <f t="shared" si="3"/>
        <v>0</v>
      </c>
      <c r="AI4" s="200">
        <v>0</v>
      </c>
      <c r="AJ4" s="200">
        <v>0</v>
      </c>
      <c r="AK4" s="200"/>
      <c r="AL4" s="200">
        <f>IFERROR(VLOOKUP(B4,[2]rptBudgetaryBudgetCrossOrganiza!$A$5236:$O$5854,13,FALSE),"0")</f>
        <v>0</v>
      </c>
      <c r="AM4" s="200"/>
      <c r="AN4" s="200"/>
      <c r="AO4" s="200"/>
      <c r="AP4" s="200"/>
      <c r="AQ4" s="200">
        <f t="shared" si="4"/>
        <v>0</v>
      </c>
      <c r="AS4" s="169"/>
      <c r="AT4" s="169"/>
      <c r="AU4" s="169"/>
      <c r="AV4" s="169"/>
      <c r="AW4" s="169"/>
      <c r="AX4" s="169"/>
      <c r="AY4" s="169"/>
      <c r="AZ4" s="169">
        <f t="shared" si="5"/>
        <v>0</v>
      </c>
    </row>
    <row r="5" spans="1:52" hidden="1" x14ac:dyDescent="0.2">
      <c r="A5" s="220">
        <v>9</v>
      </c>
      <c r="B5" s="170" t="s">
        <v>257</v>
      </c>
      <c r="C5" s="221" t="s">
        <v>162</v>
      </c>
      <c r="D5" s="221" t="s">
        <v>162</v>
      </c>
      <c r="E5" s="214">
        <v>900</v>
      </c>
      <c r="F5" s="170" t="str">
        <f t="shared" si="0"/>
        <v>6410.07</v>
      </c>
      <c r="G5" s="170" t="s">
        <v>260</v>
      </c>
      <c r="H5" s="168">
        <v>0</v>
      </c>
      <c r="I5" s="168">
        <v>0</v>
      </c>
      <c r="J5" s="168"/>
      <c r="K5" s="168"/>
      <c r="L5" s="168"/>
      <c r="M5" s="194">
        <v>0</v>
      </c>
      <c r="N5" s="168">
        <v>0</v>
      </c>
      <c r="O5" s="168">
        <f t="shared" si="1"/>
        <v>0</v>
      </c>
      <c r="Q5" s="169">
        <v>0</v>
      </c>
      <c r="R5" s="169">
        <v>0</v>
      </c>
      <c r="S5" s="169"/>
      <c r="T5" s="169"/>
      <c r="U5" s="169"/>
      <c r="V5" s="169">
        <v>0</v>
      </c>
      <c r="W5" s="169">
        <v>0</v>
      </c>
      <c r="X5" s="169">
        <f t="shared" si="2"/>
        <v>0</v>
      </c>
      <c r="Z5" s="202">
        <v>0</v>
      </c>
      <c r="AA5" s="202">
        <v>0</v>
      </c>
      <c r="AB5" s="202"/>
      <c r="AC5" s="202"/>
      <c r="AD5" s="202"/>
      <c r="AE5" s="207">
        <v>0</v>
      </c>
      <c r="AF5" s="202">
        <v>0</v>
      </c>
      <c r="AG5" s="202">
        <f t="shared" si="3"/>
        <v>0</v>
      </c>
      <c r="AI5" s="200">
        <v>0</v>
      </c>
      <c r="AJ5" s="200">
        <v>0</v>
      </c>
      <c r="AK5" s="200"/>
      <c r="AL5" s="200">
        <f>IFERROR(VLOOKUP(B5,[2]rptBudgetaryBudgetCrossOrganiza!$A$5236:$O$5854,13,FALSE),"0")</f>
        <v>0</v>
      </c>
      <c r="AM5" s="200"/>
      <c r="AN5" s="200"/>
      <c r="AO5" s="200"/>
      <c r="AP5" s="200"/>
      <c r="AQ5" s="200">
        <f t="shared" si="4"/>
        <v>0</v>
      </c>
      <c r="AS5" s="169"/>
      <c r="AT5" s="169"/>
      <c r="AU5" s="169"/>
      <c r="AV5" s="169"/>
      <c r="AW5" s="169"/>
      <c r="AX5" s="169"/>
      <c r="AY5" s="169"/>
      <c r="AZ5" s="169">
        <f t="shared" si="5"/>
        <v>0</v>
      </c>
    </row>
    <row r="6" spans="1:52" hidden="1" x14ac:dyDescent="0.2">
      <c r="A6" s="220">
        <v>6</v>
      </c>
      <c r="B6" s="170" t="s">
        <v>496</v>
      </c>
      <c r="C6" s="221" t="s">
        <v>162</v>
      </c>
      <c r="D6" s="221" t="s">
        <v>162</v>
      </c>
      <c r="E6" s="214">
        <v>900</v>
      </c>
      <c r="F6" s="170" t="str">
        <f t="shared" si="0"/>
        <v>6600.30</v>
      </c>
      <c r="G6" s="170" t="s">
        <v>497</v>
      </c>
      <c r="H6" s="168">
        <v>0</v>
      </c>
      <c r="I6" s="168">
        <v>0</v>
      </c>
      <c r="J6" s="168"/>
      <c r="K6" s="168"/>
      <c r="L6" s="168"/>
      <c r="M6" s="194">
        <v>3637.22</v>
      </c>
      <c r="N6" s="168">
        <v>3637.22</v>
      </c>
      <c r="O6" s="168"/>
      <c r="Q6" s="169">
        <v>0</v>
      </c>
      <c r="R6" s="169">
        <v>0</v>
      </c>
      <c r="S6" s="169"/>
      <c r="T6" s="169"/>
      <c r="U6" s="169"/>
      <c r="V6" s="169">
        <v>0</v>
      </c>
      <c r="W6" s="169">
        <v>0</v>
      </c>
      <c r="X6" s="169"/>
      <c r="Z6" s="202">
        <v>0</v>
      </c>
      <c r="AA6" s="202">
        <v>0</v>
      </c>
      <c r="AB6" s="202"/>
      <c r="AC6" s="202"/>
      <c r="AD6" s="202"/>
      <c r="AE6" s="207">
        <v>0</v>
      </c>
      <c r="AF6" s="202">
        <v>0</v>
      </c>
      <c r="AG6" s="202"/>
      <c r="AI6" s="200"/>
      <c r="AJ6" s="200"/>
      <c r="AK6" s="200"/>
      <c r="AL6" s="200">
        <f>IFERROR(VLOOKUP(B6,[2]rptBudgetaryBudgetCrossOrganiza!$A$5236:$O$5854,13,FALSE),"0")</f>
        <v>0</v>
      </c>
      <c r="AM6" s="200"/>
      <c r="AN6" s="200"/>
      <c r="AO6" s="200"/>
      <c r="AP6" s="200"/>
      <c r="AQ6" s="200"/>
      <c r="AS6" s="169"/>
      <c r="AT6" s="169"/>
      <c r="AU6" s="169"/>
      <c r="AV6" s="169"/>
      <c r="AW6" s="169"/>
      <c r="AX6" s="169"/>
      <c r="AY6" s="169"/>
      <c r="AZ6" s="169"/>
    </row>
    <row r="7" spans="1:52" ht="63.75" x14ac:dyDescent="0.2">
      <c r="A7" s="220">
        <v>7</v>
      </c>
      <c r="B7" s="170" t="s">
        <v>261</v>
      </c>
      <c r="C7" s="221" t="s">
        <v>162</v>
      </c>
      <c r="D7" s="221" t="s">
        <v>162</v>
      </c>
      <c r="E7" s="214">
        <v>900</v>
      </c>
      <c r="F7" s="170" t="str">
        <f t="shared" si="0"/>
        <v>7000.03</v>
      </c>
      <c r="G7" s="170" t="s">
        <v>163</v>
      </c>
      <c r="H7" s="168">
        <v>0</v>
      </c>
      <c r="I7" s="168">
        <v>0</v>
      </c>
      <c r="J7" s="168"/>
      <c r="K7" s="168"/>
      <c r="L7" s="168"/>
      <c r="M7" s="194">
        <v>0</v>
      </c>
      <c r="N7" s="168">
        <v>0</v>
      </c>
      <c r="O7" s="168">
        <f t="shared" si="1"/>
        <v>0</v>
      </c>
      <c r="Q7" s="169">
        <v>0</v>
      </c>
      <c r="R7" s="169">
        <v>0</v>
      </c>
      <c r="S7" s="169"/>
      <c r="T7" s="169"/>
      <c r="U7" s="169"/>
      <c r="V7" s="169">
        <v>0</v>
      </c>
      <c r="W7" s="169">
        <v>0</v>
      </c>
      <c r="X7" s="169">
        <f t="shared" si="2"/>
        <v>0</v>
      </c>
      <c r="Z7" s="202">
        <v>0</v>
      </c>
      <c r="AA7" s="202">
        <v>0</v>
      </c>
      <c r="AB7" s="202"/>
      <c r="AC7" s="202"/>
      <c r="AD7" s="202"/>
      <c r="AE7" s="207">
        <v>0</v>
      </c>
      <c r="AF7" s="202">
        <v>0</v>
      </c>
      <c r="AG7" s="202">
        <f t="shared" si="3"/>
        <v>0</v>
      </c>
      <c r="AI7" s="200">
        <v>0</v>
      </c>
      <c r="AJ7" s="200">
        <v>0</v>
      </c>
      <c r="AK7" s="229">
        <v>75000</v>
      </c>
      <c r="AL7" s="200">
        <f>IFERROR(VLOOKUP(B7,[2]rptBudgetaryBudgetCrossOrganiza!$A$5236:$O$5854,13,FALSE),"0")</f>
        <v>0</v>
      </c>
      <c r="AM7" s="200"/>
      <c r="AN7" s="200"/>
      <c r="AO7" s="200"/>
      <c r="AP7" s="227" t="s">
        <v>506</v>
      </c>
      <c r="AQ7" s="200" t="e">
        <f t="shared" si="4"/>
        <v>#VALUE!</v>
      </c>
      <c r="AS7" s="169"/>
      <c r="AT7" s="169"/>
      <c r="AU7" s="169"/>
      <c r="AV7" s="169"/>
      <c r="AW7" s="169"/>
      <c r="AX7" s="169"/>
      <c r="AY7" s="169"/>
      <c r="AZ7" s="169">
        <f t="shared" si="5"/>
        <v>0</v>
      </c>
    </row>
    <row r="8" spans="1:52" ht="293.25" x14ac:dyDescent="0.2">
      <c r="A8" s="220">
        <v>7</v>
      </c>
      <c r="B8" s="170" t="s">
        <v>262</v>
      </c>
      <c r="C8" s="221" t="s">
        <v>162</v>
      </c>
      <c r="D8" s="221" t="s">
        <v>162</v>
      </c>
      <c r="E8" s="214">
        <v>900</v>
      </c>
      <c r="F8" s="170" t="str">
        <f t="shared" si="0"/>
        <v>7000.99</v>
      </c>
      <c r="G8" s="170" t="s">
        <v>164</v>
      </c>
      <c r="H8" s="168">
        <v>0</v>
      </c>
      <c r="I8" s="168">
        <v>0</v>
      </c>
      <c r="J8" s="168"/>
      <c r="K8" s="168"/>
      <c r="L8" s="168"/>
      <c r="M8" s="194">
        <v>0</v>
      </c>
      <c r="N8" s="168">
        <v>0</v>
      </c>
      <c r="O8" s="168">
        <f t="shared" si="1"/>
        <v>0</v>
      </c>
      <c r="Q8" s="169">
        <v>26465</v>
      </c>
      <c r="R8" s="169">
        <v>0</v>
      </c>
      <c r="S8" s="169"/>
      <c r="T8" s="169"/>
      <c r="U8" s="169"/>
      <c r="V8" s="169">
        <v>0</v>
      </c>
      <c r="W8" s="169">
        <v>0</v>
      </c>
      <c r="X8" s="169">
        <f t="shared" si="2"/>
        <v>0</v>
      </c>
      <c r="Z8" s="202">
        <v>0</v>
      </c>
      <c r="AA8" s="202">
        <v>0</v>
      </c>
      <c r="AB8" s="202"/>
      <c r="AC8" s="202"/>
      <c r="AD8" s="202"/>
      <c r="AE8" s="207">
        <v>0</v>
      </c>
      <c r="AF8" s="202">
        <v>0</v>
      </c>
      <c r="AG8" s="202">
        <f t="shared" si="3"/>
        <v>0</v>
      </c>
      <c r="AI8" s="200">
        <v>57500</v>
      </c>
      <c r="AJ8" s="200">
        <v>57500</v>
      </c>
      <c r="AK8" s="229">
        <f>450000+350000+330000</f>
        <v>1130000</v>
      </c>
      <c r="AL8" s="200">
        <f>IFERROR(VLOOKUP(B8,[2]rptBudgetaryBudgetCrossOrganiza!$A$5236:$O$5854,13,FALSE),"0")</f>
        <v>0</v>
      </c>
      <c r="AM8" s="200"/>
      <c r="AN8" s="200"/>
      <c r="AO8" s="200"/>
      <c r="AP8" s="228" t="s">
        <v>501</v>
      </c>
      <c r="AQ8" s="200" t="e">
        <f t="shared" si="4"/>
        <v>#VALUE!</v>
      </c>
      <c r="AS8" s="169"/>
      <c r="AT8" s="169"/>
      <c r="AU8" s="169"/>
      <c r="AV8" s="169"/>
      <c r="AW8" s="169"/>
      <c r="AX8" s="169"/>
      <c r="AY8" s="169"/>
      <c r="AZ8" s="169">
        <f t="shared" si="5"/>
        <v>0</v>
      </c>
    </row>
    <row r="9" spans="1:52" hidden="1" x14ac:dyDescent="0.2">
      <c r="A9" s="220">
        <v>8</v>
      </c>
      <c r="B9" s="170" t="s">
        <v>263</v>
      </c>
      <c r="C9" s="221" t="s">
        <v>162</v>
      </c>
      <c r="D9" s="221" t="s">
        <v>162</v>
      </c>
      <c r="E9" s="214">
        <v>900</v>
      </c>
      <c r="F9" s="170" t="str">
        <f t="shared" si="0"/>
        <v>8150.08</v>
      </c>
      <c r="G9" s="170" t="s">
        <v>266</v>
      </c>
      <c r="H9" s="168">
        <v>0</v>
      </c>
      <c r="I9" s="168">
        <v>0</v>
      </c>
      <c r="J9" s="168"/>
      <c r="K9" s="168"/>
      <c r="L9" s="168"/>
      <c r="M9" s="194">
        <v>0</v>
      </c>
      <c r="N9" s="168">
        <v>0</v>
      </c>
      <c r="O9" s="168">
        <f t="shared" si="1"/>
        <v>0</v>
      </c>
      <c r="Q9" s="169">
        <v>0</v>
      </c>
      <c r="R9" s="169">
        <v>0</v>
      </c>
      <c r="S9" s="169"/>
      <c r="T9" s="169"/>
      <c r="U9" s="169"/>
      <c r="V9" s="169">
        <v>0</v>
      </c>
      <c r="W9" s="169">
        <v>0</v>
      </c>
      <c r="X9" s="169">
        <f t="shared" si="2"/>
        <v>0</v>
      </c>
      <c r="Z9" s="202">
        <v>0</v>
      </c>
      <c r="AA9" s="202">
        <v>0</v>
      </c>
      <c r="AB9" s="202"/>
      <c r="AC9" s="202"/>
      <c r="AD9" s="202"/>
      <c r="AE9" s="207">
        <v>0</v>
      </c>
      <c r="AF9" s="202">
        <v>0</v>
      </c>
      <c r="AG9" s="202">
        <f t="shared" si="3"/>
        <v>0</v>
      </c>
      <c r="AI9" s="200">
        <v>0</v>
      </c>
      <c r="AJ9" s="200">
        <v>0</v>
      </c>
      <c r="AK9" s="200">
        <f t="shared" ref="AK9:AK46" si="6">AJ9</f>
        <v>0</v>
      </c>
      <c r="AL9" s="200">
        <f>IFERROR(VLOOKUP(B9,[2]rptBudgetaryBudgetCrossOrganiza!$A$5236:$O$5854,13,FALSE),"0")</f>
        <v>0</v>
      </c>
      <c r="AM9" s="200"/>
      <c r="AN9" s="200"/>
      <c r="AO9" s="200"/>
      <c r="AP9" s="200"/>
      <c r="AQ9" s="200">
        <f t="shared" si="4"/>
        <v>0</v>
      </c>
      <c r="AS9" s="169"/>
      <c r="AT9" s="169"/>
      <c r="AU9" s="169"/>
      <c r="AV9" s="169"/>
      <c r="AW9" s="169"/>
      <c r="AX9" s="169"/>
      <c r="AY9" s="169"/>
      <c r="AZ9" s="169">
        <f t="shared" si="5"/>
        <v>0</v>
      </c>
    </row>
    <row r="10" spans="1:52" hidden="1" x14ac:dyDescent="0.2">
      <c r="A10" s="220">
        <v>8</v>
      </c>
      <c r="B10" s="170" t="s">
        <v>264</v>
      </c>
      <c r="C10" s="221" t="s">
        <v>162</v>
      </c>
      <c r="D10" s="221" t="s">
        <v>162</v>
      </c>
      <c r="E10" s="214">
        <v>900</v>
      </c>
      <c r="F10" s="170" t="str">
        <f t="shared" si="0"/>
        <v>8150.46</v>
      </c>
      <c r="G10" s="170" t="s">
        <v>267</v>
      </c>
      <c r="H10" s="168">
        <v>0</v>
      </c>
      <c r="I10" s="168">
        <v>0</v>
      </c>
      <c r="J10" s="168"/>
      <c r="K10" s="168"/>
      <c r="L10" s="168"/>
      <c r="M10" s="194">
        <v>0</v>
      </c>
      <c r="N10" s="168">
        <v>0</v>
      </c>
      <c r="O10" s="168">
        <f t="shared" si="1"/>
        <v>0</v>
      </c>
      <c r="Q10" s="169">
        <v>0</v>
      </c>
      <c r="R10" s="169">
        <v>397500</v>
      </c>
      <c r="S10" s="169"/>
      <c r="T10" s="169"/>
      <c r="U10" s="169"/>
      <c r="V10" s="169">
        <v>290.19</v>
      </c>
      <c r="W10" s="169">
        <v>290.19</v>
      </c>
      <c r="X10" s="169">
        <f t="shared" si="2"/>
        <v>-397209.81</v>
      </c>
      <c r="Z10" s="202">
        <v>0</v>
      </c>
      <c r="AA10" s="202">
        <v>2447210</v>
      </c>
      <c r="AB10" s="202"/>
      <c r="AC10" s="202"/>
      <c r="AD10" s="202"/>
      <c r="AE10" s="207">
        <v>773792.46</v>
      </c>
      <c r="AF10" s="202">
        <v>773792.46</v>
      </c>
      <c r="AG10" s="202">
        <f t="shared" si="3"/>
        <v>-1673417.54</v>
      </c>
      <c r="AI10" s="200">
        <v>1500000</v>
      </c>
      <c r="AJ10" s="200">
        <v>1500000</v>
      </c>
      <c r="AK10" s="200">
        <f t="shared" si="6"/>
        <v>1500000</v>
      </c>
      <c r="AL10" s="200">
        <f>IFERROR(VLOOKUP(B10,[2]rptBudgetaryBudgetCrossOrganiza!$A$5236:$O$5854,13,FALSE),"0")</f>
        <v>138562.34</v>
      </c>
      <c r="AM10" s="200"/>
      <c r="AN10" s="200"/>
      <c r="AO10" s="200"/>
      <c r="AP10" s="200"/>
      <c r="AQ10" s="200">
        <f t="shared" si="4"/>
        <v>-1500000</v>
      </c>
      <c r="AS10" s="169"/>
      <c r="AT10" s="169"/>
      <c r="AU10" s="169"/>
      <c r="AV10" s="169"/>
      <c r="AW10" s="169"/>
      <c r="AX10" s="169"/>
      <c r="AY10" s="169"/>
      <c r="AZ10" s="169">
        <f t="shared" si="5"/>
        <v>0</v>
      </c>
    </row>
    <row r="11" spans="1:52" hidden="1" x14ac:dyDescent="0.2">
      <c r="A11" s="220">
        <v>8</v>
      </c>
      <c r="B11" s="222" t="s">
        <v>265</v>
      </c>
      <c r="C11" s="221" t="s">
        <v>162</v>
      </c>
      <c r="D11" s="221" t="s">
        <v>162</v>
      </c>
      <c r="E11" s="214">
        <v>900</v>
      </c>
      <c r="F11" s="170" t="str">
        <f t="shared" si="0"/>
        <v>8150.99</v>
      </c>
      <c r="G11" s="170" t="s">
        <v>268</v>
      </c>
      <c r="H11" s="168">
        <v>0</v>
      </c>
      <c r="I11" s="168">
        <v>0</v>
      </c>
      <c r="J11" s="168"/>
      <c r="K11" s="168"/>
      <c r="L11" s="168"/>
      <c r="M11" s="194">
        <v>0</v>
      </c>
      <c r="N11" s="168">
        <v>0</v>
      </c>
      <c r="O11" s="168">
        <f t="shared" si="1"/>
        <v>0</v>
      </c>
      <c r="Q11" s="169">
        <v>397500</v>
      </c>
      <c r="R11" s="169">
        <v>0</v>
      </c>
      <c r="S11" s="169"/>
      <c r="T11" s="169"/>
      <c r="U11" s="169"/>
      <c r="V11" s="169">
        <v>0</v>
      </c>
      <c r="W11" s="169">
        <v>0</v>
      </c>
      <c r="X11" s="169">
        <f t="shared" si="2"/>
        <v>0</v>
      </c>
      <c r="Z11" s="202">
        <v>3110480</v>
      </c>
      <c r="AA11" s="202">
        <v>0</v>
      </c>
      <c r="AB11" s="202"/>
      <c r="AC11" s="202"/>
      <c r="AD11" s="202"/>
      <c r="AE11" s="207">
        <v>0</v>
      </c>
      <c r="AF11" s="202">
        <v>0</v>
      </c>
      <c r="AG11" s="202">
        <f t="shared" si="3"/>
        <v>0</v>
      </c>
      <c r="AI11" s="200">
        <v>0</v>
      </c>
      <c r="AJ11" s="200">
        <v>0</v>
      </c>
      <c r="AK11" s="200">
        <f t="shared" si="6"/>
        <v>0</v>
      </c>
      <c r="AL11" s="200">
        <f>IFERROR(VLOOKUP(B11,[2]rptBudgetaryBudgetCrossOrganiza!$A$5236:$O$5854,13,FALSE),"0")</f>
        <v>0</v>
      </c>
      <c r="AM11" s="200"/>
      <c r="AN11" s="200"/>
      <c r="AO11" s="200"/>
      <c r="AP11" s="200"/>
      <c r="AQ11" s="200">
        <f t="shared" si="4"/>
        <v>0</v>
      </c>
      <c r="AS11" s="169"/>
      <c r="AT11" s="169"/>
      <c r="AU11" s="169"/>
      <c r="AV11" s="169"/>
      <c r="AW11" s="169"/>
      <c r="AX11" s="169"/>
      <c r="AY11" s="169"/>
      <c r="AZ11" s="169">
        <f t="shared" si="5"/>
        <v>0</v>
      </c>
    </row>
    <row r="12" spans="1:52" hidden="1" x14ac:dyDescent="0.2">
      <c r="A12" s="220">
        <v>4</v>
      </c>
      <c r="B12" s="170" t="s">
        <v>269</v>
      </c>
      <c r="C12" s="221">
        <v>20</v>
      </c>
      <c r="D12" s="221">
        <v>25</v>
      </c>
      <c r="E12" s="214">
        <v>330</v>
      </c>
      <c r="F12" s="170" t="str">
        <f t="shared" si="0"/>
        <v>5000.01</v>
      </c>
      <c r="G12" s="170" t="s">
        <v>165</v>
      </c>
      <c r="H12" s="168">
        <v>111750</v>
      </c>
      <c r="I12" s="168">
        <v>111750</v>
      </c>
      <c r="J12" s="168"/>
      <c r="K12" s="168"/>
      <c r="L12" s="168"/>
      <c r="M12" s="194">
        <v>107649.38</v>
      </c>
      <c r="N12" s="168">
        <v>107649.38</v>
      </c>
      <c r="O12" s="168">
        <f t="shared" si="1"/>
        <v>-4100.6199999999953</v>
      </c>
      <c r="Q12" s="169">
        <v>114125</v>
      </c>
      <c r="R12" s="169">
        <v>115775</v>
      </c>
      <c r="S12" s="169"/>
      <c r="T12" s="169"/>
      <c r="U12" s="169"/>
      <c r="V12" s="169">
        <v>111775.61</v>
      </c>
      <c r="W12" s="169">
        <v>111775.61</v>
      </c>
      <c r="X12" s="169">
        <f t="shared" si="2"/>
        <v>-3999.3899999999994</v>
      </c>
      <c r="Z12" s="202">
        <v>119415</v>
      </c>
      <c r="AA12" s="202">
        <v>124954</v>
      </c>
      <c r="AB12" s="202"/>
      <c r="AC12" s="202"/>
      <c r="AD12" s="202"/>
      <c r="AE12" s="207">
        <v>114035.28</v>
      </c>
      <c r="AF12" s="202">
        <v>114035.28</v>
      </c>
      <c r="AG12" s="202">
        <f t="shared" si="3"/>
        <v>-10918.720000000001</v>
      </c>
      <c r="AI12" s="200">
        <v>122998</v>
      </c>
      <c r="AJ12" s="200">
        <v>122998</v>
      </c>
      <c r="AK12" s="200">
        <f t="shared" si="6"/>
        <v>122998</v>
      </c>
      <c r="AL12" s="200">
        <f>IFERROR(VLOOKUP(B12,[2]rptBudgetaryBudgetCrossOrganiza!$A$5236:$O$5854,13,FALSE),"0")</f>
        <v>30563.52</v>
      </c>
      <c r="AM12" s="200"/>
      <c r="AN12" s="200"/>
      <c r="AO12" s="200"/>
      <c r="AP12" s="200"/>
      <c r="AQ12" s="200">
        <f t="shared" si="4"/>
        <v>-122998</v>
      </c>
      <c r="AS12" s="169"/>
      <c r="AT12" s="169"/>
      <c r="AU12" s="169"/>
      <c r="AV12" s="169"/>
      <c r="AW12" s="169"/>
      <c r="AX12" s="169"/>
      <c r="AY12" s="169"/>
      <c r="AZ12" s="169">
        <f t="shared" si="5"/>
        <v>0</v>
      </c>
    </row>
    <row r="13" spans="1:52" hidden="1" x14ac:dyDescent="0.2">
      <c r="A13" s="220">
        <v>4</v>
      </c>
      <c r="B13" s="170" t="s">
        <v>270</v>
      </c>
      <c r="C13" s="221">
        <v>20</v>
      </c>
      <c r="D13" s="221">
        <v>25</v>
      </c>
      <c r="E13" s="214">
        <v>330</v>
      </c>
      <c r="F13" s="170" t="str">
        <f t="shared" si="0"/>
        <v>5000.02</v>
      </c>
      <c r="G13" s="170" t="s">
        <v>166</v>
      </c>
      <c r="H13" s="168">
        <v>0</v>
      </c>
      <c r="I13" s="168">
        <v>0</v>
      </c>
      <c r="J13" s="168"/>
      <c r="K13" s="168"/>
      <c r="L13" s="168"/>
      <c r="M13" s="194">
        <v>0</v>
      </c>
      <c r="N13" s="168">
        <v>0</v>
      </c>
      <c r="O13" s="168">
        <f t="shared" si="1"/>
        <v>0</v>
      </c>
      <c r="Q13" s="169">
        <v>0</v>
      </c>
      <c r="R13" s="169">
        <v>0</v>
      </c>
      <c r="S13" s="169"/>
      <c r="T13" s="169"/>
      <c r="U13" s="169"/>
      <c r="V13" s="169">
        <v>0</v>
      </c>
      <c r="W13" s="169">
        <v>0</v>
      </c>
      <c r="X13" s="169">
        <f t="shared" si="2"/>
        <v>0</v>
      </c>
      <c r="Z13" s="202">
        <v>0</v>
      </c>
      <c r="AA13" s="202">
        <v>0</v>
      </c>
      <c r="AB13" s="202"/>
      <c r="AC13" s="202"/>
      <c r="AD13" s="202"/>
      <c r="AE13" s="207">
        <v>0</v>
      </c>
      <c r="AF13" s="202">
        <v>0</v>
      </c>
      <c r="AG13" s="202">
        <f t="shared" si="3"/>
        <v>0</v>
      </c>
      <c r="AI13" s="200">
        <v>0</v>
      </c>
      <c r="AJ13" s="200">
        <v>0</v>
      </c>
      <c r="AK13" s="200">
        <f t="shared" si="6"/>
        <v>0</v>
      </c>
      <c r="AL13" s="200">
        <f>IFERROR(VLOOKUP(B13,[2]rptBudgetaryBudgetCrossOrganiza!$A$5236:$O$5854,13,FALSE),"0")</f>
        <v>0</v>
      </c>
      <c r="AM13" s="200"/>
      <c r="AN13" s="200"/>
      <c r="AO13" s="200"/>
      <c r="AP13" s="200"/>
      <c r="AQ13" s="200">
        <f t="shared" si="4"/>
        <v>0</v>
      </c>
      <c r="AS13" s="169"/>
      <c r="AT13" s="169"/>
      <c r="AU13" s="169"/>
      <c r="AV13" s="169"/>
      <c r="AW13" s="169"/>
      <c r="AX13" s="169"/>
      <c r="AY13" s="169"/>
      <c r="AZ13" s="169">
        <f t="shared" si="5"/>
        <v>0</v>
      </c>
    </row>
    <row r="14" spans="1:52" hidden="1" x14ac:dyDescent="0.2">
      <c r="A14" s="220">
        <v>4</v>
      </c>
      <c r="B14" s="170" t="s">
        <v>271</v>
      </c>
      <c r="C14" s="221">
        <v>20</v>
      </c>
      <c r="D14" s="221">
        <v>25</v>
      </c>
      <c r="E14" s="214">
        <v>330</v>
      </c>
      <c r="F14" s="170" t="str">
        <f t="shared" si="0"/>
        <v>5000.03</v>
      </c>
      <c r="G14" s="170" t="s">
        <v>167</v>
      </c>
      <c r="H14" s="168">
        <v>500</v>
      </c>
      <c r="I14" s="168">
        <v>500</v>
      </c>
      <c r="J14" s="168"/>
      <c r="K14" s="168"/>
      <c r="L14" s="168"/>
      <c r="M14" s="194">
        <v>41.74</v>
      </c>
      <c r="N14" s="168">
        <v>41.74</v>
      </c>
      <c r="O14" s="168">
        <f t="shared" si="1"/>
        <v>-458.26</v>
      </c>
      <c r="Q14" s="169">
        <v>100</v>
      </c>
      <c r="R14" s="169">
        <v>100</v>
      </c>
      <c r="S14" s="169"/>
      <c r="T14" s="169"/>
      <c r="U14" s="169"/>
      <c r="V14" s="169">
        <v>152.18</v>
      </c>
      <c r="W14" s="169">
        <v>152.18</v>
      </c>
      <c r="X14" s="169">
        <f t="shared" si="2"/>
        <v>52.180000000000007</v>
      </c>
      <c r="Z14" s="202">
        <v>0</v>
      </c>
      <c r="AA14" s="202">
        <v>0</v>
      </c>
      <c r="AB14" s="202"/>
      <c r="AC14" s="202"/>
      <c r="AD14" s="202"/>
      <c r="AE14" s="207">
        <v>645.9</v>
      </c>
      <c r="AF14" s="202">
        <v>645.9</v>
      </c>
      <c r="AG14" s="202">
        <f t="shared" si="3"/>
        <v>645.9</v>
      </c>
      <c r="AI14" s="200">
        <v>0</v>
      </c>
      <c r="AJ14" s="200">
        <v>0</v>
      </c>
      <c r="AK14" s="200">
        <f t="shared" si="6"/>
        <v>0</v>
      </c>
      <c r="AL14" s="200">
        <f>IFERROR(VLOOKUP(B14,[2]rptBudgetaryBudgetCrossOrganiza!$A$5236:$O$5854,13,FALSE),"0")</f>
        <v>368.11</v>
      </c>
      <c r="AM14" s="200"/>
      <c r="AN14" s="200"/>
      <c r="AO14" s="200"/>
      <c r="AP14" s="200"/>
      <c r="AQ14" s="200">
        <f t="shared" si="4"/>
        <v>0</v>
      </c>
      <c r="AS14" s="169"/>
      <c r="AT14" s="169"/>
      <c r="AU14" s="169"/>
      <c r="AV14" s="169"/>
      <c r="AW14" s="169"/>
      <c r="AX14" s="169"/>
      <c r="AY14" s="169"/>
      <c r="AZ14" s="169">
        <f t="shared" si="5"/>
        <v>0</v>
      </c>
    </row>
    <row r="15" spans="1:52" hidden="1" x14ac:dyDescent="0.2">
      <c r="A15" s="220">
        <v>4</v>
      </c>
      <c r="B15" s="170" t="s">
        <v>272</v>
      </c>
      <c r="C15" s="221">
        <v>20</v>
      </c>
      <c r="D15" s="221">
        <v>25</v>
      </c>
      <c r="E15" s="214">
        <v>330</v>
      </c>
      <c r="F15" s="170" t="str">
        <f t="shared" si="0"/>
        <v>5000.04</v>
      </c>
      <c r="G15" s="170" t="s">
        <v>168</v>
      </c>
      <c r="H15" s="168">
        <v>0</v>
      </c>
      <c r="I15" s="168">
        <v>0</v>
      </c>
      <c r="J15" s="168"/>
      <c r="K15" s="168"/>
      <c r="L15" s="168"/>
      <c r="M15" s="194">
        <v>0</v>
      </c>
      <c r="N15" s="168">
        <v>0</v>
      </c>
      <c r="O15" s="168">
        <f t="shared" si="1"/>
        <v>0</v>
      </c>
      <c r="Q15" s="169">
        <v>0</v>
      </c>
      <c r="R15" s="169">
        <v>0</v>
      </c>
      <c r="S15" s="169"/>
      <c r="T15" s="169"/>
      <c r="U15" s="169"/>
      <c r="V15" s="169">
        <v>0</v>
      </c>
      <c r="W15" s="169">
        <v>0</v>
      </c>
      <c r="X15" s="169">
        <f t="shared" si="2"/>
        <v>0</v>
      </c>
      <c r="Z15" s="202">
        <v>0</v>
      </c>
      <c r="AA15" s="202">
        <v>0</v>
      </c>
      <c r="AB15" s="202"/>
      <c r="AC15" s="202"/>
      <c r="AD15" s="202"/>
      <c r="AE15" s="207">
        <v>0</v>
      </c>
      <c r="AF15" s="202">
        <v>0</v>
      </c>
      <c r="AG15" s="202">
        <f t="shared" si="3"/>
        <v>0</v>
      </c>
      <c r="AI15" s="200">
        <v>0</v>
      </c>
      <c r="AJ15" s="200">
        <v>0</v>
      </c>
      <c r="AK15" s="200">
        <f t="shared" si="6"/>
        <v>0</v>
      </c>
      <c r="AL15" s="200">
        <f>IFERROR(VLOOKUP(B15,[2]rptBudgetaryBudgetCrossOrganiza!$A$5236:$O$5854,13,FALSE),"0")</f>
        <v>0</v>
      </c>
      <c r="AM15" s="200"/>
      <c r="AN15" s="200"/>
      <c r="AO15" s="200"/>
      <c r="AP15" s="200"/>
      <c r="AQ15" s="200">
        <f t="shared" si="4"/>
        <v>0</v>
      </c>
      <c r="AS15" s="169"/>
      <c r="AT15" s="169"/>
      <c r="AU15" s="169"/>
      <c r="AV15" s="169"/>
      <c r="AW15" s="169"/>
      <c r="AX15" s="169"/>
      <c r="AY15" s="169"/>
      <c r="AZ15" s="169">
        <f t="shared" si="5"/>
        <v>0</v>
      </c>
    </row>
    <row r="16" spans="1:52" hidden="1" x14ac:dyDescent="0.2">
      <c r="A16" s="220">
        <v>4</v>
      </c>
      <c r="B16" s="170" t="s">
        <v>273</v>
      </c>
      <c r="C16" s="221">
        <v>20</v>
      </c>
      <c r="D16" s="221">
        <v>25</v>
      </c>
      <c r="E16" s="214">
        <v>330</v>
      </c>
      <c r="F16" s="170" t="str">
        <f t="shared" si="0"/>
        <v>5000.05</v>
      </c>
      <c r="G16" s="170" t="s">
        <v>169</v>
      </c>
      <c r="H16" s="168">
        <v>0</v>
      </c>
      <c r="I16" s="168">
        <v>0</v>
      </c>
      <c r="J16" s="168"/>
      <c r="K16" s="168"/>
      <c r="L16" s="168"/>
      <c r="M16" s="194">
        <v>0</v>
      </c>
      <c r="N16" s="168">
        <v>0</v>
      </c>
      <c r="O16" s="168">
        <f t="shared" si="1"/>
        <v>0</v>
      </c>
      <c r="Q16" s="169">
        <v>0</v>
      </c>
      <c r="R16" s="169">
        <v>0</v>
      </c>
      <c r="S16" s="169"/>
      <c r="T16" s="169"/>
      <c r="U16" s="169"/>
      <c r="V16" s="169">
        <v>0</v>
      </c>
      <c r="W16" s="169">
        <v>0</v>
      </c>
      <c r="X16" s="169">
        <f t="shared" si="2"/>
        <v>0</v>
      </c>
      <c r="Z16" s="202">
        <v>0</v>
      </c>
      <c r="AA16" s="202">
        <v>0</v>
      </c>
      <c r="AB16" s="202"/>
      <c r="AC16" s="202"/>
      <c r="AD16" s="202"/>
      <c r="AE16" s="207">
        <v>0</v>
      </c>
      <c r="AF16" s="202">
        <v>0</v>
      </c>
      <c r="AG16" s="202">
        <f t="shared" si="3"/>
        <v>0</v>
      </c>
      <c r="AI16" s="200">
        <v>0</v>
      </c>
      <c r="AJ16" s="200">
        <v>0</v>
      </c>
      <c r="AK16" s="200">
        <f t="shared" si="6"/>
        <v>0</v>
      </c>
      <c r="AL16" s="200">
        <f>IFERROR(VLOOKUP(B16,[2]rptBudgetaryBudgetCrossOrganiza!$A$5236:$O$5854,13,FALSE),"0")</f>
        <v>0</v>
      </c>
      <c r="AM16" s="200"/>
      <c r="AN16" s="200"/>
      <c r="AO16" s="200"/>
      <c r="AP16" s="200"/>
      <c r="AQ16" s="200">
        <f t="shared" si="4"/>
        <v>0</v>
      </c>
      <c r="AS16" s="169"/>
      <c r="AT16" s="169"/>
      <c r="AU16" s="169"/>
      <c r="AV16" s="169"/>
      <c r="AW16" s="169"/>
      <c r="AX16" s="169"/>
      <c r="AY16" s="169"/>
      <c r="AZ16" s="169">
        <f t="shared" si="5"/>
        <v>0</v>
      </c>
    </row>
    <row r="17" spans="1:52" hidden="1" x14ac:dyDescent="0.2">
      <c r="A17" s="220">
        <v>4</v>
      </c>
      <c r="B17" s="170" t="s">
        <v>274</v>
      </c>
      <c r="C17" s="221">
        <v>20</v>
      </c>
      <c r="D17" s="221">
        <v>25</v>
      </c>
      <c r="E17" s="214">
        <v>330</v>
      </c>
      <c r="F17" s="170" t="str">
        <f t="shared" si="0"/>
        <v>5000.06</v>
      </c>
      <c r="G17" s="170" t="s">
        <v>170</v>
      </c>
      <c r="H17" s="168">
        <v>0</v>
      </c>
      <c r="I17" s="168">
        <v>0</v>
      </c>
      <c r="J17" s="168"/>
      <c r="K17" s="168"/>
      <c r="L17" s="168"/>
      <c r="M17" s="194">
        <v>0</v>
      </c>
      <c r="N17" s="168">
        <v>0</v>
      </c>
      <c r="O17" s="168">
        <f t="shared" si="1"/>
        <v>0</v>
      </c>
      <c r="Q17" s="169">
        <v>0</v>
      </c>
      <c r="R17" s="169">
        <v>0</v>
      </c>
      <c r="S17" s="169"/>
      <c r="T17" s="169"/>
      <c r="U17" s="169"/>
      <c r="V17" s="169">
        <v>0</v>
      </c>
      <c r="W17" s="169">
        <v>0</v>
      </c>
      <c r="X17" s="169">
        <f t="shared" si="2"/>
        <v>0</v>
      </c>
      <c r="Z17" s="202">
        <v>0</v>
      </c>
      <c r="AA17" s="202">
        <v>0</v>
      </c>
      <c r="AB17" s="202"/>
      <c r="AC17" s="202"/>
      <c r="AD17" s="202"/>
      <c r="AE17" s="207">
        <v>0</v>
      </c>
      <c r="AF17" s="202">
        <v>0</v>
      </c>
      <c r="AG17" s="202">
        <f t="shared" si="3"/>
        <v>0</v>
      </c>
      <c r="AI17" s="200">
        <v>0</v>
      </c>
      <c r="AJ17" s="200">
        <v>0</v>
      </c>
      <c r="AK17" s="200">
        <f t="shared" si="6"/>
        <v>0</v>
      </c>
      <c r="AL17" s="200">
        <f>IFERROR(VLOOKUP(B17,[2]rptBudgetaryBudgetCrossOrganiza!$A$5236:$O$5854,13,FALSE),"0")</f>
        <v>0</v>
      </c>
      <c r="AM17" s="200"/>
      <c r="AN17" s="200"/>
      <c r="AO17" s="200"/>
      <c r="AP17" s="200"/>
      <c r="AQ17" s="200">
        <f t="shared" si="4"/>
        <v>0</v>
      </c>
      <c r="AS17" s="169"/>
      <c r="AT17" s="169"/>
      <c r="AU17" s="169"/>
      <c r="AV17" s="169"/>
      <c r="AW17" s="169"/>
      <c r="AX17" s="169"/>
      <c r="AY17" s="169"/>
      <c r="AZ17" s="169">
        <f t="shared" si="5"/>
        <v>0</v>
      </c>
    </row>
    <row r="18" spans="1:52" hidden="1" x14ac:dyDescent="0.2">
      <c r="A18" s="220">
        <v>4</v>
      </c>
      <c r="B18" s="170" t="s">
        <v>275</v>
      </c>
      <c r="C18" s="221">
        <v>20</v>
      </c>
      <c r="D18" s="221">
        <v>25</v>
      </c>
      <c r="E18" s="214">
        <v>330</v>
      </c>
      <c r="F18" s="170" t="str">
        <f t="shared" si="0"/>
        <v>5000.07</v>
      </c>
      <c r="G18" s="170" t="s">
        <v>171</v>
      </c>
      <c r="H18" s="168">
        <v>0</v>
      </c>
      <c r="I18" s="168">
        <v>0</v>
      </c>
      <c r="J18" s="168"/>
      <c r="K18" s="168"/>
      <c r="L18" s="168"/>
      <c r="M18" s="194">
        <v>0</v>
      </c>
      <c r="N18" s="168">
        <v>0</v>
      </c>
      <c r="O18" s="168">
        <f t="shared" si="1"/>
        <v>0</v>
      </c>
      <c r="Q18" s="169">
        <v>0</v>
      </c>
      <c r="R18" s="169">
        <v>0</v>
      </c>
      <c r="S18" s="169"/>
      <c r="T18" s="169"/>
      <c r="U18" s="169"/>
      <c r="V18" s="169">
        <v>0</v>
      </c>
      <c r="W18" s="169">
        <v>0</v>
      </c>
      <c r="X18" s="169">
        <f t="shared" si="2"/>
        <v>0</v>
      </c>
      <c r="Z18" s="202">
        <v>0</v>
      </c>
      <c r="AA18" s="202">
        <v>0</v>
      </c>
      <c r="AB18" s="202"/>
      <c r="AC18" s="202"/>
      <c r="AD18" s="202"/>
      <c r="AE18" s="207">
        <v>0</v>
      </c>
      <c r="AF18" s="202">
        <v>0</v>
      </c>
      <c r="AG18" s="202">
        <f t="shared" si="3"/>
        <v>0</v>
      </c>
      <c r="AI18" s="200">
        <v>0</v>
      </c>
      <c r="AJ18" s="200">
        <v>0</v>
      </c>
      <c r="AK18" s="200">
        <f t="shared" si="6"/>
        <v>0</v>
      </c>
      <c r="AL18" s="200">
        <f>IFERROR(VLOOKUP(B18,[2]rptBudgetaryBudgetCrossOrganiza!$A$5236:$O$5854,13,FALSE),"0")</f>
        <v>0</v>
      </c>
      <c r="AM18" s="200"/>
      <c r="AN18" s="200"/>
      <c r="AO18" s="200"/>
      <c r="AP18" s="200"/>
      <c r="AQ18" s="200">
        <f t="shared" si="4"/>
        <v>0</v>
      </c>
      <c r="AS18" s="169"/>
      <c r="AT18" s="169"/>
      <c r="AU18" s="169"/>
      <c r="AV18" s="169"/>
      <c r="AW18" s="169"/>
      <c r="AX18" s="169"/>
      <c r="AY18" s="169"/>
      <c r="AZ18" s="169">
        <f t="shared" si="5"/>
        <v>0</v>
      </c>
    </row>
    <row r="19" spans="1:52" hidden="1" x14ac:dyDescent="0.2">
      <c r="A19" s="220">
        <v>4</v>
      </c>
      <c r="B19" s="170" t="s">
        <v>276</v>
      </c>
      <c r="C19" s="221">
        <v>20</v>
      </c>
      <c r="D19" s="221">
        <v>25</v>
      </c>
      <c r="E19" s="214">
        <v>330</v>
      </c>
      <c r="F19" s="170" t="str">
        <f t="shared" ref="F19:F82" si="7">RIGHT(B19,7)</f>
        <v>5000.08</v>
      </c>
      <c r="G19" s="170" t="s">
        <v>172</v>
      </c>
      <c r="H19" s="168">
        <v>1050</v>
      </c>
      <c r="I19" s="168">
        <v>1050</v>
      </c>
      <c r="J19" s="168"/>
      <c r="K19" s="168"/>
      <c r="L19" s="168"/>
      <c r="M19" s="194">
        <v>1060.94</v>
      </c>
      <c r="N19" s="168">
        <v>1060.94</v>
      </c>
      <c r="O19" s="168">
        <f t="shared" si="1"/>
        <v>10.940000000000055</v>
      </c>
      <c r="Q19" s="169">
        <v>1100</v>
      </c>
      <c r="R19" s="169">
        <v>1100</v>
      </c>
      <c r="S19" s="169"/>
      <c r="T19" s="169"/>
      <c r="U19" s="169"/>
      <c r="V19" s="169">
        <v>1082.1600000000001</v>
      </c>
      <c r="W19" s="169">
        <v>1082.1600000000001</v>
      </c>
      <c r="X19" s="169">
        <f t="shared" si="2"/>
        <v>-17.839999999999918</v>
      </c>
      <c r="Z19" s="202">
        <v>1085</v>
      </c>
      <c r="AA19" s="202">
        <v>1085</v>
      </c>
      <c r="AB19" s="202"/>
      <c r="AC19" s="202"/>
      <c r="AD19" s="202"/>
      <c r="AE19" s="207">
        <v>0</v>
      </c>
      <c r="AF19" s="202">
        <v>0</v>
      </c>
      <c r="AG19" s="202">
        <f t="shared" si="3"/>
        <v>-1085</v>
      </c>
      <c r="AI19" s="200">
        <v>1118</v>
      </c>
      <c r="AJ19" s="200">
        <v>1118</v>
      </c>
      <c r="AK19" s="200">
        <f t="shared" si="6"/>
        <v>1118</v>
      </c>
      <c r="AL19" s="200">
        <f>IFERROR(VLOOKUP(B19,[2]rptBudgetaryBudgetCrossOrganiza!$A$5236:$O$5854,13,FALSE),"0")</f>
        <v>0</v>
      </c>
      <c r="AM19" s="200"/>
      <c r="AN19" s="200"/>
      <c r="AO19" s="200"/>
      <c r="AP19" s="200"/>
      <c r="AQ19" s="200">
        <f t="shared" si="4"/>
        <v>-1118</v>
      </c>
      <c r="AS19" s="169"/>
      <c r="AT19" s="169"/>
      <c r="AU19" s="169"/>
      <c r="AV19" s="169"/>
      <c r="AW19" s="169"/>
      <c r="AX19" s="169"/>
      <c r="AY19" s="169"/>
      <c r="AZ19" s="169">
        <f t="shared" si="5"/>
        <v>0</v>
      </c>
    </row>
    <row r="20" spans="1:52" hidden="1" x14ac:dyDescent="0.2">
      <c r="A20" s="220">
        <v>4</v>
      </c>
      <c r="B20" s="170" t="s">
        <v>277</v>
      </c>
      <c r="C20" s="221">
        <v>20</v>
      </c>
      <c r="D20" s="221">
        <v>25</v>
      </c>
      <c r="E20" s="214">
        <v>330</v>
      </c>
      <c r="F20" s="170" t="str">
        <f t="shared" si="7"/>
        <v>5000.09</v>
      </c>
      <c r="G20" s="170" t="s">
        <v>173</v>
      </c>
      <c r="H20" s="168">
        <v>0</v>
      </c>
      <c r="I20" s="168">
        <v>0</v>
      </c>
      <c r="J20" s="168"/>
      <c r="K20" s="168"/>
      <c r="L20" s="168"/>
      <c r="M20" s="194">
        <v>0</v>
      </c>
      <c r="N20" s="168">
        <v>0</v>
      </c>
      <c r="O20" s="168">
        <f t="shared" si="1"/>
        <v>0</v>
      </c>
      <c r="Q20" s="169">
        <v>0</v>
      </c>
      <c r="R20" s="169">
        <v>0</v>
      </c>
      <c r="S20" s="169"/>
      <c r="T20" s="169"/>
      <c r="U20" s="169"/>
      <c r="V20" s="169">
        <v>0</v>
      </c>
      <c r="W20" s="169">
        <v>0</v>
      </c>
      <c r="X20" s="169">
        <f t="shared" si="2"/>
        <v>0</v>
      </c>
      <c r="Z20" s="202">
        <v>0</v>
      </c>
      <c r="AA20" s="202">
        <v>0</v>
      </c>
      <c r="AB20" s="202"/>
      <c r="AC20" s="202"/>
      <c r="AD20" s="202"/>
      <c r="AE20" s="207">
        <v>0</v>
      </c>
      <c r="AF20" s="202">
        <v>0</v>
      </c>
      <c r="AG20" s="202">
        <f t="shared" si="3"/>
        <v>0</v>
      </c>
      <c r="AI20" s="200">
        <v>0</v>
      </c>
      <c r="AJ20" s="200">
        <v>0</v>
      </c>
      <c r="AK20" s="200">
        <f t="shared" si="6"/>
        <v>0</v>
      </c>
      <c r="AL20" s="200">
        <f>IFERROR(VLOOKUP(B20,[2]rptBudgetaryBudgetCrossOrganiza!$A$5236:$O$5854,13,FALSE),"0")</f>
        <v>0</v>
      </c>
      <c r="AM20" s="200"/>
      <c r="AN20" s="200"/>
      <c r="AO20" s="200"/>
      <c r="AP20" s="200"/>
      <c r="AQ20" s="200">
        <f t="shared" si="4"/>
        <v>0</v>
      </c>
      <c r="AS20" s="169"/>
      <c r="AT20" s="169"/>
      <c r="AU20" s="169"/>
      <c r="AV20" s="169"/>
      <c r="AW20" s="169"/>
      <c r="AX20" s="169"/>
      <c r="AY20" s="169"/>
      <c r="AZ20" s="169">
        <f t="shared" si="5"/>
        <v>0</v>
      </c>
    </row>
    <row r="21" spans="1:52" hidden="1" x14ac:dyDescent="0.2">
      <c r="A21" s="220">
        <v>4</v>
      </c>
      <c r="B21" s="170" t="s">
        <v>278</v>
      </c>
      <c r="C21" s="221">
        <v>20</v>
      </c>
      <c r="D21" s="221">
        <v>25</v>
      </c>
      <c r="E21" s="214">
        <v>330</v>
      </c>
      <c r="F21" s="170" t="str">
        <f t="shared" si="7"/>
        <v>5000.10</v>
      </c>
      <c r="G21" s="170" t="s">
        <v>174</v>
      </c>
      <c r="H21" s="168">
        <v>0</v>
      </c>
      <c r="I21" s="168">
        <v>0</v>
      </c>
      <c r="J21" s="168"/>
      <c r="K21" s="168"/>
      <c r="L21" s="168"/>
      <c r="M21" s="194">
        <v>0</v>
      </c>
      <c r="N21" s="168">
        <v>0</v>
      </c>
      <c r="O21" s="168">
        <f t="shared" si="1"/>
        <v>0</v>
      </c>
      <c r="Q21" s="169">
        <v>0</v>
      </c>
      <c r="R21" s="169">
        <v>0</v>
      </c>
      <c r="S21" s="169"/>
      <c r="T21" s="169"/>
      <c r="U21" s="169"/>
      <c r="V21" s="169">
        <v>0</v>
      </c>
      <c r="W21" s="169">
        <v>0</v>
      </c>
      <c r="X21" s="169">
        <f t="shared" si="2"/>
        <v>0</v>
      </c>
      <c r="Z21" s="202">
        <v>0</v>
      </c>
      <c r="AA21" s="202">
        <v>0</v>
      </c>
      <c r="AB21" s="202"/>
      <c r="AC21" s="202"/>
      <c r="AD21" s="202"/>
      <c r="AE21" s="207">
        <v>0</v>
      </c>
      <c r="AF21" s="202">
        <v>0</v>
      </c>
      <c r="AG21" s="202">
        <f t="shared" si="3"/>
        <v>0</v>
      </c>
      <c r="AI21" s="200">
        <v>0</v>
      </c>
      <c r="AJ21" s="200">
        <v>0</v>
      </c>
      <c r="AK21" s="200">
        <f t="shared" si="6"/>
        <v>0</v>
      </c>
      <c r="AL21" s="200">
        <f>IFERROR(VLOOKUP(B21,[2]rptBudgetaryBudgetCrossOrganiza!$A$5236:$O$5854,13,FALSE),"0")</f>
        <v>0</v>
      </c>
      <c r="AM21" s="200"/>
      <c r="AN21" s="200"/>
      <c r="AO21" s="200"/>
      <c r="AP21" s="200"/>
      <c r="AQ21" s="200">
        <f t="shared" si="4"/>
        <v>0</v>
      </c>
      <c r="AS21" s="169"/>
      <c r="AT21" s="169"/>
      <c r="AU21" s="169"/>
      <c r="AV21" s="169"/>
      <c r="AW21" s="169"/>
      <c r="AX21" s="169"/>
      <c r="AY21" s="169"/>
      <c r="AZ21" s="169">
        <f t="shared" si="5"/>
        <v>0</v>
      </c>
    </row>
    <row r="22" spans="1:52" hidden="1" x14ac:dyDescent="0.2">
      <c r="A22" s="220">
        <v>4</v>
      </c>
      <c r="B22" s="170" t="s">
        <v>279</v>
      </c>
      <c r="C22" s="221">
        <v>20</v>
      </c>
      <c r="D22" s="221">
        <v>25</v>
      </c>
      <c r="E22" s="214">
        <v>330</v>
      </c>
      <c r="F22" s="170" t="str">
        <f t="shared" si="7"/>
        <v>5000.11</v>
      </c>
      <c r="G22" s="170" t="s">
        <v>175</v>
      </c>
      <c r="H22" s="168">
        <v>0</v>
      </c>
      <c r="I22" s="168">
        <v>0</v>
      </c>
      <c r="J22" s="168"/>
      <c r="K22" s="168"/>
      <c r="L22" s="168"/>
      <c r="M22" s="194">
        <v>0</v>
      </c>
      <c r="N22" s="168">
        <v>0</v>
      </c>
      <c r="O22" s="168">
        <f t="shared" si="1"/>
        <v>0</v>
      </c>
      <c r="Q22" s="169">
        <v>0</v>
      </c>
      <c r="R22" s="169">
        <v>0</v>
      </c>
      <c r="S22" s="169"/>
      <c r="T22" s="169"/>
      <c r="U22" s="169"/>
      <c r="V22" s="169">
        <v>0</v>
      </c>
      <c r="W22" s="169">
        <v>0</v>
      </c>
      <c r="X22" s="169">
        <f t="shared" si="2"/>
        <v>0</v>
      </c>
      <c r="Z22" s="202">
        <v>0</v>
      </c>
      <c r="AA22" s="202">
        <v>0</v>
      </c>
      <c r="AB22" s="202"/>
      <c r="AC22" s="202"/>
      <c r="AD22" s="202"/>
      <c r="AE22" s="207">
        <v>0</v>
      </c>
      <c r="AF22" s="202">
        <v>0</v>
      </c>
      <c r="AG22" s="202">
        <f t="shared" si="3"/>
        <v>0</v>
      </c>
      <c r="AI22" s="200">
        <v>0</v>
      </c>
      <c r="AJ22" s="200">
        <v>0</v>
      </c>
      <c r="AK22" s="200">
        <f t="shared" si="6"/>
        <v>0</v>
      </c>
      <c r="AL22" s="200">
        <f>IFERROR(VLOOKUP(B22,[2]rptBudgetaryBudgetCrossOrganiza!$A$5236:$O$5854,13,FALSE),"0")</f>
        <v>0</v>
      </c>
      <c r="AM22" s="200"/>
      <c r="AN22" s="200"/>
      <c r="AO22" s="200"/>
      <c r="AP22" s="200"/>
      <c r="AQ22" s="200">
        <f t="shared" si="4"/>
        <v>0</v>
      </c>
      <c r="AS22" s="169"/>
      <c r="AT22" s="169"/>
      <c r="AU22" s="169"/>
      <c r="AV22" s="169"/>
      <c r="AW22" s="169"/>
      <c r="AX22" s="169"/>
      <c r="AY22" s="169"/>
      <c r="AZ22" s="169">
        <f t="shared" si="5"/>
        <v>0</v>
      </c>
    </row>
    <row r="23" spans="1:52" hidden="1" x14ac:dyDescent="0.2">
      <c r="A23" s="220">
        <v>4</v>
      </c>
      <c r="B23" s="170" t="s">
        <v>280</v>
      </c>
      <c r="C23" s="221">
        <v>20</v>
      </c>
      <c r="D23" s="221">
        <v>25</v>
      </c>
      <c r="E23" s="214">
        <v>330</v>
      </c>
      <c r="F23" s="170" t="str">
        <f t="shared" si="7"/>
        <v>5000.12</v>
      </c>
      <c r="G23" s="170" t="s">
        <v>176</v>
      </c>
      <c r="H23" s="168">
        <v>0</v>
      </c>
      <c r="I23" s="168">
        <v>0</v>
      </c>
      <c r="J23" s="168"/>
      <c r="K23" s="168"/>
      <c r="L23" s="168"/>
      <c r="M23" s="194">
        <v>0</v>
      </c>
      <c r="N23" s="168">
        <v>0</v>
      </c>
      <c r="O23" s="168">
        <f t="shared" si="1"/>
        <v>0</v>
      </c>
      <c r="Q23" s="169">
        <v>0</v>
      </c>
      <c r="R23" s="169">
        <v>0</v>
      </c>
      <c r="S23" s="169"/>
      <c r="T23" s="169"/>
      <c r="U23" s="169"/>
      <c r="V23" s="169">
        <v>0</v>
      </c>
      <c r="W23" s="169">
        <v>0</v>
      </c>
      <c r="X23" s="169">
        <f t="shared" si="2"/>
        <v>0</v>
      </c>
      <c r="Z23" s="202">
        <v>0</v>
      </c>
      <c r="AA23" s="202">
        <v>0</v>
      </c>
      <c r="AB23" s="202"/>
      <c r="AC23" s="202"/>
      <c r="AD23" s="202"/>
      <c r="AE23" s="207">
        <v>0</v>
      </c>
      <c r="AF23" s="202">
        <v>0</v>
      </c>
      <c r="AG23" s="202">
        <f t="shared" si="3"/>
        <v>0</v>
      </c>
      <c r="AI23" s="200">
        <v>0</v>
      </c>
      <c r="AJ23" s="200">
        <v>0</v>
      </c>
      <c r="AK23" s="200">
        <f t="shared" si="6"/>
        <v>0</v>
      </c>
      <c r="AL23" s="200">
        <f>IFERROR(VLOOKUP(B23,[2]rptBudgetaryBudgetCrossOrganiza!$A$5236:$O$5854,13,FALSE),"0")</f>
        <v>0</v>
      </c>
      <c r="AM23" s="200"/>
      <c r="AN23" s="200"/>
      <c r="AO23" s="200"/>
      <c r="AP23" s="200"/>
      <c r="AQ23" s="200">
        <f t="shared" si="4"/>
        <v>0</v>
      </c>
      <c r="AS23" s="169"/>
      <c r="AT23" s="169"/>
      <c r="AU23" s="169"/>
      <c r="AV23" s="169"/>
      <c r="AW23" s="169"/>
      <c r="AX23" s="169"/>
      <c r="AY23" s="169"/>
      <c r="AZ23" s="169">
        <f t="shared" si="5"/>
        <v>0</v>
      </c>
    </row>
    <row r="24" spans="1:52" hidden="1" x14ac:dyDescent="0.2">
      <c r="A24" s="220">
        <v>4</v>
      </c>
      <c r="B24" s="170" t="s">
        <v>281</v>
      </c>
      <c r="C24" s="221">
        <v>20</v>
      </c>
      <c r="D24" s="221">
        <v>25</v>
      </c>
      <c r="E24" s="214">
        <v>330</v>
      </c>
      <c r="F24" s="170" t="str">
        <f t="shared" si="7"/>
        <v>5000.99</v>
      </c>
      <c r="G24" s="170" t="s">
        <v>177</v>
      </c>
      <c r="H24" s="168">
        <v>0</v>
      </c>
      <c r="I24" s="168">
        <v>0</v>
      </c>
      <c r="J24" s="168"/>
      <c r="K24" s="168"/>
      <c r="L24" s="168"/>
      <c r="M24" s="194">
        <v>0</v>
      </c>
      <c r="N24" s="168">
        <v>0</v>
      </c>
      <c r="O24" s="168">
        <f t="shared" si="1"/>
        <v>0</v>
      </c>
      <c r="Q24" s="169">
        <v>0</v>
      </c>
      <c r="R24" s="169">
        <v>0</v>
      </c>
      <c r="S24" s="169"/>
      <c r="T24" s="169"/>
      <c r="U24" s="169"/>
      <c r="V24" s="169">
        <v>0</v>
      </c>
      <c r="W24" s="169">
        <v>0</v>
      </c>
      <c r="X24" s="169">
        <f t="shared" si="2"/>
        <v>0</v>
      </c>
      <c r="Z24" s="202">
        <v>0</v>
      </c>
      <c r="AA24" s="202">
        <v>0</v>
      </c>
      <c r="AB24" s="202"/>
      <c r="AC24" s="202"/>
      <c r="AD24" s="202"/>
      <c r="AE24" s="207">
        <v>0</v>
      </c>
      <c r="AF24" s="202">
        <v>0</v>
      </c>
      <c r="AG24" s="202">
        <f t="shared" si="3"/>
        <v>0</v>
      </c>
      <c r="AI24" s="200">
        <v>0</v>
      </c>
      <c r="AJ24" s="200">
        <v>0</v>
      </c>
      <c r="AK24" s="200">
        <f t="shared" si="6"/>
        <v>0</v>
      </c>
      <c r="AL24" s="200">
        <f>IFERROR(VLOOKUP(B24,[2]rptBudgetaryBudgetCrossOrganiza!$A$5236:$O$5854,13,FALSE),"0")</f>
        <v>0</v>
      </c>
      <c r="AM24" s="200"/>
      <c r="AN24" s="200"/>
      <c r="AO24" s="200"/>
      <c r="AP24" s="200"/>
      <c r="AQ24" s="200">
        <f t="shared" si="4"/>
        <v>0</v>
      </c>
      <c r="AS24" s="169"/>
      <c r="AT24" s="169"/>
      <c r="AU24" s="169"/>
      <c r="AV24" s="169"/>
      <c r="AW24" s="169"/>
      <c r="AX24" s="169"/>
      <c r="AY24" s="169"/>
      <c r="AZ24" s="169">
        <f t="shared" si="5"/>
        <v>0</v>
      </c>
    </row>
    <row r="25" spans="1:52" hidden="1" x14ac:dyDescent="0.2">
      <c r="A25" s="220">
        <v>4</v>
      </c>
      <c r="B25" s="170" t="s">
        <v>282</v>
      </c>
      <c r="C25" s="221">
        <v>20</v>
      </c>
      <c r="D25" s="221">
        <v>25</v>
      </c>
      <c r="E25" s="214">
        <v>330</v>
      </c>
      <c r="F25" s="170" t="str">
        <f t="shared" si="7"/>
        <v>5100.00</v>
      </c>
      <c r="G25" s="170" t="s">
        <v>178</v>
      </c>
      <c r="H25" s="168">
        <v>18977</v>
      </c>
      <c r="I25" s="168">
        <v>18977</v>
      </c>
      <c r="J25" s="168"/>
      <c r="K25" s="168"/>
      <c r="L25" s="168"/>
      <c r="M25" s="194">
        <v>18734.95</v>
      </c>
      <c r="N25" s="168">
        <v>18734.95</v>
      </c>
      <c r="O25" s="168">
        <f t="shared" si="1"/>
        <v>-242.04999999999927</v>
      </c>
      <c r="Q25" s="169">
        <v>21310</v>
      </c>
      <c r="R25" s="169">
        <v>21310</v>
      </c>
      <c r="S25" s="169"/>
      <c r="T25" s="169"/>
      <c r="U25" s="169"/>
      <c r="V25" s="169">
        <v>21001.63</v>
      </c>
      <c r="W25" s="169">
        <v>21001.63</v>
      </c>
      <c r="X25" s="169">
        <f t="shared" si="2"/>
        <v>-308.36999999999898</v>
      </c>
      <c r="Z25" s="202">
        <v>23315</v>
      </c>
      <c r="AA25" s="202">
        <v>23315</v>
      </c>
      <c r="AB25" s="202"/>
      <c r="AC25" s="202"/>
      <c r="AD25" s="202"/>
      <c r="AE25" s="207">
        <v>22013.24</v>
      </c>
      <c r="AF25" s="202">
        <v>22013.24</v>
      </c>
      <c r="AG25" s="202">
        <f t="shared" si="3"/>
        <v>-1301.7599999999984</v>
      </c>
      <c r="AI25" s="200">
        <v>23315</v>
      </c>
      <c r="AJ25" s="200">
        <v>23315</v>
      </c>
      <c r="AK25" s="200">
        <f t="shared" si="6"/>
        <v>23315</v>
      </c>
      <c r="AL25" s="200">
        <f>IFERROR(VLOOKUP(B25,[2]rptBudgetaryBudgetCrossOrganiza!$A$5236:$O$5854,13,FALSE),"0")</f>
        <v>5512.44</v>
      </c>
      <c r="AM25" s="200"/>
      <c r="AN25" s="200"/>
      <c r="AO25" s="200"/>
      <c r="AP25" s="200"/>
      <c r="AQ25" s="200">
        <f t="shared" si="4"/>
        <v>-23315</v>
      </c>
      <c r="AS25" s="169"/>
      <c r="AT25" s="169"/>
      <c r="AU25" s="169"/>
      <c r="AV25" s="169"/>
      <c r="AW25" s="169"/>
      <c r="AX25" s="169"/>
      <c r="AY25" s="169"/>
      <c r="AZ25" s="169">
        <f t="shared" si="5"/>
        <v>0</v>
      </c>
    </row>
    <row r="26" spans="1:52" hidden="1" x14ac:dyDescent="0.2">
      <c r="A26" s="220">
        <v>4</v>
      </c>
      <c r="B26" s="170" t="s">
        <v>283</v>
      </c>
      <c r="C26" s="221">
        <v>20</v>
      </c>
      <c r="D26" s="221">
        <v>25</v>
      </c>
      <c r="E26" s="214">
        <v>330</v>
      </c>
      <c r="F26" s="170" t="str">
        <f t="shared" si="7"/>
        <v>5100.01</v>
      </c>
      <c r="G26" s="170" t="s">
        <v>179</v>
      </c>
      <c r="H26" s="168">
        <v>13381</v>
      </c>
      <c r="I26" s="168">
        <v>13381</v>
      </c>
      <c r="J26" s="168"/>
      <c r="K26" s="168"/>
      <c r="L26" s="168"/>
      <c r="M26" s="194">
        <v>12941.26</v>
      </c>
      <c r="N26" s="168">
        <v>12941.26</v>
      </c>
      <c r="O26" s="168">
        <f t="shared" si="1"/>
        <v>-439.73999999999978</v>
      </c>
      <c r="Q26" s="169">
        <v>13590</v>
      </c>
      <c r="R26" s="169">
        <v>13590</v>
      </c>
      <c r="S26" s="169"/>
      <c r="T26" s="169"/>
      <c r="U26" s="169"/>
      <c r="V26" s="169">
        <v>13409.06</v>
      </c>
      <c r="W26" s="169">
        <v>13409.06</v>
      </c>
      <c r="X26" s="169">
        <f t="shared" si="2"/>
        <v>-180.94000000000051</v>
      </c>
      <c r="Z26" s="202">
        <v>14120</v>
      </c>
      <c r="AA26" s="202">
        <v>14120</v>
      </c>
      <c r="AB26" s="202"/>
      <c r="AC26" s="202"/>
      <c r="AD26" s="202"/>
      <c r="AE26" s="207">
        <v>12067.79</v>
      </c>
      <c r="AF26" s="202">
        <v>12067.79</v>
      </c>
      <c r="AG26" s="202">
        <f t="shared" si="3"/>
        <v>-2052.2099999999991</v>
      </c>
      <c r="AI26" s="200">
        <v>14120</v>
      </c>
      <c r="AJ26" s="200">
        <v>14120</v>
      </c>
      <c r="AK26" s="200">
        <f t="shared" si="6"/>
        <v>14120</v>
      </c>
      <c r="AL26" s="200">
        <f>IFERROR(VLOOKUP(B26,[2]rptBudgetaryBudgetCrossOrganiza!$A$5236:$O$5854,13,FALSE),"0")</f>
        <v>3097.89</v>
      </c>
      <c r="AM26" s="200"/>
      <c r="AN26" s="200"/>
      <c r="AO26" s="200"/>
      <c r="AP26" s="200"/>
      <c r="AQ26" s="200">
        <f t="shared" si="4"/>
        <v>-14120</v>
      </c>
      <c r="AS26" s="169"/>
      <c r="AT26" s="169"/>
      <c r="AU26" s="169"/>
      <c r="AV26" s="169"/>
      <c r="AW26" s="169"/>
      <c r="AX26" s="169"/>
      <c r="AY26" s="169"/>
      <c r="AZ26" s="169">
        <f t="shared" si="5"/>
        <v>0</v>
      </c>
    </row>
    <row r="27" spans="1:52" hidden="1" x14ac:dyDescent="0.2">
      <c r="A27" s="220">
        <v>4</v>
      </c>
      <c r="B27" s="170" t="s">
        <v>284</v>
      </c>
      <c r="C27" s="221">
        <v>20</v>
      </c>
      <c r="D27" s="221">
        <v>25</v>
      </c>
      <c r="E27" s="214">
        <v>330</v>
      </c>
      <c r="F27" s="170" t="str">
        <f t="shared" si="7"/>
        <v>5100.02</v>
      </c>
      <c r="G27" s="170" t="s">
        <v>180</v>
      </c>
      <c r="H27" s="168">
        <v>25980</v>
      </c>
      <c r="I27" s="168">
        <v>25980</v>
      </c>
      <c r="J27" s="168"/>
      <c r="K27" s="168"/>
      <c r="L27" s="168"/>
      <c r="M27" s="194">
        <v>25617.5</v>
      </c>
      <c r="N27" s="168">
        <v>25617.5</v>
      </c>
      <c r="O27" s="168">
        <f t="shared" si="1"/>
        <v>-362.5</v>
      </c>
      <c r="Q27" s="169">
        <v>25980</v>
      </c>
      <c r="R27" s="169">
        <v>25980</v>
      </c>
      <c r="S27" s="169"/>
      <c r="T27" s="169"/>
      <c r="U27" s="169"/>
      <c r="V27" s="169">
        <v>25980</v>
      </c>
      <c r="W27" s="169">
        <v>25980</v>
      </c>
      <c r="X27" s="169">
        <f t="shared" si="2"/>
        <v>0</v>
      </c>
      <c r="Z27" s="202">
        <v>25980</v>
      </c>
      <c r="AA27" s="202">
        <v>25980</v>
      </c>
      <c r="AB27" s="202"/>
      <c r="AC27" s="202"/>
      <c r="AD27" s="202"/>
      <c r="AE27" s="207">
        <v>18086.5</v>
      </c>
      <c r="AF27" s="202">
        <v>18086.5</v>
      </c>
      <c r="AG27" s="202">
        <f t="shared" si="3"/>
        <v>-7893.5</v>
      </c>
      <c r="AI27" s="200">
        <v>25980</v>
      </c>
      <c r="AJ27" s="200">
        <v>25980</v>
      </c>
      <c r="AK27" s="200">
        <f t="shared" si="6"/>
        <v>25980</v>
      </c>
      <c r="AL27" s="200">
        <f>IFERROR(VLOOKUP(B27,[2]rptBudgetaryBudgetCrossOrganiza!$A$5236:$O$5854,13,FALSE),"0")</f>
        <v>2250</v>
      </c>
      <c r="AM27" s="200"/>
      <c r="AN27" s="200"/>
      <c r="AO27" s="200"/>
      <c r="AP27" s="200"/>
      <c r="AQ27" s="200">
        <f t="shared" si="4"/>
        <v>-25980</v>
      </c>
      <c r="AS27" s="169"/>
      <c r="AT27" s="169"/>
      <c r="AU27" s="169"/>
      <c r="AV27" s="169"/>
      <c r="AW27" s="169"/>
      <c r="AX27" s="169"/>
      <c r="AY27" s="169"/>
      <c r="AZ27" s="169">
        <f t="shared" si="5"/>
        <v>0</v>
      </c>
    </row>
    <row r="28" spans="1:52" hidden="1" x14ac:dyDescent="0.2">
      <c r="A28" s="220">
        <v>4</v>
      </c>
      <c r="B28" s="170" t="s">
        <v>285</v>
      </c>
      <c r="C28" s="221">
        <v>20</v>
      </c>
      <c r="D28" s="221">
        <v>25</v>
      </c>
      <c r="E28" s="214">
        <v>330</v>
      </c>
      <c r="F28" s="170" t="str">
        <f t="shared" si="7"/>
        <v>5100.03</v>
      </c>
      <c r="G28" s="170" t="s">
        <v>181</v>
      </c>
      <c r="H28" s="168">
        <v>2130</v>
      </c>
      <c r="I28" s="168">
        <v>2130</v>
      </c>
      <c r="J28" s="168"/>
      <c r="K28" s="168"/>
      <c r="L28" s="168"/>
      <c r="M28" s="194">
        <v>2052.42</v>
      </c>
      <c r="N28" s="168">
        <v>2052.42</v>
      </c>
      <c r="O28" s="168">
        <f t="shared" si="1"/>
        <v>-77.579999999999927</v>
      </c>
      <c r="Q28" s="169">
        <v>2080</v>
      </c>
      <c r="R28" s="169">
        <v>2080</v>
      </c>
      <c r="S28" s="169"/>
      <c r="T28" s="169"/>
      <c r="U28" s="169"/>
      <c r="V28" s="169">
        <v>1949.91</v>
      </c>
      <c r="W28" s="169">
        <v>1949.91</v>
      </c>
      <c r="X28" s="169">
        <f t="shared" si="2"/>
        <v>-130.08999999999992</v>
      </c>
      <c r="Z28" s="202">
        <v>2080</v>
      </c>
      <c r="AA28" s="202">
        <v>2080</v>
      </c>
      <c r="AB28" s="202"/>
      <c r="AC28" s="202"/>
      <c r="AD28" s="202"/>
      <c r="AE28" s="207">
        <v>1084</v>
      </c>
      <c r="AF28" s="202">
        <v>1084</v>
      </c>
      <c r="AG28" s="202">
        <f t="shared" si="3"/>
        <v>-996</v>
      </c>
      <c r="AI28" s="200">
        <v>2080</v>
      </c>
      <c r="AJ28" s="200">
        <v>2080</v>
      </c>
      <c r="AK28" s="200">
        <f t="shared" si="6"/>
        <v>2080</v>
      </c>
      <c r="AL28" s="200">
        <f>IFERROR(VLOOKUP(B28,[2]rptBudgetaryBudgetCrossOrganiza!$A$5236:$O$5854,13,FALSE),"0")</f>
        <v>132.84</v>
      </c>
      <c r="AM28" s="200"/>
      <c r="AN28" s="200"/>
      <c r="AO28" s="200"/>
      <c r="AP28" s="200"/>
      <c r="AQ28" s="200">
        <f t="shared" si="4"/>
        <v>-2080</v>
      </c>
      <c r="AS28" s="169"/>
      <c r="AT28" s="169"/>
      <c r="AU28" s="169"/>
      <c r="AV28" s="169"/>
      <c r="AW28" s="169"/>
      <c r="AX28" s="169"/>
      <c r="AY28" s="169"/>
      <c r="AZ28" s="169">
        <f t="shared" si="5"/>
        <v>0</v>
      </c>
    </row>
    <row r="29" spans="1:52" hidden="1" x14ac:dyDescent="0.2">
      <c r="A29" s="220">
        <v>4</v>
      </c>
      <c r="B29" s="170" t="s">
        <v>286</v>
      </c>
      <c r="C29" s="221">
        <v>20</v>
      </c>
      <c r="D29" s="221">
        <v>25</v>
      </c>
      <c r="E29" s="214">
        <v>330</v>
      </c>
      <c r="F29" s="170" t="str">
        <f t="shared" si="7"/>
        <v>5100.04</v>
      </c>
      <c r="G29" s="170" t="s">
        <v>182</v>
      </c>
      <c r="H29" s="168">
        <v>352</v>
      </c>
      <c r="I29" s="168">
        <v>352</v>
      </c>
      <c r="J29" s="168"/>
      <c r="K29" s="168"/>
      <c r="L29" s="168"/>
      <c r="M29" s="194">
        <v>346.66</v>
      </c>
      <c r="N29" s="168">
        <v>346.66</v>
      </c>
      <c r="O29" s="168">
        <f t="shared" si="1"/>
        <v>-5.339999999999975</v>
      </c>
      <c r="Q29" s="169">
        <v>355</v>
      </c>
      <c r="R29" s="169">
        <v>355</v>
      </c>
      <c r="S29" s="169"/>
      <c r="T29" s="169"/>
      <c r="U29" s="169"/>
      <c r="V29" s="169">
        <v>351.36</v>
      </c>
      <c r="W29" s="169">
        <v>351.36</v>
      </c>
      <c r="X29" s="169">
        <f t="shared" si="2"/>
        <v>-3.6399999999999864</v>
      </c>
      <c r="Z29" s="202">
        <v>355</v>
      </c>
      <c r="AA29" s="202">
        <v>355</v>
      </c>
      <c r="AB29" s="202"/>
      <c r="AC29" s="202"/>
      <c r="AD29" s="202"/>
      <c r="AE29" s="207">
        <v>202.26</v>
      </c>
      <c r="AF29" s="202">
        <v>202.26</v>
      </c>
      <c r="AG29" s="202">
        <f t="shared" si="3"/>
        <v>-152.74</v>
      </c>
      <c r="AI29" s="200">
        <v>355</v>
      </c>
      <c r="AJ29" s="200">
        <v>355</v>
      </c>
      <c r="AK29" s="200">
        <f t="shared" si="6"/>
        <v>355</v>
      </c>
      <c r="AL29" s="200">
        <f>IFERROR(VLOOKUP(B29,[2]rptBudgetaryBudgetCrossOrganiza!$A$5236:$O$5854,13,FALSE),"0")</f>
        <v>28.2</v>
      </c>
      <c r="AM29" s="200"/>
      <c r="AN29" s="200"/>
      <c r="AO29" s="200"/>
      <c r="AP29" s="200"/>
      <c r="AQ29" s="200">
        <f t="shared" si="4"/>
        <v>-355</v>
      </c>
      <c r="AS29" s="169"/>
      <c r="AT29" s="169"/>
      <c r="AU29" s="169"/>
      <c r="AV29" s="169"/>
      <c r="AW29" s="169"/>
      <c r="AX29" s="169"/>
      <c r="AY29" s="169"/>
      <c r="AZ29" s="169">
        <f t="shared" si="5"/>
        <v>0</v>
      </c>
    </row>
    <row r="30" spans="1:52" hidden="1" x14ac:dyDescent="0.2">
      <c r="A30" s="220">
        <v>4</v>
      </c>
      <c r="B30" s="170" t="s">
        <v>287</v>
      </c>
      <c r="C30" s="221">
        <v>20</v>
      </c>
      <c r="D30" s="221">
        <v>25</v>
      </c>
      <c r="E30" s="214">
        <v>330</v>
      </c>
      <c r="F30" s="170" t="str">
        <f t="shared" si="7"/>
        <v>5100.05</v>
      </c>
      <c r="G30" s="170" t="s">
        <v>183</v>
      </c>
      <c r="H30" s="168">
        <v>170</v>
      </c>
      <c r="I30" s="168">
        <v>170</v>
      </c>
      <c r="J30" s="168"/>
      <c r="K30" s="168"/>
      <c r="L30" s="168"/>
      <c r="M30" s="194">
        <v>155.41</v>
      </c>
      <c r="N30" s="168">
        <v>155.41</v>
      </c>
      <c r="O30" s="168">
        <f t="shared" si="1"/>
        <v>-14.590000000000003</v>
      </c>
      <c r="Q30" s="169">
        <v>165</v>
      </c>
      <c r="R30" s="169">
        <v>165</v>
      </c>
      <c r="S30" s="169"/>
      <c r="T30" s="169"/>
      <c r="U30" s="169"/>
      <c r="V30" s="169">
        <v>152.96</v>
      </c>
      <c r="W30" s="169">
        <v>152.96</v>
      </c>
      <c r="X30" s="169">
        <f t="shared" si="2"/>
        <v>-12.039999999999992</v>
      </c>
      <c r="Z30" s="202">
        <v>160</v>
      </c>
      <c r="AA30" s="202">
        <v>160</v>
      </c>
      <c r="AB30" s="202"/>
      <c r="AC30" s="202"/>
      <c r="AD30" s="202"/>
      <c r="AE30" s="207">
        <v>94.08</v>
      </c>
      <c r="AF30" s="202">
        <v>94.08</v>
      </c>
      <c r="AG30" s="202">
        <f t="shared" si="3"/>
        <v>-65.92</v>
      </c>
      <c r="AI30" s="200">
        <v>160</v>
      </c>
      <c r="AJ30" s="200">
        <v>160</v>
      </c>
      <c r="AK30" s="200">
        <f t="shared" si="6"/>
        <v>160</v>
      </c>
      <c r="AL30" s="200">
        <f>IFERROR(VLOOKUP(B30,[2]rptBudgetaryBudgetCrossOrganiza!$A$5236:$O$5854,13,FALSE),"0")</f>
        <v>8.41</v>
      </c>
      <c r="AM30" s="200"/>
      <c r="AN30" s="200"/>
      <c r="AO30" s="200"/>
      <c r="AP30" s="200"/>
      <c r="AQ30" s="200">
        <f t="shared" si="4"/>
        <v>-160</v>
      </c>
      <c r="AS30" s="169"/>
      <c r="AT30" s="169"/>
      <c r="AU30" s="169"/>
      <c r="AV30" s="169"/>
      <c r="AW30" s="169"/>
      <c r="AX30" s="169"/>
      <c r="AY30" s="169"/>
      <c r="AZ30" s="169">
        <f t="shared" si="5"/>
        <v>0</v>
      </c>
    </row>
    <row r="31" spans="1:52" hidden="1" x14ac:dyDescent="0.2">
      <c r="A31" s="220">
        <v>4</v>
      </c>
      <c r="B31" s="170" t="s">
        <v>288</v>
      </c>
      <c r="C31" s="221">
        <v>20</v>
      </c>
      <c r="D31" s="221">
        <v>25</v>
      </c>
      <c r="E31" s="214">
        <v>330</v>
      </c>
      <c r="F31" s="170" t="str">
        <f t="shared" si="7"/>
        <v>5100.06</v>
      </c>
      <c r="G31" s="170" t="s">
        <v>184</v>
      </c>
      <c r="H31" s="168">
        <v>3310</v>
      </c>
      <c r="I31" s="168">
        <v>3310</v>
      </c>
      <c r="J31" s="168"/>
      <c r="K31" s="168"/>
      <c r="L31" s="168"/>
      <c r="M31" s="194">
        <v>3310</v>
      </c>
      <c r="N31" s="168">
        <v>3310</v>
      </c>
      <c r="O31" s="168">
        <f t="shared" si="1"/>
        <v>0</v>
      </c>
      <c r="Q31" s="169">
        <v>3540</v>
      </c>
      <c r="R31" s="169">
        <v>3540</v>
      </c>
      <c r="S31" s="169"/>
      <c r="T31" s="169"/>
      <c r="U31" s="169"/>
      <c r="V31" s="169">
        <v>3540</v>
      </c>
      <c r="W31" s="169">
        <v>3540</v>
      </c>
      <c r="X31" s="169">
        <f t="shared" si="2"/>
        <v>0</v>
      </c>
      <c r="Z31" s="202">
        <v>3870</v>
      </c>
      <c r="AA31" s="202">
        <v>3870</v>
      </c>
      <c r="AB31" s="202"/>
      <c r="AC31" s="202"/>
      <c r="AD31" s="202"/>
      <c r="AE31" s="207">
        <v>1290</v>
      </c>
      <c r="AF31" s="202">
        <v>1290</v>
      </c>
      <c r="AG31" s="202">
        <f t="shared" si="3"/>
        <v>-2580</v>
      </c>
      <c r="AI31" s="200">
        <v>3870</v>
      </c>
      <c r="AJ31" s="200">
        <v>3870</v>
      </c>
      <c r="AK31" s="200">
        <f t="shared" si="6"/>
        <v>3870</v>
      </c>
      <c r="AL31" s="200">
        <f>IFERROR(VLOOKUP(B31,[2]rptBudgetaryBudgetCrossOrganiza!$A$5236:$O$5854,13,FALSE),"0")</f>
        <v>0</v>
      </c>
      <c r="AM31" s="200"/>
      <c r="AN31" s="200"/>
      <c r="AO31" s="200"/>
      <c r="AP31" s="200"/>
      <c r="AQ31" s="200">
        <f t="shared" si="4"/>
        <v>-3870</v>
      </c>
      <c r="AS31" s="169"/>
      <c r="AT31" s="169"/>
      <c r="AU31" s="169"/>
      <c r="AV31" s="169"/>
      <c r="AW31" s="169"/>
      <c r="AX31" s="169"/>
      <c r="AY31" s="169"/>
      <c r="AZ31" s="169">
        <f t="shared" si="5"/>
        <v>0</v>
      </c>
    </row>
    <row r="32" spans="1:52" hidden="1" x14ac:dyDescent="0.2">
      <c r="A32" s="220">
        <v>4</v>
      </c>
      <c r="B32" s="170" t="s">
        <v>289</v>
      </c>
      <c r="C32" s="221">
        <v>20</v>
      </c>
      <c r="D32" s="221">
        <v>25</v>
      </c>
      <c r="E32" s="214">
        <v>330</v>
      </c>
      <c r="F32" s="170" t="str">
        <f t="shared" si="7"/>
        <v>5100.07</v>
      </c>
      <c r="G32" s="170" t="s">
        <v>185</v>
      </c>
      <c r="H32" s="168">
        <v>820</v>
      </c>
      <c r="I32" s="168">
        <v>820</v>
      </c>
      <c r="J32" s="168"/>
      <c r="K32" s="168"/>
      <c r="L32" s="168"/>
      <c r="M32" s="194">
        <v>565.9</v>
      </c>
      <c r="N32" s="168">
        <v>565.9</v>
      </c>
      <c r="O32" s="168">
        <f t="shared" si="1"/>
        <v>-254.10000000000002</v>
      </c>
      <c r="Q32" s="169">
        <v>780</v>
      </c>
      <c r="R32" s="169">
        <v>780</v>
      </c>
      <c r="S32" s="169"/>
      <c r="T32" s="169"/>
      <c r="U32" s="169"/>
      <c r="V32" s="169">
        <v>501.57</v>
      </c>
      <c r="W32" s="169">
        <v>501.57</v>
      </c>
      <c r="X32" s="169">
        <f t="shared" si="2"/>
        <v>-278.43</v>
      </c>
      <c r="Z32" s="202">
        <v>430</v>
      </c>
      <c r="AA32" s="202">
        <v>430</v>
      </c>
      <c r="AB32" s="202"/>
      <c r="AC32" s="202"/>
      <c r="AD32" s="202"/>
      <c r="AE32" s="207">
        <v>447.17</v>
      </c>
      <c r="AF32" s="202">
        <v>447.17</v>
      </c>
      <c r="AG32" s="202">
        <f t="shared" si="3"/>
        <v>17.170000000000016</v>
      </c>
      <c r="AI32" s="200">
        <v>430</v>
      </c>
      <c r="AJ32" s="200">
        <v>430</v>
      </c>
      <c r="AK32" s="200">
        <f t="shared" si="6"/>
        <v>430</v>
      </c>
      <c r="AL32" s="200">
        <f>IFERROR(VLOOKUP(B32,[2]rptBudgetaryBudgetCrossOrganiza!$A$5236:$O$5854,13,FALSE),"0")</f>
        <v>99.87</v>
      </c>
      <c r="AM32" s="200"/>
      <c r="AN32" s="200"/>
      <c r="AO32" s="200"/>
      <c r="AP32" s="200"/>
      <c r="AQ32" s="200">
        <f t="shared" si="4"/>
        <v>-430</v>
      </c>
      <c r="AS32" s="169"/>
      <c r="AT32" s="169"/>
      <c r="AU32" s="169"/>
      <c r="AV32" s="169"/>
      <c r="AW32" s="169"/>
      <c r="AX32" s="169"/>
      <c r="AY32" s="169"/>
      <c r="AZ32" s="169">
        <f t="shared" si="5"/>
        <v>0</v>
      </c>
    </row>
    <row r="33" spans="1:52" hidden="1" x14ac:dyDescent="0.2">
      <c r="A33" s="220">
        <v>4</v>
      </c>
      <c r="B33" s="170" t="s">
        <v>290</v>
      </c>
      <c r="C33" s="221">
        <v>20</v>
      </c>
      <c r="D33" s="221">
        <v>25</v>
      </c>
      <c r="E33" s="214">
        <v>330</v>
      </c>
      <c r="F33" s="170" t="str">
        <f t="shared" si="7"/>
        <v>5100.08</v>
      </c>
      <c r="G33" s="170" t="s">
        <v>186</v>
      </c>
      <c r="H33" s="168">
        <v>3262</v>
      </c>
      <c r="I33" s="168">
        <v>3262</v>
      </c>
      <c r="J33" s="168"/>
      <c r="K33" s="168"/>
      <c r="L33" s="168"/>
      <c r="M33" s="194">
        <v>5276.23</v>
      </c>
      <c r="N33" s="168">
        <v>5276.23</v>
      </c>
      <c r="O33" s="168">
        <f t="shared" si="1"/>
        <v>2014.2299999999996</v>
      </c>
      <c r="Q33" s="169">
        <v>5555</v>
      </c>
      <c r="R33" s="169">
        <v>5555</v>
      </c>
      <c r="S33" s="169"/>
      <c r="T33" s="169"/>
      <c r="U33" s="169"/>
      <c r="V33" s="169">
        <v>5479.89</v>
      </c>
      <c r="W33" s="169">
        <v>5479.89</v>
      </c>
      <c r="X33" s="169">
        <f t="shared" si="2"/>
        <v>-75.109999999999673</v>
      </c>
      <c r="Z33" s="202">
        <v>5595</v>
      </c>
      <c r="AA33" s="202">
        <v>5595</v>
      </c>
      <c r="AB33" s="202"/>
      <c r="AC33" s="202"/>
      <c r="AD33" s="202"/>
      <c r="AE33" s="207">
        <v>5277.31</v>
      </c>
      <c r="AF33" s="202">
        <v>5277.31</v>
      </c>
      <c r="AG33" s="202">
        <f t="shared" si="3"/>
        <v>-317.6899999999996</v>
      </c>
      <c r="AI33" s="200">
        <v>5595</v>
      </c>
      <c r="AJ33" s="200">
        <v>5595</v>
      </c>
      <c r="AK33" s="200">
        <f t="shared" si="6"/>
        <v>5595</v>
      </c>
      <c r="AL33" s="200">
        <f>IFERROR(VLOOKUP(B33,[2]rptBudgetaryBudgetCrossOrganiza!$A$5236:$O$5854,13,FALSE),"0")</f>
        <v>1318.52</v>
      </c>
      <c r="AM33" s="200"/>
      <c r="AN33" s="200"/>
      <c r="AO33" s="200"/>
      <c r="AP33" s="200"/>
      <c r="AQ33" s="200">
        <f t="shared" si="4"/>
        <v>-5595</v>
      </c>
      <c r="AS33" s="169"/>
      <c r="AT33" s="169"/>
      <c r="AU33" s="169"/>
      <c r="AV33" s="169"/>
      <c r="AW33" s="169"/>
      <c r="AX33" s="169"/>
      <c r="AY33" s="169"/>
      <c r="AZ33" s="169">
        <f t="shared" si="5"/>
        <v>0</v>
      </c>
    </row>
    <row r="34" spans="1:52" hidden="1" x14ac:dyDescent="0.2">
      <c r="A34" s="220">
        <v>4</v>
      </c>
      <c r="B34" s="170" t="s">
        <v>291</v>
      </c>
      <c r="C34" s="221">
        <v>20</v>
      </c>
      <c r="D34" s="221">
        <v>25</v>
      </c>
      <c r="E34" s="214">
        <v>330</v>
      </c>
      <c r="F34" s="170" t="str">
        <f t="shared" si="7"/>
        <v>5100.09</v>
      </c>
      <c r="G34" s="170" t="s">
        <v>187</v>
      </c>
      <c r="H34" s="168">
        <v>0</v>
      </c>
      <c r="I34" s="168">
        <v>0</v>
      </c>
      <c r="J34" s="168"/>
      <c r="K34" s="168"/>
      <c r="L34" s="168"/>
      <c r="M34" s="194">
        <v>0</v>
      </c>
      <c r="N34" s="168">
        <v>0</v>
      </c>
      <c r="O34" s="168">
        <f t="shared" si="1"/>
        <v>0</v>
      </c>
      <c r="Q34" s="169">
        <v>0</v>
      </c>
      <c r="R34" s="169">
        <v>0</v>
      </c>
      <c r="S34" s="169"/>
      <c r="T34" s="169"/>
      <c r="U34" s="169"/>
      <c r="V34" s="169">
        <v>0</v>
      </c>
      <c r="W34" s="169">
        <v>0</v>
      </c>
      <c r="X34" s="169">
        <f t="shared" si="2"/>
        <v>0</v>
      </c>
      <c r="Z34" s="202">
        <v>0</v>
      </c>
      <c r="AA34" s="202">
        <v>0</v>
      </c>
      <c r="AB34" s="202"/>
      <c r="AC34" s="202"/>
      <c r="AD34" s="202"/>
      <c r="AE34" s="207">
        <v>0</v>
      </c>
      <c r="AF34" s="202">
        <v>0</v>
      </c>
      <c r="AG34" s="202">
        <f t="shared" si="3"/>
        <v>0</v>
      </c>
      <c r="AI34" s="200">
        <v>0</v>
      </c>
      <c r="AJ34" s="200">
        <v>0</v>
      </c>
      <c r="AK34" s="200">
        <f t="shared" si="6"/>
        <v>0</v>
      </c>
      <c r="AL34" s="200">
        <f>IFERROR(VLOOKUP(B34,[2]rptBudgetaryBudgetCrossOrganiza!$A$5236:$O$5854,13,FALSE),"0")</f>
        <v>0</v>
      </c>
      <c r="AM34" s="200"/>
      <c r="AN34" s="200"/>
      <c r="AO34" s="200"/>
      <c r="AP34" s="200"/>
      <c r="AQ34" s="200">
        <f t="shared" si="4"/>
        <v>0</v>
      </c>
      <c r="AS34" s="169"/>
      <c r="AT34" s="169"/>
      <c r="AU34" s="169"/>
      <c r="AV34" s="169"/>
      <c r="AW34" s="169"/>
      <c r="AX34" s="169"/>
      <c r="AY34" s="169"/>
      <c r="AZ34" s="169">
        <f t="shared" si="5"/>
        <v>0</v>
      </c>
    </row>
    <row r="35" spans="1:52" hidden="1" x14ac:dyDescent="0.2">
      <c r="A35" s="220">
        <v>4</v>
      </c>
      <c r="B35" s="170" t="s">
        <v>292</v>
      </c>
      <c r="C35" s="221">
        <v>20</v>
      </c>
      <c r="D35" s="221">
        <v>25</v>
      </c>
      <c r="E35" s="214">
        <v>330</v>
      </c>
      <c r="F35" s="170" t="str">
        <f t="shared" si="7"/>
        <v>5100.10</v>
      </c>
      <c r="G35" s="170" t="s">
        <v>188</v>
      </c>
      <c r="H35" s="168">
        <v>0</v>
      </c>
      <c r="I35" s="168">
        <v>0</v>
      </c>
      <c r="J35" s="168"/>
      <c r="K35" s="168"/>
      <c r="L35" s="168"/>
      <c r="M35" s="194">
        <v>0</v>
      </c>
      <c r="N35" s="168">
        <v>0</v>
      </c>
      <c r="O35" s="168">
        <f t="shared" si="1"/>
        <v>0</v>
      </c>
      <c r="Q35" s="169">
        <v>0</v>
      </c>
      <c r="R35" s="169">
        <v>0</v>
      </c>
      <c r="S35" s="169"/>
      <c r="T35" s="169"/>
      <c r="U35" s="169"/>
      <c r="V35" s="169">
        <v>0</v>
      </c>
      <c r="W35" s="169">
        <v>0</v>
      </c>
      <c r="X35" s="169">
        <f t="shared" si="2"/>
        <v>0</v>
      </c>
      <c r="Z35" s="202">
        <v>0</v>
      </c>
      <c r="AA35" s="202">
        <v>0</v>
      </c>
      <c r="AB35" s="202"/>
      <c r="AC35" s="202"/>
      <c r="AD35" s="202"/>
      <c r="AE35" s="207">
        <v>1000</v>
      </c>
      <c r="AF35" s="202">
        <v>1000</v>
      </c>
      <c r="AG35" s="202">
        <f t="shared" si="3"/>
        <v>1000</v>
      </c>
      <c r="AI35" s="200">
        <v>0</v>
      </c>
      <c r="AJ35" s="200">
        <v>0</v>
      </c>
      <c r="AK35" s="200">
        <f t="shared" si="6"/>
        <v>0</v>
      </c>
      <c r="AL35" s="200">
        <f>IFERROR(VLOOKUP(B35,[2]rptBudgetaryBudgetCrossOrganiza!$A$5236:$O$5854,13,FALSE),"0")</f>
        <v>0</v>
      </c>
      <c r="AM35" s="200"/>
      <c r="AN35" s="200"/>
      <c r="AO35" s="200"/>
      <c r="AP35" s="200"/>
      <c r="AQ35" s="200">
        <f t="shared" si="4"/>
        <v>0</v>
      </c>
      <c r="AS35" s="169"/>
      <c r="AT35" s="169"/>
      <c r="AU35" s="169"/>
      <c r="AV35" s="169"/>
      <c r="AW35" s="169"/>
      <c r="AX35" s="169"/>
      <c r="AY35" s="169"/>
      <c r="AZ35" s="169">
        <f t="shared" si="5"/>
        <v>0</v>
      </c>
    </row>
    <row r="36" spans="1:52" hidden="1" x14ac:dyDescent="0.2">
      <c r="A36" s="220">
        <v>4</v>
      </c>
      <c r="B36" s="170" t="s">
        <v>293</v>
      </c>
      <c r="C36" s="221">
        <v>20</v>
      </c>
      <c r="D36" s="221">
        <v>25</v>
      </c>
      <c r="E36" s="214">
        <v>330</v>
      </c>
      <c r="F36" s="170" t="str">
        <f t="shared" si="7"/>
        <v>5100.11</v>
      </c>
      <c r="G36" s="170" t="s">
        <v>189</v>
      </c>
      <c r="H36" s="168">
        <v>1665</v>
      </c>
      <c r="I36" s="168">
        <v>1665</v>
      </c>
      <c r="J36" s="168"/>
      <c r="K36" s="168"/>
      <c r="L36" s="168"/>
      <c r="M36" s="194">
        <v>1658.94</v>
      </c>
      <c r="N36" s="168">
        <v>1658.94</v>
      </c>
      <c r="O36" s="168">
        <f t="shared" si="1"/>
        <v>-6.0599999999999454</v>
      </c>
      <c r="Q36" s="169">
        <v>1770</v>
      </c>
      <c r="R36" s="169">
        <v>1770</v>
      </c>
      <c r="S36" s="169"/>
      <c r="T36" s="169"/>
      <c r="U36" s="169"/>
      <c r="V36" s="169">
        <v>1723.32</v>
      </c>
      <c r="W36" s="169">
        <v>1723.32</v>
      </c>
      <c r="X36" s="169">
        <f t="shared" si="2"/>
        <v>-46.680000000000064</v>
      </c>
      <c r="Z36" s="202">
        <v>1840</v>
      </c>
      <c r="AA36" s="202">
        <v>1840</v>
      </c>
      <c r="AB36" s="202"/>
      <c r="AC36" s="202"/>
      <c r="AD36" s="202"/>
      <c r="AE36" s="207">
        <v>1739.94</v>
      </c>
      <c r="AF36" s="202">
        <v>1739.94</v>
      </c>
      <c r="AG36" s="202">
        <f t="shared" si="3"/>
        <v>-100.05999999999995</v>
      </c>
      <c r="AI36" s="200">
        <v>1840</v>
      </c>
      <c r="AJ36" s="200">
        <v>1840</v>
      </c>
      <c r="AK36" s="200">
        <f t="shared" si="6"/>
        <v>1840</v>
      </c>
      <c r="AL36" s="200">
        <f>IFERROR(VLOOKUP(B36,[2]rptBudgetaryBudgetCrossOrganiza!$A$5236:$O$5854,13,FALSE),"0")</f>
        <v>461.38</v>
      </c>
      <c r="AM36" s="200"/>
      <c r="AN36" s="200"/>
      <c r="AO36" s="200"/>
      <c r="AP36" s="200"/>
      <c r="AQ36" s="200">
        <f t="shared" si="4"/>
        <v>-1840</v>
      </c>
      <c r="AS36" s="169"/>
      <c r="AT36" s="169"/>
      <c r="AU36" s="169"/>
      <c r="AV36" s="169"/>
      <c r="AW36" s="169"/>
      <c r="AX36" s="169"/>
      <c r="AY36" s="169"/>
      <c r="AZ36" s="169">
        <f t="shared" si="5"/>
        <v>0</v>
      </c>
    </row>
    <row r="37" spans="1:52" hidden="1" x14ac:dyDescent="0.2">
      <c r="A37" s="220">
        <v>4</v>
      </c>
      <c r="B37" s="170" t="s">
        <v>294</v>
      </c>
      <c r="C37" s="221">
        <v>20</v>
      </c>
      <c r="D37" s="221">
        <v>25</v>
      </c>
      <c r="E37" s="214">
        <v>330</v>
      </c>
      <c r="F37" s="170" t="str">
        <f t="shared" si="7"/>
        <v>5100.12</v>
      </c>
      <c r="G37" s="170" t="s">
        <v>190</v>
      </c>
      <c r="H37" s="168">
        <v>0</v>
      </c>
      <c r="I37" s="168">
        <v>0</v>
      </c>
      <c r="J37" s="168"/>
      <c r="K37" s="168"/>
      <c r="L37" s="168"/>
      <c r="M37" s="194">
        <v>0</v>
      </c>
      <c r="N37" s="168">
        <v>0</v>
      </c>
      <c r="O37" s="168">
        <f t="shared" si="1"/>
        <v>0</v>
      </c>
      <c r="Q37" s="169">
        <v>0</v>
      </c>
      <c r="R37" s="169">
        <v>0</v>
      </c>
      <c r="S37" s="169"/>
      <c r="T37" s="169"/>
      <c r="U37" s="169"/>
      <c r="V37" s="169">
        <v>0</v>
      </c>
      <c r="W37" s="169">
        <v>0</v>
      </c>
      <c r="X37" s="169">
        <f t="shared" si="2"/>
        <v>0</v>
      </c>
      <c r="Z37" s="202">
        <v>0</v>
      </c>
      <c r="AA37" s="202">
        <v>0</v>
      </c>
      <c r="AB37" s="202"/>
      <c r="AC37" s="202"/>
      <c r="AD37" s="202"/>
      <c r="AE37" s="207">
        <v>0</v>
      </c>
      <c r="AF37" s="202">
        <v>0</v>
      </c>
      <c r="AG37" s="202">
        <f t="shared" si="3"/>
        <v>0</v>
      </c>
      <c r="AI37" s="200">
        <v>0</v>
      </c>
      <c r="AJ37" s="200">
        <v>0</v>
      </c>
      <c r="AK37" s="200">
        <f t="shared" si="6"/>
        <v>0</v>
      </c>
      <c r="AL37" s="200">
        <f>IFERROR(VLOOKUP(B37,[2]rptBudgetaryBudgetCrossOrganiza!$A$5236:$O$5854,13,FALSE),"0")</f>
        <v>0</v>
      </c>
      <c r="AM37" s="200"/>
      <c r="AN37" s="200"/>
      <c r="AO37" s="200"/>
      <c r="AP37" s="200"/>
      <c r="AQ37" s="200">
        <f t="shared" si="4"/>
        <v>0</v>
      </c>
      <c r="AS37" s="169"/>
      <c r="AT37" s="169"/>
      <c r="AU37" s="169"/>
      <c r="AV37" s="169"/>
      <c r="AW37" s="169"/>
      <c r="AX37" s="169"/>
      <c r="AY37" s="169"/>
      <c r="AZ37" s="169">
        <f t="shared" si="5"/>
        <v>0</v>
      </c>
    </row>
    <row r="38" spans="1:52" hidden="1" x14ac:dyDescent="0.2">
      <c r="A38" s="220">
        <v>4</v>
      </c>
      <c r="B38" s="170" t="s">
        <v>295</v>
      </c>
      <c r="C38" s="221">
        <v>20</v>
      </c>
      <c r="D38" s="221">
        <v>25</v>
      </c>
      <c r="E38" s="214">
        <v>330</v>
      </c>
      <c r="F38" s="170" t="str">
        <f t="shared" si="7"/>
        <v>5100.13</v>
      </c>
      <c r="G38" s="170" t="s">
        <v>191</v>
      </c>
      <c r="H38" s="168">
        <v>0</v>
      </c>
      <c r="I38" s="168">
        <v>0</v>
      </c>
      <c r="J38" s="168"/>
      <c r="K38" s="168"/>
      <c r="L38" s="168"/>
      <c r="M38" s="194">
        <v>0</v>
      </c>
      <c r="N38" s="168">
        <v>0</v>
      </c>
      <c r="O38" s="168">
        <f t="shared" si="1"/>
        <v>0</v>
      </c>
      <c r="Q38" s="169">
        <v>0</v>
      </c>
      <c r="R38" s="169">
        <v>0</v>
      </c>
      <c r="S38" s="169"/>
      <c r="T38" s="169"/>
      <c r="U38" s="169"/>
      <c r="V38" s="169">
        <v>0</v>
      </c>
      <c r="W38" s="169">
        <v>0</v>
      </c>
      <c r="X38" s="169">
        <f t="shared" si="2"/>
        <v>0</v>
      </c>
      <c r="Z38" s="202">
        <v>0</v>
      </c>
      <c r="AA38" s="202">
        <v>0</v>
      </c>
      <c r="AB38" s="202"/>
      <c r="AC38" s="202"/>
      <c r="AD38" s="202"/>
      <c r="AE38" s="207">
        <v>0</v>
      </c>
      <c r="AF38" s="202">
        <v>0</v>
      </c>
      <c r="AG38" s="202">
        <f t="shared" si="3"/>
        <v>0</v>
      </c>
      <c r="AI38" s="200">
        <v>0</v>
      </c>
      <c r="AJ38" s="200">
        <v>0</v>
      </c>
      <c r="AK38" s="200">
        <f t="shared" si="6"/>
        <v>0</v>
      </c>
      <c r="AL38" s="200">
        <f>IFERROR(VLOOKUP(B38,[2]rptBudgetaryBudgetCrossOrganiza!$A$5236:$O$5854,13,FALSE),"0")</f>
        <v>0</v>
      </c>
      <c r="AM38" s="200"/>
      <c r="AN38" s="200"/>
      <c r="AO38" s="200"/>
      <c r="AP38" s="200"/>
      <c r="AQ38" s="200">
        <f t="shared" si="4"/>
        <v>0</v>
      </c>
      <c r="AS38" s="169"/>
      <c r="AT38" s="169"/>
      <c r="AU38" s="169"/>
      <c r="AV38" s="169"/>
      <c r="AW38" s="169"/>
      <c r="AX38" s="169"/>
      <c r="AY38" s="169"/>
      <c r="AZ38" s="169">
        <f t="shared" si="5"/>
        <v>0</v>
      </c>
    </row>
    <row r="39" spans="1:52" hidden="1" x14ac:dyDescent="0.2">
      <c r="A39" s="220">
        <v>4</v>
      </c>
      <c r="B39" s="170" t="s">
        <v>296</v>
      </c>
      <c r="C39" s="221">
        <v>20</v>
      </c>
      <c r="D39" s="221">
        <v>25</v>
      </c>
      <c r="E39" s="214">
        <v>330</v>
      </c>
      <c r="F39" s="170" t="str">
        <f t="shared" si="7"/>
        <v>5100.14</v>
      </c>
      <c r="G39" s="170" t="s">
        <v>192</v>
      </c>
      <c r="H39" s="168">
        <v>0</v>
      </c>
      <c r="I39" s="168">
        <v>0</v>
      </c>
      <c r="J39" s="168"/>
      <c r="K39" s="168"/>
      <c r="L39" s="168"/>
      <c r="M39" s="194">
        <v>0</v>
      </c>
      <c r="N39" s="168">
        <v>0</v>
      </c>
      <c r="O39" s="168">
        <f t="shared" si="1"/>
        <v>0</v>
      </c>
      <c r="Q39" s="169">
        <v>0</v>
      </c>
      <c r="R39" s="169">
        <v>0</v>
      </c>
      <c r="S39" s="169"/>
      <c r="T39" s="169"/>
      <c r="U39" s="169"/>
      <c r="V39" s="169">
        <v>0</v>
      </c>
      <c r="W39" s="169">
        <v>0</v>
      </c>
      <c r="X39" s="169">
        <f t="shared" si="2"/>
        <v>0</v>
      </c>
      <c r="Z39" s="202">
        <v>0</v>
      </c>
      <c r="AA39" s="202">
        <v>0</v>
      </c>
      <c r="AB39" s="202"/>
      <c r="AC39" s="202"/>
      <c r="AD39" s="202"/>
      <c r="AE39" s="207">
        <v>0</v>
      </c>
      <c r="AF39" s="202">
        <v>0</v>
      </c>
      <c r="AG39" s="202">
        <f t="shared" si="3"/>
        <v>0</v>
      </c>
      <c r="AI39" s="200">
        <v>0</v>
      </c>
      <c r="AJ39" s="200">
        <v>0</v>
      </c>
      <c r="AK39" s="200">
        <f t="shared" si="6"/>
        <v>0</v>
      </c>
      <c r="AL39" s="200">
        <f>IFERROR(VLOOKUP(B39,[2]rptBudgetaryBudgetCrossOrganiza!$A$5236:$O$5854,13,FALSE),"0")</f>
        <v>0</v>
      </c>
      <c r="AM39" s="200"/>
      <c r="AN39" s="200"/>
      <c r="AO39" s="200"/>
      <c r="AP39" s="200"/>
      <c r="AQ39" s="200">
        <f t="shared" si="4"/>
        <v>0</v>
      </c>
      <c r="AS39" s="169"/>
      <c r="AT39" s="169"/>
      <c r="AU39" s="169"/>
      <c r="AV39" s="169"/>
      <c r="AW39" s="169"/>
      <c r="AX39" s="169"/>
      <c r="AY39" s="169"/>
      <c r="AZ39" s="169">
        <f t="shared" si="5"/>
        <v>0</v>
      </c>
    </row>
    <row r="40" spans="1:52" hidden="1" x14ac:dyDescent="0.2">
      <c r="A40" s="220">
        <v>4</v>
      </c>
      <c r="B40" s="170" t="s">
        <v>297</v>
      </c>
      <c r="C40" s="221">
        <v>20</v>
      </c>
      <c r="D40" s="221">
        <v>25</v>
      </c>
      <c r="E40" s="214">
        <v>330</v>
      </c>
      <c r="F40" s="170" t="str">
        <f t="shared" si="7"/>
        <v>5100.15</v>
      </c>
      <c r="G40" s="170" t="s">
        <v>193</v>
      </c>
      <c r="H40" s="168">
        <v>0</v>
      </c>
      <c r="I40" s="168">
        <v>0</v>
      </c>
      <c r="J40" s="168"/>
      <c r="K40" s="168"/>
      <c r="L40" s="168"/>
      <c r="M40" s="194">
        <v>0</v>
      </c>
      <c r="N40" s="168">
        <v>0</v>
      </c>
      <c r="O40" s="168">
        <f t="shared" si="1"/>
        <v>0</v>
      </c>
      <c r="Q40" s="169">
        <v>0</v>
      </c>
      <c r="R40" s="169">
        <v>0</v>
      </c>
      <c r="S40" s="169"/>
      <c r="T40" s="169"/>
      <c r="U40" s="169"/>
      <c r="V40" s="169">
        <v>0</v>
      </c>
      <c r="W40" s="169">
        <v>0</v>
      </c>
      <c r="X40" s="169">
        <f t="shared" si="2"/>
        <v>0</v>
      </c>
      <c r="Z40" s="202">
        <v>0</v>
      </c>
      <c r="AA40" s="202">
        <v>0</v>
      </c>
      <c r="AB40" s="202"/>
      <c r="AC40" s="202"/>
      <c r="AD40" s="202"/>
      <c r="AE40" s="207">
        <v>0</v>
      </c>
      <c r="AF40" s="202">
        <v>0</v>
      </c>
      <c r="AG40" s="202">
        <f t="shared" si="3"/>
        <v>0</v>
      </c>
      <c r="AI40" s="200">
        <v>0</v>
      </c>
      <c r="AJ40" s="200">
        <v>0</v>
      </c>
      <c r="AK40" s="200">
        <f t="shared" si="6"/>
        <v>0</v>
      </c>
      <c r="AL40" s="200">
        <f>IFERROR(VLOOKUP(B40,[2]rptBudgetaryBudgetCrossOrganiza!$A$5236:$O$5854,13,FALSE),"0")</f>
        <v>0</v>
      </c>
      <c r="AM40" s="200"/>
      <c r="AN40" s="200"/>
      <c r="AO40" s="200"/>
      <c r="AP40" s="200"/>
      <c r="AQ40" s="200">
        <f t="shared" si="4"/>
        <v>0</v>
      </c>
      <c r="AS40" s="169"/>
      <c r="AT40" s="169"/>
      <c r="AU40" s="169"/>
      <c r="AV40" s="169"/>
      <c r="AW40" s="169"/>
      <c r="AX40" s="169"/>
      <c r="AY40" s="169"/>
      <c r="AZ40" s="169">
        <f t="shared" si="5"/>
        <v>0</v>
      </c>
    </row>
    <row r="41" spans="1:52" hidden="1" x14ac:dyDescent="0.2">
      <c r="A41" s="220">
        <v>4</v>
      </c>
      <c r="B41" s="170" t="s">
        <v>298</v>
      </c>
      <c r="C41" s="221">
        <v>20</v>
      </c>
      <c r="D41" s="221">
        <v>25</v>
      </c>
      <c r="E41" s="214">
        <v>330</v>
      </c>
      <c r="F41" s="170" t="str">
        <f t="shared" si="7"/>
        <v>5100.16</v>
      </c>
      <c r="G41" s="170" t="s">
        <v>194</v>
      </c>
      <c r="H41" s="168">
        <v>0</v>
      </c>
      <c r="I41" s="168">
        <v>0</v>
      </c>
      <c r="J41" s="168"/>
      <c r="K41" s="168"/>
      <c r="L41" s="168"/>
      <c r="M41" s="194">
        <v>0</v>
      </c>
      <c r="N41" s="168">
        <v>0</v>
      </c>
      <c r="O41" s="168">
        <f t="shared" si="1"/>
        <v>0</v>
      </c>
      <c r="Q41" s="169">
        <v>0</v>
      </c>
      <c r="R41" s="169">
        <v>0</v>
      </c>
      <c r="S41" s="169"/>
      <c r="T41" s="169"/>
      <c r="U41" s="169"/>
      <c r="V41" s="169">
        <v>0</v>
      </c>
      <c r="W41" s="169">
        <v>0</v>
      </c>
      <c r="X41" s="169">
        <f t="shared" si="2"/>
        <v>0</v>
      </c>
      <c r="Z41" s="202">
        <v>0</v>
      </c>
      <c r="AA41" s="202">
        <v>0</v>
      </c>
      <c r="AB41" s="202"/>
      <c r="AC41" s="202"/>
      <c r="AD41" s="202"/>
      <c r="AE41" s="207">
        <v>0</v>
      </c>
      <c r="AF41" s="202">
        <v>0</v>
      </c>
      <c r="AG41" s="202">
        <f t="shared" si="3"/>
        <v>0</v>
      </c>
      <c r="AI41" s="200">
        <v>0</v>
      </c>
      <c r="AJ41" s="200">
        <v>0</v>
      </c>
      <c r="AK41" s="200">
        <f t="shared" si="6"/>
        <v>0</v>
      </c>
      <c r="AL41" s="200">
        <f>IFERROR(VLOOKUP(B41,[2]rptBudgetaryBudgetCrossOrganiza!$A$5236:$O$5854,13,FALSE),"0")</f>
        <v>0</v>
      </c>
      <c r="AM41" s="200"/>
      <c r="AN41" s="200"/>
      <c r="AO41" s="200"/>
      <c r="AP41" s="200"/>
      <c r="AQ41" s="200">
        <f t="shared" si="4"/>
        <v>0</v>
      </c>
      <c r="AS41" s="169"/>
      <c r="AT41" s="169"/>
      <c r="AU41" s="169"/>
      <c r="AV41" s="169"/>
      <c r="AW41" s="169"/>
      <c r="AX41" s="169"/>
      <c r="AY41" s="169"/>
      <c r="AZ41" s="169">
        <f t="shared" si="5"/>
        <v>0</v>
      </c>
    </row>
    <row r="42" spans="1:52" hidden="1" x14ac:dyDescent="0.2">
      <c r="A42" s="220">
        <v>4</v>
      </c>
      <c r="B42" s="170" t="s">
        <v>299</v>
      </c>
      <c r="C42" s="221">
        <v>20</v>
      </c>
      <c r="D42" s="221">
        <v>25</v>
      </c>
      <c r="E42" s="214">
        <v>330</v>
      </c>
      <c r="F42" s="170" t="str">
        <f t="shared" si="7"/>
        <v>5100.17</v>
      </c>
      <c r="G42" s="170" t="s">
        <v>300</v>
      </c>
      <c r="H42" s="168">
        <v>8100</v>
      </c>
      <c r="I42" s="168">
        <v>8100</v>
      </c>
      <c r="J42" s="168"/>
      <c r="K42" s="168"/>
      <c r="L42" s="168"/>
      <c r="M42" s="194">
        <v>3711.78</v>
      </c>
      <c r="N42" s="168">
        <v>3711.78</v>
      </c>
      <c r="O42" s="168">
        <f t="shared" si="1"/>
        <v>-4388.2199999999993</v>
      </c>
      <c r="Q42" s="169">
        <v>3605</v>
      </c>
      <c r="R42" s="169">
        <v>3605</v>
      </c>
      <c r="S42" s="169"/>
      <c r="T42" s="169"/>
      <c r="U42" s="169"/>
      <c r="V42" s="169">
        <v>3844.88</v>
      </c>
      <c r="W42" s="169">
        <v>3844.88</v>
      </c>
      <c r="X42" s="169">
        <f t="shared" si="2"/>
        <v>239.88000000000011</v>
      </c>
      <c r="Z42" s="202">
        <v>3885</v>
      </c>
      <c r="AA42" s="202">
        <v>3885</v>
      </c>
      <c r="AB42" s="202"/>
      <c r="AC42" s="202"/>
      <c r="AD42" s="202"/>
      <c r="AE42" s="207">
        <v>7227.71</v>
      </c>
      <c r="AF42" s="202">
        <v>7227.71</v>
      </c>
      <c r="AG42" s="202">
        <f t="shared" si="3"/>
        <v>3342.71</v>
      </c>
      <c r="AI42" s="200">
        <v>3885</v>
      </c>
      <c r="AJ42" s="200">
        <v>3885</v>
      </c>
      <c r="AK42" s="200">
        <f t="shared" si="6"/>
        <v>3885</v>
      </c>
      <c r="AL42" s="200">
        <f>IFERROR(VLOOKUP(B42,[2]rptBudgetaryBudgetCrossOrganiza!$A$5236:$O$5854,13,FALSE),"0")</f>
        <v>3043.29</v>
      </c>
      <c r="AM42" s="200"/>
      <c r="AN42" s="200"/>
      <c r="AO42" s="200"/>
      <c r="AP42" s="200"/>
      <c r="AQ42" s="200">
        <f t="shared" si="4"/>
        <v>-3885</v>
      </c>
      <c r="AS42" s="169"/>
      <c r="AT42" s="169"/>
      <c r="AU42" s="169"/>
      <c r="AV42" s="169"/>
      <c r="AW42" s="169"/>
      <c r="AX42" s="169"/>
      <c r="AY42" s="169"/>
      <c r="AZ42" s="169">
        <f t="shared" si="5"/>
        <v>0</v>
      </c>
    </row>
    <row r="43" spans="1:52" hidden="1" x14ac:dyDescent="0.2">
      <c r="A43" s="220">
        <v>5</v>
      </c>
      <c r="B43" s="170" t="s">
        <v>301</v>
      </c>
      <c r="C43" s="221">
        <v>20</v>
      </c>
      <c r="D43" s="221">
        <v>25</v>
      </c>
      <c r="E43" s="214">
        <v>330</v>
      </c>
      <c r="F43" s="170" t="str">
        <f t="shared" si="7"/>
        <v>6000.09</v>
      </c>
      <c r="G43" s="170" t="s">
        <v>196</v>
      </c>
      <c r="H43" s="168">
        <v>300</v>
      </c>
      <c r="I43" s="168">
        <v>300</v>
      </c>
      <c r="J43" s="168"/>
      <c r="K43" s="168"/>
      <c r="L43" s="168"/>
      <c r="M43" s="194">
        <v>0</v>
      </c>
      <c r="N43" s="168">
        <v>0</v>
      </c>
      <c r="O43" s="168">
        <f t="shared" si="1"/>
        <v>-300</v>
      </c>
      <c r="Q43" s="169">
        <v>0</v>
      </c>
      <c r="R43" s="169">
        <v>0</v>
      </c>
      <c r="S43" s="169"/>
      <c r="T43" s="169"/>
      <c r="U43" s="169"/>
      <c r="V43" s="169">
        <v>0</v>
      </c>
      <c r="W43" s="169">
        <v>0</v>
      </c>
      <c r="X43" s="169">
        <f t="shared" si="2"/>
        <v>0</v>
      </c>
      <c r="Z43" s="202">
        <v>0</v>
      </c>
      <c r="AA43" s="202">
        <v>0</v>
      </c>
      <c r="AB43" s="202"/>
      <c r="AC43" s="202"/>
      <c r="AD43" s="202"/>
      <c r="AE43" s="207">
        <v>0</v>
      </c>
      <c r="AF43" s="202">
        <v>0</v>
      </c>
      <c r="AG43" s="202">
        <f t="shared" si="3"/>
        <v>0</v>
      </c>
      <c r="AI43" s="200">
        <v>0</v>
      </c>
      <c r="AJ43" s="200">
        <v>0</v>
      </c>
      <c r="AK43" s="200">
        <f t="shared" si="6"/>
        <v>0</v>
      </c>
      <c r="AL43" s="200">
        <f>IFERROR(VLOOKUP(B43,[2]rptBudgetaryBudgetCrossOrganiza!$A$5236:$O$5854,13,FALSE),"0")</f>
        <v>0</v>
      </c>
      <c r="AM43" s="200"/>
      <c r="AN43" s="200"/>
      <c r="AO43" s="200"/>
      <c r="AP43" s="200"/>
      <c r="AQ43" s="200">
        <f t="shared" si="4"/>
        <v>0</v>
      </c>
      <c r="AS43" s="169"/>
      <c r="AT43" s="169"/>
      <c r="AU43" s="169"/>
      <c r="AV43" s="169"/>
      <c r="AW43" s="169"/>
      <c r="AX43" s="169"/>
      <c r="AY43" s="169"/>
      <c r="AZ43" s="169">
        <f t="shared" si="5"/>
        <v>0</v>
      </c>
    </row>
    <row r="44" spans="1:52" hidden="1" x14ac:dyDescent="0.2">
      <c r="A44" s="220">
        <v>6</v>
      </c>
      <c r="B44" s="170" t="s">
        <v>302</v>
      </c>
      <c r="C44" s="221">
        <v>20</v>
      </c>
      <c r="D44" s="221">
        <v>25</v>
      </c>
      <c r="E44" s="214">
        <v>330</v>
      </c>
      <c r="F44" s="170" t="str">
        <f t="shared" si="7"/>
        <v>6200.10</v>
      </c>
      <c r="G44" s="170" t="s">
        <v>304</v>
      </c>
      <c r="H44" s="168">
        <v>250</v>
      </c>
      <c r="I44" s="168">
        <v>250</v>
      </c>
      <c r="J44" s="168"/>
      <c r="K44" s="168"/>
      <c r="L44" s="168"/>
      <c r="M44" s="194">
        <v>0</v>
      </c>
      <c r="N44" s="168">
        <v>0</v>
      </c>
      <c r="O44" s="168">
        <f t="shared" si="1"/>
        <v>-250</v>
      </c>
      <c r="Q44" s="169">
        <v>0</v>
      </c>
      <c r="R44" s="169">
        <v>0</v>
      </c>
      <c r="S44" s="169"/>
      <c r="T44" s="169"/>
      <c r="U44" s="169"/>
      <c r="V44" s="169">
        <v>0</v>
      </c>
      <c r="W44" s="169">
        <v>0</v>
      </c>
      <c r="X44" s="169">
        <f t="shared" si="2"/>
        <v>0</v>
      </c>
      <c r="Z44" s="202">
        <v>0</v>
      </c>
      <c r="AA44" s="202">
        <v>0</v>
      </c>
      <c r="AB44" s="202"/>
      <c r="AC44" s="202"/>
      <c r="AD44" s="202"/>
      <c r="AE44" s="207">
        <v>0</v>
      </c>
      <c r="AF44" s="202">
        <v>0</v>
      </c>
      <c r="AG44" s="202">
        <f t="shared" si="3"/>
        <v>0</v>
      </c>
      <c r="AI44" s="200">
        <v>0</v>
      </c>
      <c r="AJ44" s="200">
        <v>0</v>
      </c>
      <c r="AK44" s="200">
        <f t="shared" si="6"/>
        <v>0</v>
      </c>
      <c r="AL44" s="200">
        <f>IFERROR(VLOOKUP(B44,[2]rptBudgetaryBudgetCrossOrganiza!$A$5236:$O$5854,13,FALSE),"0")</f>
        <v>0</v>
      </c>
      <c r="AM44" s="200"/>
      <c r="AN44" s="200"/>
      <c r="AO44" s="200"/>
      <c r="AP44" s="200"/>
      <c r="AQ44" s="200">
        <f t="shared" si="4"/>
        <v>0</v>
      </c>
      <c r="AS44" s="169"/>
      <c r="AT44" s="169"/>
      <c r="AU44" s="169"/>
      <c r="AV44" s="169"/>
      <c r="AW44" s="169"/>
      <c r="AX44" s="169"/>
      <c r="AY44" s="169"/>
      <c r="AZ44" s="169">
        <f t="shared" si="5"/>
        <v>0</v>
      </c>
    </row>
    <row r="45" spans="1:52" hidden="1" x14ac:dyDescent="0.2">
      <c r="A45" s="220">
        <v>6</v>
      </c>
      <c r="B45" s="170" t="s">
        <v>303</v>
      </c>
      <c r="C45" s="221">
        <v>20</v>
      </c>
      <c r="D45" s="221">
        <v>25</v>
      </c>
      <c r="E45" s="214">
        <v>330</v>
      </c>
      <c r="F45" s="170" t="str">
        <f t="shared" si="7"/>
        <v>6600.07</v>
      </c>
      <c r="G45" s="170" t="s">
        <v>208</v>
      </c>
      <c r="H45" s="168">
        <v>0</v>
      </c>
      <c r="I45" s="168">
        <v>0</v>
      </c>
      <c r="J45" s="168"/>
      <c r="K45" s="168"/>
      <c r="L45" s="168"/>
      <c r="M45" s="194">
        <v>0</v>
      </c>
      <c r="N45" s="168">
        <v>0</v>
      </c>
      <c r="O45" s="168">
        <f t="shared" si="1"/>
        <v>0</v>
      </c>
      <c r="Q45" s="169">
        <v>0</v>
      </c>
      <c r="R45" s="169">
        <v>0</v>
      </c>
      <c r="S45" s="169"/>
      <c r="T45" s="169"/>
      <c r="U45" s="169"/>
      <c r="V45" s="169">
        <v>0</v>
      </c>
      <c r="W45" s="169">
        <v>0</v>
      </c>
      <c r="X45" s="169">
        <f t="shared" si="2"/>
        <v>0</v>
      </c>
      <c r="Z45" s="202">
        <v>0</v>
      </c>
      <c r="AA45" s="202">
        <v>0</v>
      </c>
      <c r="AB45" s="202"/>
      <c r="AC45" s="202"/>
      <c r="AD45" s="202"/>
      <c r="AE45" s="207">
        <v>0</v>
      </c>
      <c r="AF45" s="202">
        <v>0</v>
      </c>
      <c r="AG45" s="202">
        <f t="shared" si="3"/>
        <v>0</v>
      </c>
      <c r="AI45" s="200">
        <v>0</v>
      </c>
      <c r="AJ45" s="200">
        <v>0</v>
      </c>
      <c r="AK45" s="200">
        <f t="shared" si="6"/>
        <v>0</v>
      </c>
      <c r="AL45" s="200">
        <f>IFERROR(VLOOKUP(B45,[2]rptBudgetaryBudgetCrossOrganiza!$A$5236:$O$5854,13,FALSE),"0")</f>
        <v>0</v>
      </c>
      <c r="AM45" s="200"/>
      <c r="AN45" s="200"/>
      <c r="AO45" s="200"/>
      <c r="AP45" s="200"/>
      <c r="AQ45" s="200">
        <f t="shared" si="4"/>
        <v>0</v>
      </c>
      <c r="AS45" s="169"/>
      <c r="AT45" s="169"/>
      <c r="AU45" s="169"/>
      <c r="AV45" s="169"/>
      <c r="AW45" s="169"/>
      <c r="AX45" s="169"/>
      <c r="AY45" s="169"/>
      <c r="AZ45" s="169">
        <f t="shared" si="5"/>
        <v>0</v>
      </c>
    </row>
    <row r="46" spans="1:52" hidden="1" x14ac:dyDescent="0.2">
      <c r="A46" s="220">
        <v>4</v>
      </c>
      <c r="B46" s="170" t="s">
        <v>305</v>
      </c>
      <c r="C46" s="221">
        <v>40</v>
      </c>
      <c r="D46" s="221">
        <v>60</v>
      </c>
      <c r="E46" s="214">
        <v>520</v>
      </c>
      <c r="F46" s="170" t="str">
        <f t="shared" si="7"/>
        <v>5100.00</v>
      </c>
      <c r="G46" s="170" t="s">
        <v>178</v>
      </c>
      <c r="H46" s="168">
        <v>0</v>
      </c>
      <c r="I46" s="168">
        <v>0</v>
      </c>
      <c r="J46" s="168"/>
      <c r="K46" s="168"/>
      <c r="L46" s="168"/>
      <c r="M46" s="194">
        <v>0</v>
      </c>
      <c r="N46" s="168">
        <v>0</v>
      </c>
      <c r="O46" s="168">
        <f t="shared" si="1"/>
        <v>0</v>
      </c>
      <c r="Q46" s="169">
        <v>0</v>
      </c>
      <c r="R46" s="169">
        <v>0</v>
      </c>
      <c r="S46" s="169"/>
      <c r="T46" s="169"/>
      <c r="U46" s="169"/>
      <c r="V46" s="169">
        <v>0</v>
      </c>
      <c r="W46" s="169">
        <v>0</v>
      </c>
      <c r="X46" s="169">
        <f t="shared" si="2"/>
        <v>0</v>
      </c>
      <c r="Z46" s="202">
        <v>0</v>
      </c>
      <c r="AA46" s="202">
        <v>0</v>
      </c>
      <c r="AB46" s="202"/>
      <c r="AC46" s="202"/>
      <c r="AD46" s="202"/>
      <c r="AE46" s="207">
        <v>0</v>
      </c>
      <c r="AF46" s="202">
        <v>0</v>
      </c>
      <c r="AG46" s="202">
        <f t="shared" si="3"/>
        <v>0</v>
      </c>
      <c r="AI46" s="200">
        <v>0</v>
      </c>
      <c r="AJ46" s="200">
        <v>0</v>
      </c>
      <c r="AK46" s="200">
        <f t="shared" si="6"/>
        <v>0</v>
      </c>
      <c r="AL46" s="200">
        <f>IFERROR(VLOOKUP(B46,[2]rptBudgetaryBudgetCrossOrganiza!$A$5236:$O$5854,13,FALSE),"0")</f>
        <v>0</v>
      </c>
      <c r="AM46" s="200"/>
      <c r="AN46" s="200"/>
      <c r="AO46" s="200"/>
      <c r="AP46" s="200"/>
      <c r="AQ46" s="200">
        <f t="shared" si="4"/>
        <v>0</v>
      </c>
      <c r="AS46" s="169"/>
      <c r="AT46" s="169"/>
      <c r="AU46" s="169"/>
      <c r="AV46" s="169"/>
      <c r="AW46" s="169"/>
      <c r="AX46" s="169"/>
      <c r="AY46" s="169"/>
      <c r="AZ46" s="169">
        <f t="shared" si="5"/>
        <v>0</v>
      </c>
    </row>
    <row r="47" spans="1:52" hidden="1" x14ac:dyDescent="0.2">
      <c r="A47" s="220">
        <v>9</v>
      </c>
      <c r="B47" s="170" t="s">
        <v>306</v>
      </c>
      <c r="C47" s="221">
        <v>40</v>
      </c>
      <c r="D47" s="221">
        <v>60</v>
      </c>
      <c r="E47" s="214">
        <v>520</v>
      </c>
      <c r="F47" s="170" t="str">
        <f t="shared" si="7"/>
        <v>6400.05</v>
      </c>
      <c r="G47" s="170" t="s">
        <v>205</v>
      </c>
      <c r="H47" s="168">
        <v>20000</v>
      </c>
      <c r="I47" s="168">
        <v>20000</v>
      </c>
      <c r="J47" s="168"/>
      <c r="K47" s="168"/>
      <c r="L47" s="168"/>
      <c r="M47" s="194">
        <v>18626.07</v>
      </c>
      <c r="N47" s="168">
        <v>18626.07</v>
      </c>
      <c r="O47" s="168">
        <f t="shared" si="1"/>
        <v>-1373.9300000000003</v>
      </c>
      <c r="Q47" s="169">
        <v>20000</v>
      </c>
      <c r="R47" s="169">
        <v>26000</v>
      </c>
      <c r="S47" s="169"/>
      <c r="T47" s="169"/>
      <c r="U47" s="169"/>
      <c r="V47" s="169">
        <v>21559.46</v>
      </c>
      <c r="W47" s="169">
        <v>21559.46</v>
      </c>
      <c r="X47" s="169">
        <f t="shared" si="2"/>
        <v>-4440.5400000000009</v>
      </c>
      <c r="Z47" s="202">
        <v>20000</v>
      </c>
      <c r="AA47" s="202">
        <v>20000</v>
      </c>
      <c r="AB47" s="202"/>
      <c r="AC47" s="202"/>
      <c r="AD47" s="202"/>
      <c r="AE47" s="207">
        <v>9597.8700000000008</v>
      </c>
      <c r="AF47" s="202">
        <v>9597.8700000000008</v>
      </c>
      <c r="AG47" s="202">
        <f t="shared" si="3"/>
        <v>-10402.129999999999</v>
      </c>
      <c r="AI47" s="200">
        <v>20000</v>
      </c>
      <c r="AJ47" s="200">
        <v>20000</v>
      </c>
      <c r="AK47" s="200">
        <v>20000</v>
      </c>
      <c r="AL47" s="200">
        <f>IFERROR(VLOOKUP(B47,[2]rptBudgetaryBudgetCrossOrganiza!$A$5236:$O$5854,13,FALSE),"0")</f>
        <v>3506.35</v>
      </c>
      <c r="AM47" s="200"/>
      <c r="AN47" s="200"/>
      <c r="AO47" s="200"/>
      <c r="AP47" s="200"/>
      <c r="AQ47" s="200">
        <f t="shared" si="4"/>
        <v>-20000</v>
      </c>
      <c r="AS47" s="169"/>
      <c r="AT47" s="169"/>
      <c r="AU47" s="169"/>
      <c r="AV47" s="169"/>
      <c r="AW47" s="169"/>
      <c r="AX47" s="169"/>
      <c r="AY47" s="169"/>
      <c r="AZ47" s="169">
        <f t="shared" si="5"/>
        <v>0</v>
      </c>
    </row>
    <row r="48" spans="1:52" hidden="1" x14ac:dyDescent="0.2">
      <c r="A48" s="220">
        <v>7</v>
      </c>
      <c r="B48" s="170" t="s">
        <v>307</v>
      </c>
      <c r="C48" s="221">
        <v>40</v>
      </c>
      <c r="D48" s="221">
        <v>60</v>
      </c>
      <c r="E48" s="214">
        <v>520</v>
      </c>
      <c r="F48" s="170" t="str">
        <f t="shared" si="7"/>
        <v>7000.03</v>
      </c>
      <c r="G48" s="170" t="s">
        <v>163</v>
      </c>
      <c r="H48" s="168">
        <v>0</v>
      </c>
      <c r="I48" s="168">
        <v>0</v>
      </c>
      <c r="J48" s="168"/>
      <c r="K48" s="168"/>
      <c r="L48" s="168"/>
      <c r="M48" s="194">
        <v>0</v>
      </c>
      <c r="N48" s="168">
        <v>0</v>
      </c>
      <c r="O48" s="168">
        <f t="shared" si="1"/>
        <v>0</v>
      </c>
      <c r="Q48" s="169">
        <v>0</v>
      </c>
      <c r="R48" s="169">
        <v>1475</v>
      </c>
      <c r="S48" s="169"/>
      <c r="T48" s="169"/>
      <c r="U48" s="169"/>
      <c r="V48" s="169">
        <v>1002.58</v>
      </c>
      <c r="W48" s="169">
        <v>1002.58</v>
      </c>
      <c r="X48" s="169">
        <f t="shared" si="2"/>
        <v>-472.41999999999996</v>
      </c>
      <c r="Z48" s="202">
        <v>0</v>
      </c>
      <c r="AA48" s="202">
        <v>0</v>
      </c>
      <c r="AB48" s="202"/>
      <c r="AC48" s="202"/>
      <c r="AD48" s="202"/>
      <c r="AE48" s="207">
        <v>0</v>
      </c>
      <c r="AF48" s="202">
        <v>0</v>
      </c>
      <c r="AG48" s="202">
        <f t="shared" si="3"/>
        <v>0</v>
      </c>
      <c r="AI48" s="200">
        <v>756</v>
      </c>
      <c r="AJ48" s="200">
        <v>756</v>
      </c>
      <c r="AK48" s="200">
        <v>756</v>
      </c>
      <c r="AL48" s="200">
        <f>IFERROR(VLOOKUP(B48,[2]rptBudgetaryBudgetCrossOrganiza!$A$5236:$O$5854,13,FALSE),"0")</f>
        <v>0</v>
      </c>
      <c r="AM48" s="200"/>
      <c r="AN48" s="200"/>
      <c r="AO48" s="200"/>
      <c r="AP48" s="200"/>
      <c r="AQ48" s="200">
        <f t="shared" si="4"/>
        <v>-756</v>
      </c>
      <c r="AS48" s="169"/>
      <c r="AT48" s="169"/>
      <c r="AU48" s="169"/>
      <c r="AV48" s="169"/>
      <c r="AW48" s="169"/>
      <c r="AX48" s="169"/>
      <c r="AY48" s="169"/>
      <c r="AZ48" s="169">
        <f t="shared" si="5"/>
        <v>0</v>
      </c>
    </row>
    <row r="49" spans="1:52" hidden="1" x14ac:dyDescent="0.2">
      <c r="A49" s="220">
        <v>4</v>
      </c>
      <c r="B49" s="170" t="s">
        <v>308</v>
      </c>
      <c r="C49" s="221">
        <v>40</v>
      </c>
      <c r="D49" s="221">
        <v>60</v>
      </c>
      <c r="E49" s="214">
        <v>530</v>
      </c>
      <c r="F49" s="170" t="str">
        <f t="shared" si="7"/>
        <v>5100.00</v>
      </c>
      <c r="G49" s="170" t="s">
        <v>178</v>
      </c>
      <c r="H49" s="168">
        <v>0</v>
      </c>
      <c r="I49" s="168">
        <v>0</v>
      </c>
      <c r="J49" s="168"/>
      <c r="K49" s="168"/>
      <c r="L49" s="168"/>
      <c r="M49" s="194">
        <v>0</v>
      </c>
      <c r="N49" s="168">
        <v>0</v>
      </c>
      <c r="O49" s="168">
        <f t="shared" si="1"/>
        <v>0</v>
      </c>
      <c r="Q49" s="169">
        <v>0</v>
      </c>
      <c r="R49" s="169">
        <v>0</v>
      </c>
      <c r="S49" s="169"/>
      <c r="T49" s="169"/>
      <c r="U49" s="169"/>
      <c r="V49" s="169">
        <v>0</v>
      </c>
      <c r="W49" s="169" t="s">
        <v>498</v>
      </c>
      <c r="X49" s="169">
        <f t="shared" si="2"/>
        <v>0</v>
      </c>
      <c r="Z49" s="202">
        <v>0</v>
      </c>
      <c r="AA49" s="202">
        <v>0</v>
      </c>
      <c r="AB49" s="202"/>
      <c r="AC49" s="202"/>
      <c r="AD49" s="202"/>
      <c r="AE49" s="207">
        <v>0</v>
      </c>
      <c r="AF49" s="202">
        <v>0</v>
      </c>
      <c r="AG49" s="202">
        <f t="shared" si="3"/>
        <v>0</v>
      </c>
      <c r="AI49" s="200">
        <v>0</v>
      </c>
      <c r="AJ49" s="200">
        <v>0</v>
      </c>
      <c r="AK49" s="200"/>
      <c r="AL49" s="200">
        <f>IFERROR(VLOOKUP(B49,[2]rptBudgetaryBudgetCrossOrganiza!$A$5236:$O$5854,13,FALSE),"0")</f>
        <v>0</v>
      </c>
      <c r="AM49" s="200"/>
      <c r="AN49" s="200"/>
      <c r="AO49" s="200"/>
      <c r="AP49" s="200"/>
      <c r="AQ49" s="200">
        <f t="shared" si="4"/>
        <v>0</v>
      </c>
      <c r="AS49" s="169"/>
      <c r="AT49" s="169"/>
      <c r="AU49" s="169"/>
      <c r="AV49" s="169"/>
      <c r="AW49" s="169"/>
      <c r="AX49" s="169"/>
      <c r="AY49" s="169"/>
      <c r="AZ49" s="169">
        <f t="shared" si="5"/>
        <v>0</v>
      </c>
    </row>
    <row r="50" spans="1:52" hidden="1" x14ac:dyDescent="0.2">
      <c r="A50" s="220">
        <v>9</v>
      </c>
      <c r="B50" s="170" t="s">
        <v>309</v>
      </c>
      <c r="C50" s="221">
        <v>40</v>
      </c>
      <c r="D50" s="221">
        <v>60</v>
      </c>
      <c r="E50" s="214">
        <v>530</v>
      </c>
      <c r="F50" s="170" t="str">
        <f t="shared" si="7"/>
        <v>6400.05</v>
      </c>
      <c r="G50" s="170" t="s">
        <v>205</v>
      </c>
      <c r="H50" s="168">
        <v>9000</v>
      </c>
      <c r="I50" s="168">
        <v>9000</v>
      </c>
      <c r="J50" s="168"/>
      <c r="K50" s="168"/>
      <c r="L50" s="168"/>
      <c r="M50" s="194">
        <v>9543.51</v>
      </c>
      <c r="N50" s="168">
        <v>9543.51</v>
      </c>
      <c r="O50" s="168">
        <f t="shared" si="1"/>
        <v>543.51000000000022</v>
      </c>
      <c r="Q50" s="169">
        <v>9000</v>
      </c>
      <c r="R50" s="169">
        <v>9000</v>
      </c>
      <c r="S50" s="169"/>
      <c r="T50" s="169"/>
      <c r="U50" s="169"/>
      <c r="V50" s="169">
        <v>4046.6</v>
      </c>
      <c r="W50" s="169">
        <v>4046.6</v>
      </c>
      <c r="X50" s="169">
        <f t="shared" si="2"/>
        <v>-4953.3999999999996</v>
      </c>
      <c r="Z50" s="202">
        <v>9000</v>
      </c>
      <c r="AA50" s="202">
        <v>9000</v>
      </c>
      <c r="AB50" s="202"/>
      <c r="AC50" s="202"/>
      <c r="AD50" s="202"/>
      <c r="AE50" s="207">
        <v>6606.17</v>
      </c>
      <c r="AF50" s="202">
        <v>6606.17</v>
      </c>
      <c r="AG50" s="202">
        <f t="shared" si="3"/>
        <v>-2393.83</v>
      </c>
      <c r="AI50" s="200">
        <v>9000</v>
      </c>
      <c r="AJ50" s="200">
        <v>9000</v>
      </c>
      <c r="AK50" s="200">
        <v>9000</v>
      </c>
      <c r="AL50" s="200">
        <f>IFERROR(VLOOKUP(B50,[2]rptBudgetaryBudgetCrossOrganiza!$A$5236:$O$5854,13,FALSE),"0")</f>
        <v>370.91</v>
      </c>
      <c r="AM50" s="200"/>
      <c r="AN50" s="200"/>
      <c r="AO50" s="200"/>
      <c r="AP50" s="200"/>
      <c r="AQ50" s="200">
        <f t="shared" si="4"/>
        <v>-9000</v>
      </c>
      <c r="AS50" s="169"/>
      <c r="AT50" s="169"/>
      <c r="AU50" s="169"/>
      <c r="AV50" s="169"/>
      <c r="AW50" s="169"/>
      <c r="AX50" s="169"/>
      <c r="AY50" s="169"/>
      <c r="AZ50" s="169">
        <f t="shared" si="5"/>
        <v>0</v>
      </c>
    </row>
    <row r="51" spans="1:52" hidden="1" x14ac:dyDescent="0.2">
      <c r="A51" s="220">
        <v>4</v>
      </c>
      <c r="B51" s="170" t="s">
        <v>310</v>
      </c>
      <c r="C51" s="221">
        <v>40</v>
      </c>
      <c r="D51" s="221">
        <v>70</v>
      </c>
      <c r="E51" s="221" t="s">
        <v>488</v>
      </c>
      <c r="F51" s="170" t="str">
        <f t="shared" si="7"/>
        <v>5000.99</v>
      </c>
      <c r="G51" s="170" t="s">
        <v>177</v>
      </c>
      <c r="H51" s="168">
        <v>0</v>
      </c>
      <c r="I51" s="168">
        <v>0</v>
      </c>
      <c r="J51" s="168"/>
      <c r="K51" s="168"/>
      <c r="L51" s="168"/>
      <c r="M51" s="194">
        <v>0</v>
      </c>
      <c r="N51" s="168">
        <v>0</v>
      </c>
      <c r="O51" s="168">
        <f t="shared" si="1"/>
        <v>0</v>
      </c>
      <c r="Q51" s="169">
        <v>0</v>
      </c>
      <c r="R51" s="169">
        <v>0</v>
      </c>
      <c r="S51" s="169"/>
      <c r="T51" s="169"/>
      <c r="U51" s="169"/>
      <c r="V51" s="169">
        <v>0</v>
      </c>
      <c r="W51" s="169">
        <v>0</v>
      </c>
      <c r="X51" s="169">
        <f t="shared" si="2"/>
        <v>0</v>
      </c>
      <c r="Z51" s="202">
        <v>0</v>
      </c>
      <c r="AA51" s="202">
        <v>0</v>
      </c>
      <c r="AB51" s="202"/>
      <c r="AC51" s="202"/>
      <c r="AD51" s="202"/>
      <c r="AE51" s="207">
        <v>0</v>
      </c>
      <c r="AF51" s="202">
        <v>0</v>
      </c>
      <c r="AG51" s="202">
        <f t="shared" si="3"/>
        <v>0</v>
      </c>
      <c r="AI51" s="200">
        <v>0</v>
      </c>
      <c r="AJ51" s="200">
        <v>0</v>
      </c>
      <c r="AK51" s="200"/>
      <c r="AL51" s="200">
        <f>IFERROR(VLOOKUP(B51,[2]rptBudgetaryBudgetCrossOrganiza!$A$5236:$O$5854,13,FALSE),"0")</f>
        <v>0</v>
      </c>
      <c r="AM51" s="200"/>
      <c r="AN51" s="200"/>
      <c r="AO51" s="200"/>
      <c r="AP51" s="200"/>
      <c r="AQ51" s="200">
        <f t="shared" si="4"/>
        <v>0</v>
      </c>
      <c r="AS51" s="169"/>
      <c r="AT51" s="169"/>
      <c r="AU51" s="169"/>
      <c r="AV51" s="169"/>
      <c r="AW51" s="169"/>
      <c r="AX51" s="169"/>
      <c r="AY51" s="169"/>
      <c r="AZ51" s="169">
        <f t="shared" si="5"/>
        <v>0</v>
      </c>
    </row>
    <row r="52" spans="1:52" hidden="1" x14ac:dyDescent="0.2">
      <c r="A52" s="220">
        <v>4</v>
      </c>
      <c r="B52" s="170" t="s">
        <v>311</v>
      </c>
      <c r="C52" s="221">
        <v>40</v>
      </c>
      <c r="D52" s="221">
        <v>70</v>
      </c>
      <c r="E52" s="221" t="s">
        <v>488</v>
      </c>
      <c r="F52" s="170" t="str">
        <f t="shared" si="7"/>
        <v>5100.00</v>
      </c>
      <c r="G52" s="170" t="s">
        <v>178</v>
      </c>
      <c r="H52" s="168">
        <v>0</v>
      </c>
      <c r="I52" s="168">
        <v>0</v>
      </c>
      <c r="J52" s="168"/>
      <c r="K52" s="168"/>
      <c r="L52" s="168"/>
      <c r="M52" s="194">
        <v>0</v>
      </c>
      <c r="N52" s="168">
        <v>0</v>
      </c>
      <c r="O52" s="168">
        <f t="shared" si="1"/>
        <v>0</v>
      </c>
      <c r="Q52" s="169">
        <v>0</v>
      </c>
      <c r="R52" s="169">
        <v>0</v>
      </c>
      <c r="S52" s="169"/>
      <c r="T52" s="169"/>
      <c r="U52" s="169"/>
      <c r="V52" s="169">
        <v>0</v>
      </c>
      <c r="W52" s="169">
        <v>0</v>
      </c>
      <c r="X52" s="169">
        <f t="shared" si="2"/>
        <v>0</v>
      </c>
      <c r="Z52" s="202">
        <v>0</v>
      </c>
      <c r="AA52" s="202">
        <v>0</v>
      </c>
      <c r="AB52" s="202"/>
      <c r="AC52" s="202"/>
      <c r="AD52" s="202"/>
      <c r="AE52" s="207">
        <v>0</v>
      </c>
      <c r="AF52" s="202">
        <v>0</v>
      </c>
      <c r="AG52" s="202">
        <f t="shared" si="3"/>
        <v>0</v>
      </c>
      <c r="AI52" s="200">
        <v>0</v>
      </c>
      <c r="AJ52" s="200">
        <v>0</v>
      </c>
      <c r="AK52" s="200"/>
      <c r="AL52" s="200">
        <f>IFERROR(VLOOKUP(B52,[2]rptBudgetaryBudgetCrossOrganiza!$A$5236:$O$5854,13,FALSE),"0")</f>
        <v>0</v>
      </c>
      <c r="AM52" s="200"/>
      <c r="AN52" s="200"/>
      <c r="AO52" s="200"/>
      <c r="AP52" s="200"/>
      <c r="AQ52" s="200">
        <f t="shared" si="4"/>
        <v>0</v>
      </c>
      <c r="AS52" s="169"/>
      <c r="AT52" s="169"/>
      <c r="AU52" s="169"/>
      <c r="AV52" s="169"/>
      <c r="AW52" s="169"/>
      <c r="AX52" s="169"/>
      <c r="AY52" s="169"/>
      <c r="AZ52" s="169">
        <f t="shared" si="5"/>
        <v>0</v>
      </c>
    </row>
    <row r="53" spans="1:52" hidden="1" x14ac:dyDescent="0.2">
      <c r="A53" s="220">
        <v>4</v>
      </c>
      <c r="B53" s="170" t="s">
        <v>312</v>
      </c>
      <c r="C53" s="221">
        <v>40</v>
      </c>
      <c r="D53" s="221">
        <v>70</v>
      </c>
      <c r="E53" s="221" t="s">
        <v>488</v>
      </c>
      <c r="F53" s="170" t="str">
        <f t="shared" si="7"/>
        <v>6500.04</v>
      </c>
      <c r="G53" s="170" t="s">
        <v>206</v>
      </c>
      <c r="H53" s="168">
        <v>0</v>
      </c>
      <c r="I53" s="168">
        <v>0</v>
      </c>
      <c r="J53" s="168"/>
      <c r="K53" s="168"/>
      <c r="L53" s="168"/>
      <c r="M53" s="194">
        <v>0</v>
      </c>
      <c r="N53" s="168">
        <v>0</v>
      </c>
      <c r="O53" s="168">
        <f t="shared" si="1"/>
        <v>0</v>
      </c>
      <c r="Q53" s="169">
        <v>0</v>
      </c>
      <c r="R53" s="169">
        <v>0</v>
      </c>
      <c r="S53" s="169"/>
      <c r="T53" s="169"/>
      <c r="U53" s="169"/>
      <c r="V53" s="169">
        <v>0</v>
      </c>
      <c r="W53" s="169">
        <v>0</v>
      </c>
      <c r="X53" s="169">
        <f t="shared" si="2"/>
        <v>0</v>
      </c>
      <c r="Z53" s="202">
        <v>0</v>
      </c>
      <c r="AA53" s="202">
        <v>0</v>
      </c>
      <c r="AB53" s="202"/>
      <c r="AC53" s="202"/>
      <c r="AD53" s="202"/>
      <c r="AE53" s="207">
        <v>0</v>
      </c>
      <c r="AF53" s="202">
        <v>0</v>
      </c>
      <c r="AG53" s="202">
        <f t="shared" si="3"/>
        <v>0</v>
      </c>
      <c r="AI53" s="200">
        <v>0</v>
      </c>
      <c r="AJ53" s="200">
        <v>0</v>
      </c>
      <c r="AK53" s="200"/>
      <c r="AL53" s="200">
        <f>IFERROR(VLOOKUP(B53,[2]rptBudgetaryBudgetCrossOrganiza!$A$5236:$O$5854,13,FALSE),"0")</f>
        <v>0</v>
      </c>
      <c r="AM53" s="200"/>
      <c r="AN53" s="200"/>
      <c r="AO53" s="200"/>
      <c r="AP53" s="200"/>
      <c r="AQ53" s="200">
        <f t="shared" si="4"/>
        <v>0</v>
      </c>
      <c r="AS53" s="169"/>
      <c r="AT53" s="169"/>
      <c r="AU53" s="169"/>
      <c r="AV53" s="169"/>
      <c r="AW53" s="169"/>
      <c r="AX53" s="169"/>
      <c r="AY53" s="169"/>
      <c r="AZ53" s="169">
        <f t="shared" si="5"/>
        <v>0</v>
      </c>
    </row>
    <row r="54" spans="1:52" hidden="1" x14ac:dyDescent="0.2">
      <c r="A54" s="220">
        <v>4</v>
      </c>
      <c r="B54" s="170" t="s">
        <v>313</v>
      </c>
      <c r="C54" s="221">
        <v>40</v>
      </c>
      <c r="D54" s="221">
        <v>70</v>
      </c>
      <c r="E54" s="214">
        <v>570</v>
      </c>
      <c r="F54" s="170" t="str">
        <f t="shared" si="7"/>
        <v>5000.01</v>
      </c>
      <c r="G54" s="170" t="s">
        <v>165</v>
      </c>
      <c r="H54" s="168">
        <v>353010</v>
      </c>
      <c r="I54" s="168">
        <v>384327</v>
      </c>
      <c r="J54" s="168"/>
      <c r="K54" s="168"/>
      <c r="L54" s="168"/>
      <c r="M54" s="194">
        <v>339115.59</v>
      </c>
      <c r="N54" s="168">
        <v>339115.59</v>
      </c>
      <c r="O54" s="168">
        <f t="shared" si="1"/>
        <v>-45211.409999999974</v>
      </c>
      <c r="Q54" s="169">
        <v>474720</v>
      </c>
      <c r="R54" s="169">
        <v>474720</v>
      </c>
      <c r="S54" s="169"/>
      <c r="T54" s="169"/>
      <c r="U54" s="169"/>
      <c r="V54" s="169">
        <v>380360.59</v>
      </c>
      <c r="W54" s="169">
        <v>380360.59</v>
      </c>
      <c r="X54" s="169">
        <f t="shared" si="2"/>
        <v>-94359.409999999974</v>
      </c>
      <c r="Z54" s="202">
        <v>511910</v>
      </c>
      <c r="AA54" s="202">
        <v>529195</v>
      </c>
      <c r="AB54" s="202"/>
      <c r="AC54" s="202"/>
      <c r="AD54" s="202"/>
      <c r="AE54" s="207">
        <v>433114.28</v>
      </c>
      <c r="AF54" s="202">
        <v>433114.28</v>
      </c>
      <c r="AG54" s="202">
        <f t="shared" si="3"/>
        <v>-96080.719999999972</v>
      </c>
      <c r="AI54" s="200">
        <v>527267</v>
      </c>
      <c r="AJ54" s="200">
        <v>527267</v>
      </c>
      <c r="AK54" s="200">
        <v>527267</v>
      </c>
      <c r="AL54" s="200">
        <f>IFERROR(VLOOKUP(B54,[2]rptBudgetaryBudgetCrossOrganiza!$A$5236:$O$5854,13,FALSE),"0")</f>
        <v>100111.52</v>
      </c>
      <c r="AM54" s="200"/>
      <c r="AN54" s="200"/>
      <c r="AO54" s="200"/>
      <c r="AP54" s="200"/>
      <c r="AQ54" s="200">
        <f t="shared" si="4"/>
        <v>-527267</v>
      </c>
      <c r="AS54" s="169"/>
      <c r="AT54" s="169"/>
      <c r="AU54" s="169"/>
      <c r="AV54" s="169"/>
      <c r="AW54" s="169"/>
      <c r="AX54" s="169"/>
      <c r="AY54" s="169"/>
      <c r="AZ54" s="169">
        <f t="shared" si="5"/>
        <v>0</v>
      </c>
    </row>
    <row r="55" spans="1:52" hidden="1" x14ac:dyDescent="0.2">
      <c r="A55" s="220">
        <v>4</v>
      </c>
      <c r="B55" s="170" t="s">
        <v>314</v>
      </c>
      <c r="C55" s="221">
        <v>40</v>
      </c>
      <c r="D55" s="221">
        <v>70</v>
      </c>
      <c r="E55" s="214">
        <v>570</v>
      </c>
      <c r="F55" s="170" t="str">
        <f t="shared" si="7"/>
        <v>5000.02</v>
      </c>
      <c r="G55" s="170" t="s">
        <v>166</v>
      </c>
      <c r="H55" s="168">
        <v>0</v>
      </c>
      <c r="I55" s="168">
        <v>0</v>
      </c>
      <c r="J55" s="168"/>
      <c r="K55" s="168"/>
      <c r="L55" s="168"/>
      <c r="M55" s="194">
        <v>0</v>
      </c>
      <c r="N55" s="168">
        <v>0</v>
      </c>
      <c r="O55" s="168">
        <f t="shared" si="1"/>
        <v>0</v>
      </c>
      <c r="Q55" s="169">
        <v>0</v>
      </c>
      <c r="R55" s="169">
        <v>0</v>
      </c>
      <c r="S55" s="169"/>
      <c r="T55" s="169"/>
      <c r="U55" s="169"/>
      <c r="V55" s="169">
        <v>0</v>
      </c>
      <c r="W55" s="169">
        <v>0</v>
      </c>
      <c r="X55" s="169">
        <f t="shared" si="2"/>
        <v>0</v>
      </c>
      <c r="Z55" s="202">
        <v>0</v>
      </c>
      <c r="AA55" s="202">
        <v>0</v>
      </c>
      <c r="AB55" s="202"/>
      <c r="AC55" s="202"/>
      <c r="AD55" s="202"/>
      <c r="AE55" s="207">
        <v>0</v>
      </c>
      <c r="AF55" s="202">
        <v>0</v>
      </c>
      <c r="AG55" s="202">
        <f t="shared" si="3"/>
        <v>0</v>
      </c>
      <c r="AI55" s="200">
        <v>0</v>
      </c>
      <c r="AJ55" s="200">
        <v>0</v>
      </c>
      <c r="AK55" s="200"/>
      <c r="AL55" s="200">
        <f>IFERROR(VLOOKUP(B55,[2]rptBudgetaryBudgetCrossOrganiza!$A$5236:$O$5854,13,FALSE),"0")</f>
        <v>0</v>
      </c>
      <c r="AM55" s="200"/>
      <c r="AN55" s="200"/>
      <c r="AO55" s="200"/>
      <c r="AP55" s="200"/>
      <c r="AQ55" s="200">
        <f t="shared" si="4"/>
        <v>0</v>
      </c>
      <c r="AS55" s="169"/>
      <c r="AT55" s="169"/>
      <c r="AU55" s="169"/>
      <c r="AV55" s="169"/>
      <c r="AW55" s="169"/>
      <c r="AX55" s="169"/>
      <c r="AY55" s="169"/>
      <c r="AZ55" s="169">
        <f t="shared" si="5"/>
        <v>0</v>
      </c>
    </row>
    <row r="56" spans="1:52" hidden="1" x14ac:dyDescent="0.2">
      <c r="A56" s="220">
        <v>4</v>
      </c>
      <c r="B56" s="170" t="s">
        <v>315</v>
      </c>
      <c r="C56" s="221">
        <v>40</v>
      </c>
      <c r="D56" s="221">
        <v>70</v>
      </c>
      <c r="E56" s="214">
        <v>570</v>
      </c>
      <c r="F56" s="170" t="str">
        <f t="shared" si="7"/>
        <v>5000.03</v>
      </c>
      <c r="G56" s="170" t="s">
        <v>167</v>
      </c>
      <c r="H56" s="168">
        <v>8000</v>
      </c>
      <c r="I56" s="168">
        <v>8000</v>
      </c>
      <c r="J56" s="168"/>
      <c r="K56" s="168"/>
      <c r="L56" s="168"/>
      <c r="M56" s="194">
        <v>16169.07</v>
      </c>
      <c r="N56" s="168">
        <v>16169.07</v>
      </c>
      <c r="O56" s="168">
        <f t="shared" si="1"/>
        <v>8169.07</v>
      </c>
      <c r="Q56" s="169">
        <v>8000</v>
      </c>
      <c r="R56" s="169">
        <v>8000</v>
      </c>
      <c r="S56" s="169"/>
      <c r="T56" s="169"/>
      <c r="U56" s="169"/>
      <c r="V56" s="169">
        <v>24144.26</v>
      </c>
      <c r="W56" s="169">
        <v>24144.26</v>
      </c>
      <c r="X56" s="169">
        <f t="shared" si="2"/>
        <v>16144.259999999998</v>
      </c>
      <c r="Z56" s="202">
        <v>20000</v>
      </c>
      <c r="AA56" s="202">
        <v>20000</v>
      </c>
      <c r="AB56" s="202"/>
      <c r="AC56" s="202"/>
      <c r="AD56" s="202"/>
      <c r="AE56" s="207">
        <v>28716.75</v>
      </c>
      <c r="AF56" s="202">
        <v>28716.75</v>
      </c>
      <c r="AG56" s="202">
        <f t="shared" si="3"/>
        <v>8716.75</v>
      </c>
      <c r="AI56" s="200">
        <v>20600</v>
      </c>
      <c r="AJ56" s="200">
        <v>20600</v>
      </c>
      <c r="AK56" s="200">
        <v>20600</v>
      </c>
      <c r="AL56" s="200">
        <f>IFERROR(VLOOKUP(B56,[2]rptBudgetaryBudgetCrossOrganiza!$A$5236:$O$5854,13,FALSE),"0")</f>
        <v>1452.94</v>
      </c>
      <c r="AM56" s="200"/>
      <c r="AN56" s="200"/>
      <c r="AO56" s="200"/>
      <c r="AP56" s="200"/>
      <c r="AQ56" s="200">
        <f t="shared" si="4"/>
        <v>-20600</v>
      </c>
      <c r="AS56" s="169"/>
      <c r="AT56" s="169"/>
      <c r="AU56" s="169"/>
      <c r="AV56" s="169"/>
      <c r="AW56" s="169"/>
      <c r="AX56" s="169"/>
      <c r="AY56" s="169"/>
      <c r="AZ56" s="169">
        <f t="shared" si="5"/>
        <v>0</v>
      </c>
    </row>
    <row r="57" spans="1:52" hidden="1" x14ac:dyDescent="0.2">
      <c r="A57" s="220">
        <v>4</v>
      </c>
      <c r="B57" s="170" t="s">
        <v>316</v>
      </c>
      <c r="C57" s="221">
        <v>40</v>
      </c>
      <c r="D57" s="221">
        <v>70</v>
      </c>
      <c r="E57" s="214">
        <v>570</v>
      </c>
      <c r="F57" s="170" t="str">
        <f t="shared" si="7"/>
        <v>5000.04</v>
      </c>
      <c r="G57" s="170" t="s">
        <v>168</v>
      </c>
      <c r="H57" s="168">
        <v>0</v>
      </c>
      <c r="I57" s="168">
        <v>0</v>
      </c>
      <c r="J57" s="168"/>
      <c r="K57" s="168"/>
      <c r="L57" s="168"/>
      <c r="M57" s="194">
        <v>0</v>
      </c>
      <c r="N57" s="168">
        <v>0</v>
      </c>
      <c r="O57" s="168">
        <f t="shared" si="1"/>
        <v>0</v>
      </c>
      <c r="Q57" s="169">
        <v>0</v>
      </c>
      <c r="R57" s="169">
        <v>0</v>
      </c>
      <c r="S57" s="169"/>
      <c r="T57" s="169"/>
      <c r="U57" s="169"/>
      <c r="V57" s="169">
        <v>0</v>
      </c>
      <c r="W57" s="169">
        <v>0</v>
      </c>
      <c r="X57" s="169">
        <f t="shared" si="2"/>
        <v>0</v>
      </c>
      <c r="Z57" s="202">
        <v>0</v>
      </c>
      <c r="AA57" s="202">
        <v>0</v>
      </c>
      <c r="AB57" s="202"/>
      <c r="AC57" s="202"/>
      <c r="AD57" s="202"/>
      <c r="AE57" s="207">
        <v>164.45</v>
      </c>
      <c r="AF57" s="202">
        <v>164.45</v>
      </c>
      <c r="AG57" s="202">
        <f t="shared" si="3"/>
        <v>164.45</v>
      </c>
      <c r="AI57" s="200">
        <v>0</v>
      </c>
      <c r="AJ57" s="200">
        <v>0</v>
      </c>
      <c r="AK57" s="200"/>
      <c r="AL57" s="200">
        <f>IFERROR(VLOOKUP(B57,[2]rptBudgetaryBudgetCrossOrganiza!$A$5236:$O$5854,13,FALSE),"0")</f>
        <v>0</v>
      </c>
      <c r="AM57" s="200"/>
      <c r="AN57" s="200"/>
      <c r="AO57" s="200"/>
      <c r="AP57" s="200"/>
      <c r="AQ57" s="200">
        <f t="shared" si="4"/>
        <v>0</v>
      </c>
      <c r="AS57" s="169"/>
      <c r="AT57" s="169"/>
      <c r="AU57" s="169"/>
      <c r="AV57" s="169"/>
      <c r="AW57" s="169"/>
      <c r="AX57" s="169"/>
      <c r="AY57" s="169"/>
      <c r="AZ57" s="169">
        <f t="shared" si="5"/>
        <v>0</v>
      </c>
    </row>
    <row r="58" spans="1:52" hidden="1" x14ac:dyDescent="0.2">
      <c r="A58" s="220">
        <v>4</v>
      </c>
      <c r="B58" s="170" t="s">
        <v>317</v>
      </c>
      <c r="C58" s="221">
        <v>40</v>
      </c>
      <c r="D58" s="221">
        <v>70</v>
      </c>
      <c r="E58" s="214">
        <v>570</v>
      </c>
      <c r="F58" s="170" t="str">
        <f t="shared" si="7"/>
        <v>5000.06</v>
      </c>
      <c r="G58" s="170" t="s">
        <v>170</v>
      </c>
      <c r="H58" s="168">
        <v>230</v>
      </c>
      <c r="I58" s="168">
        <v>230</v>
      </c>
      <c r="J58" s="168"/>
      <c r="K58" s="168"/>
      <c r="L58" s="168"/>
      <c r="M58" s="194">
        <v>206.22</v>
      </c>
      <c r="N58" s="168">
        <v>206.22</v>
      </c>
      <c r="O58" s="168">
        <f t="shared" si="1"/>
        <v>-23.78</v>
      </c>
      <c r="Q58" s="169">
        <v>230</v>
      </c>
      <c r="R58" s="169">
        <v>230</v>
      </c>
      <c r="S58" s="169"/>
      <c r="T58" s="169"/>
      <c r="U58" s="169"/>
      <c r="V58" s="169">
        <v>457.64</v>
      </c>
      <c r="W58" s="169">
        <v>457.64</v>
      </c>
      <c r="X58" s="169">
        <f t="shared" si="2"/>
        <v>227.64</v>
      </c>
      <c r="Z58" s="202">
        <v>230</v>
      </c>
      <c r="AA58" s="202">
        <v>230</v>
      </c>
      <c r="AB58" s="202"/>
      <c r="AC58" s="202"/>
      <c r="AD58" s="202"/>
      <c r="AE58" s="207">
        <v>4566.9799999999996</v>
      </c>
      <c r="AF58" s="202">
        <v>4566.9799999999996</v>
      </c>
      <c r="AG58" s="202">
        <f t="shared" si="3"/>
        <v>4336.9799999999996</v>
      </c>
      <c r="AI58" s="200">
        <v>230</v>
      </c>
      <c r="AJ58" s="200">
        <v>230</v>
      </c>
      <c r="AK58" s="200">
        <v>230</v>
      </c>
      <c r="AL58" s="200">
        <f>IFERROR(VLOOKUP(B58,[2]rptBudgetaryBudgetCrossOrganiza!$A$5236:$O$5854,13,FALSE),"0")</f>
        <v>988.98</v>
      </c>
      <c r="AM58" s="200"/>
      <c r="AN58" s="200"/>
      <c r="AO58" s="200"/>
      <c r="AP58" s="200"/>
      <c r="AQ58" s="200">
        <f t="shared" si="4"/>
        <v>-230</v>
      </c>
      <c r="AS58" s="169"/>
      <c r="AT58" s="169"/>
      <c r="AU58" s="169"/>
      <c r="AV58" s="169"/>
      <c r="AW58" s="169"/>
      <c r="AX58" s="169"/>
      <c r="AY58" s="169"/>
      <c r="AZ58" s="169">
        <f t="shared" si="5"/>
        <v>0</v>
      </c>
    </row>
    <row r="59" spans="1:52" hidden="1" x14ac:dyDescent="0.2">
      <c r="A59" s="220">
        <v>4</v>
      </c>
      <c r="B59" s="170" t="s">
        <v>318</v>
      </c>
      <c r="C59" s="221">
        <v>40</v>
      </c>
      <c r="D59" s="221">
        <v>70</v>
      </c>
      <c r="E59" s="214">
        <v>570</v>
      </c>
      <c r="F59" s="170" t="str">
        <f t="shared" si="7"/>
        <v>5000.07</v>
      </c>
      <c r="G59" s="170" t="s">
        <v>171</v>
      </c>
      <c r="H59" s="168">
        <v>778</v>
      </c>
      <c r="I59" s="168">
        <v>778</v>
      </c>
      <c r="J59" s="168"/>
      <c r="K59" s="168"/>
      <c r="L59" s="168"/>
      <c r="M59" s="194">
        <v>0</v>
      </c>
      <c r="N59" s="168">
        <v>0</v>
      </c>
      <c r="O59" s="168">
        <f t="shared" si="1"/>
        <v>-778</v>
      </c>
      <c r="Q59" s="169">
        <v>1140</v>
      </c>
      <c r="R59" s="169">
        <v>1140</v>
      </c>
      <c r="S59" s="169"/>
      <c r="T59" s="169"/>
      <c r="U59" s="169"/>
      <c r="V59" s="169">
        <v>0</v>
      </c>
      <c r="W59" s="169">
        <v>0</v>
      </c>
      <c r="X59" s="169">
        <f t="shared" si="2"/>
        <v>-1140</v>
      </c>
      <c r="Z59" s="202">
        <v>3940</v>
      </c>
      <c r="AA59" s="202">
        <v>3940</v>
      </c>
      <c r="AB59" s="202"/>
      <c r="AC59" s="202"/>
      <c r="AD59" s="202"/>
      <c r="AE59" s="207">
        <v>1549.97</v>
      </c>
      <c r="AF59" s="202">
        <v>1549.97</v>
      </c>
      <c r="AG59" s="202">
        <f t="shared" si="3"/>
        <v>-2390.0299999999997</v>
      </c>
      <c r="AI59" s="200">
        <v>4058</v>
      </c>
      <c r="AJ59" s="200">
        <v>4058</v>
      </c>
      <c r="AK59" s="200">
        <v>4058</v>
      </c>
      <c r="AL59" s="200">
        <f>IFERROR(VLOOKUP(B59,[2]rptBudgetaryBudgetCrossOrganiza!$A$5236:$O$5854,13,FALSE),"0")</f>
        <v>0</v>
      </c>
      <c r="AM59" s="200"/>
      <c r="AN59" s="200"/>
      <c r="AO59" s="200"/>
      <c r="AP59" s="200"/>
      <c r="AQ59" s="200">
        <f t="shared" si="4"/>
        <v>-4058</v>
      </c>
      <c r="AS59" s="169"/>
      <c r="AT59" s="169"/>
      <c r="AU59" s="169"/>
      <c r="AV59" s="169"/>
      <c r="AW59" s="169"/>
      <c r="AX59" s="169"/>
      <c r="AY59" s="169"/>
      <c r="AZ59" s="169">
        <f t="shared" si="5"/>
        <v>0</v>
      </c>
    </row>
    <row r="60" spans="1:52" hidden="1" x14ac:dyDescent="0.2">
      <c r="A60" s="220">
        <v>4</v>
      </c>
      <c r="B60" s="170" t="s">
        <v>319</v>
      </c>
      <c r="C60" s="221">
        <v>40</v>
      </c>
      <c r="D60" s="221">
        <v>70</v>
      </c>
      <c r="E60" s="214">
        <v>570</v>
      </c>
      <c r="F60" s="170" t="str">
        <f t="shared" si="7"/>
        <v>5000.08</v>
      </c>
      <c r="G60" s="170" t="s">
        <v>172</v>
      </c>
      <c r="H60" s="168">
        <v>4633</v>
      </c>
      <c r="I60" s="168">
        <v>4633</v>
      </c>
      <c r="J60" s="168"/>
      <c r="K60" s="168"/>
      <c r="L60" s="168"/>
      <c r="M60" s="194">
        <v>4601.59</v>
      </c>
      <c r="N60" s="168">
        <v>4601.59</v>
      </c>
      <c r="O60" s="168">
        <f t="shared" ref="O60:O123" si="8">N60-I60</f>
        <v>-31.409999999999854</v>
      </c>
      <c r="Q60" s="169">
        <v>5540</v>
      </c>
      <c r="R60" s="169">
        <v>5540</v>
      </c>
      <c r="S60" s="169"/>
      <c r="T60" s="169"/>
      <c r="U60" s="169"/>
      <c r="V60" s="169">
        <v>4842.97</v>
      </c>
      <c r="W60" s="169">
        <v>4842.97</v>
      </c>
      <c r="X60" s="169">
        <f t="shared" si="2"/>
        <v>-697.02999999999975</v>
      </c>
      <c r="Z60" s="202">
        <v>5455</v>
      </c>
      <c r="AA60" s="202">
        <v>5455</v>
      </c>
      <c r="AB60" s="202"/>
      <c r="AC60" s="202"/>
      <c r="AD60" s="202"/>
      <c r="AE60" s="207">
        <v>4996.95</v>
      </c>
      <c r="AF60" s="202">
        <v>4996.95</v>
      </c>
      <c r="AG60" s="202">
        <f t="shared" si="3"/>
        <v>-458.05000000000018</v>
      </c>
      <c r="AI60" s="200">
        <v>5619</v>
      </c>
      <c r="AJ60" s="200">
        <v>5619</v>
      </c>
      <c r="AK60" s="200">
        <v>5619</v>
      </c>
      <c r="AL60" s="200">
        <f>IFERROR(VLOOKUP(B60,[2]rptBudgetaryBudgetCrossOrganiza!$A$5236:$O$5854,13,FALSE),"0")</f>
        <v>2577.7600000000002</v>
      </c>
      <c r="AM60" s="200"/>
      <c r="AN60" s="200"/>
      <c r="AO60" s="200"/>
      <c r="AP60" s="200"/>
      <c r="AQ60" s="200">
        <f t="shared" si="4"/>
        <v>-5619</v>
      </c>
      <c r="AS60" s="169"/>
      <c r="AT60" s="169"/>
      <c r="AU60" s="169"/>
      <c r="AV60" s="169"/>
      <c r="AW60" s="169"/>
      <c r="AX60" s="169"/>
      <c r="AY60" s="169"/>
      <c r="AZ60" s="169">
        <f t="shared" si="5"/>
        <v>0</v>
      </c>
    </row>
    <row r="61" spans="1:52" hidden="1" x14ac:dyDescent="0.2">
      <c r="A61" s="220">
        <v>4</v>
      </c>
      <c r="B61" s="170" t="s">
        <v>320</v>
      </c>
      <c r="C61" s="221">
        <v>40</v>
      </c>
      <c r="D61" s="221">
        <v>70</v>
      </c>
      <c r="E61" s="214">
        <v>570</v>
      </c>
      <c r="F61" s="170" t="str">
        <f t="shared" si="7"/>
        <v>5000.10</v>
      </c>
      <c r="G61" s="170" t="s">
        <v>174</v>
      </c>
      <c r="H61" s="168">
        <v>0</v>
      </c>
      <c r="I61" s="168">
        <v>0</v>
      </c>
      <c r="J61" s="168"/>
      <c r="K61" s="168"/>
      <c r="L61" s="168"/>
      <c r="M61" s="194">
        <v>0</v>
      </c>
      <c r="N61" s="168">
        <v>0</v>
      </c>
      <c r="O61" s="168">
        <f t="shared" si="8"/>
        <v>0</v>
      </c>
      <c r="Q61" s="169">
        <v>0</v>
      </c>
      <c r="R61" s="169">
        <v>0</v>
      </c>
      <c r="S61" s="169"/>
      <c r="T61" s="169"/>
      <c r="U61" s="169"/>
      <c r="V61" s="169">
        <v>0</v>
      </c>
      <c r="W61" s="169">
        <v>0</v>
      </c>
      <c r="X61" s="169">
        <f t="shared" ref="X61:X124" si="9">W61-R61</f>
        <v>0</v>
      </c>
      <c r="Z61" s="202">
        <v>0</v>
      </c>
      <c r="AA61" s="202">
        <v>0</v>
      </c>
      <c r="AB61" s="202"/>
      <c r="AC61" s="202"/>
      <c r="AD61" s="202"/>
      <c r="AE61" s="207">
        <v>0</v>
      </c>
      <c r="AF61" s="202">
        <v>0</v>
      </c>
      <c r="AG61" s="202">
        <f t="shared" ref="AG61:AG124" si="10">AF61-AA61</f>
        <v>0</v>
      </c>
      <c r="AI61" s="200">
        <v>0</v>
      </c>
      <c r="AJ61" s="200">
        <v>0</v>
      </c>
      <c r="AK61" s="200"/>
      <c r="AL61" s="200">
        <f>IFERROR(VLOOKUP(B61,[2]rptBudgetaryBudgetCrossOrganiza!$A$5236:$O$5854,13,FALSE),"0")</f>
        <v>0</v>
      </c>
      <c r="AM61" s="200"/>
      <c r="AN61" s="200"/>
      <c r="AO61" s="200"/>
      <c r="AP61" s="200"/>
      <c r="AQ61" s="200">
        <f t="shared" si="4"/>
        <v>0</v>
      </c>
      <c r="AS61" s="169"/>
      <c r="AT61" s="169"/>
      <c r="AU61" s="169"/>
      <c r="AV61" s="169"/>
      <c r="AW61" s="169"/>
      <c r="AX61" s="169"/>
      <c r="AY61" s="169"/>
      <c r="AZ61" s="169">
        <f t="shared" si="5"/>
        <v>0</v>
      </c>
    </row>
    <row r="62" spans="1:52" hidden="1" x14ac:dyDescent="0.2">
      <c r="A62" s="220">
        <v>4</v>
      </c>
      <c r="B62" s="170" t="s">
        <v>321</v>
      </c>
      <c r="C62" s="221">
        <v>40</v>
      </c>
      <c r="D62" s="221">
        <v>70</v>
      </c>
      <c r="E62" s="214">
        <v>570</v>
      </c>
      <c r="F62" s="170" t="str">
        <f t="shared" si="7"/>
        <v>5000.11</v>
      </c>
      <c r="G62" s="170" t="s">
        <v>175</v>
      </c>
      <c r="H62" s="168">
        <v>0</v>
      </c>
      <c r="I62" s="168">
        <v>0</v>
      </c>
      <c r="J62" s="168"/>
      <c r="K62" s="168"/>
      <c r="L62" s="168"/>
      <c r="M62" s="194">
        <v>1031.6500000000001</v>
      </c>
      <c r="N62" s="168">
        <v>1031.6500000000001</v>
      </c>
      <c r="O62" s="168">
        <f t="shared" si="8"/>
        <v>1031.6500000000001</v>
      </c>
      <c r="Q62" s="169">
        <v>0</v>
      </c>
      <c r="R62" s="169">
        <v>0</v>
      </c>
      <c r="S62" s="169"/>
      <c r="T62" s="169"/>
      <c r="U62" s="169"/>
      <c r="V62" s="169">
        <v>3188.64</v>
      </c>
      <c r="W62" s="169">
        <v>3188.64</v>
      </c>
      <c r="X62" s="169">
        <f t="shared" si="9"/>
        <v>3188.64</v>
      </c>
      <c r="Z62" s="202">
        <v>0</v>
      </c>
      <c r="AA62" s="202">
        <v>0</v>
      </c>
      <c r="AB62" s="202"/>
      <c r="AC62" s="202"/>
      <c r="AD62" s="202"/>
      <c r="AE62" s="207">
        <v>0</v>
      </c>
      <c r="AF62" s="202">
        <v>0</v>
      </c>
      <c r="AG62" s="202">
        <f t="shared" si="10"/>
        <v>0</v>
      </c>
      <c r="AI62" s="200">
        <v>0</v>
      </c>
      <c r="AJ62" s="200">
        <v>0</v>
      </c>
      <c r="AK62" s="200"/>
      <c r="AL62" s="200">
        <f>IFERROR(VLOOKUP(B62,[2]rptBudgetaryBudgetCrossOrganiza!$A$5236:$O$5854,13,FALSE),"0")</f>
        <v>0</v>
      </c>
      <c r="AM62" s="200"/>
      <c r="AN62" s="200"/>
      <c r="AO62" s="200"/>
      <c r="AP62" s="200"/>
      <c r="AQ62" s="200">
        <f t="shared" si="4"/>
        <v>0</v>
      </c>
      <c r="AS62" s="169"/>
      <c r="AT62" s="169"/>
      <c r="AU62" s="169"/>
      <c r="AV62" s="169"/>
      <c r="AW62" s="169"/>
      <c r="AX62" s="169"/>
      <c r="AY62" s="169"/>
      <c r="AZ62" s="169">
        <f t="shared" si="5"/>
        <v>0</v>
      </c>
    </row>
    <row r="63" spans="1:52" hidden="1" x14ac:dyDescent="0.2">
      <c r="A63" s="220">
        <v>4</v>
      </c>
      <c r="B63" s="170" t="s">
        <v>322</v>
      </c>
      <c r="C63" s="221">
        <v>40</v>
      </c>
      <c r="D63" s="221">
        <v>70</v>
      </c>
      <c r="E63" s="214">
        <v>570</v>
      </c>
      <c r="F63" s="170" t="str">
        <f t="shared" si="7"/>
        <v>5000.12</v>
      </c>
      <c r="G63" s="170" t="s">
        <v>176</v>
      </c>
      <c r="H63" s="168">
        <v>0</v>
      </c>
      <c r="I63" s="168">
        <v>0</v>
      </c>
      <c r="J63" s="168"/>
      <c r="K63" s="168"/>
      <c r="L63" s="168"/>
      <c r="M63" s="194">
        <v>0</v>
      </c>
      <c r="N63" s="168">
        <v>0</v>
      </c>
      <c r="O63" s="168">
        <f t="shared" si="8"/>
        <v>0</v>
      </c>
      <c r="Q63" s="169">
        <v>0</v>
      </c>
      <c r="R63" s="169">
        <v>0</v>
      </c>
      <c r="S63" s="169"/>
      <c r="T63" s="169"/>
      <c r="U63" s="169"/>
      <c r="V63" s="169">
        <v>0</v>
      </c>
      <c r="W63" s="169">
        <v>0</v>
      </c>
      <c r="X63" s="169">
        <f t="shared" si="9"/>
        <v>0</v>
      </c>
      <c r="Z63" s="202">
        <v>0</v>
      </c>
      <c r="AA63" s="202">
        <v>0</v>
      </c>
      <c r="AB63" s="202"/>
      <c r="AC63" s="202"/>
      <c r="AD63" s="202"/>
      <c r="AE63" s="207">
        <v>0</v>
      </c>
      <c r="AF63" s="202">
        <v>0</v>
      </c>
      <c r="AG63" s="202">
        <f t="shared" si="10"/>
        <v>0</v>
      </c>
      <c r="AI63" s="200">
        <v>0</v>
      </c>
      <c r="AJ63" s="200">
        <v>0</v>
      </c>
      <c r="AK63" s="200"/>
      <c r="AL63" s="200">
        <f>IFERROR(VLOOKUP(B63,[2]rptBudgetaryBudgetCrossOrganiza!$A$5236:$O$5854,13,FALSE),"0")</f>
        <v>0</v>
      </c>
      <c r="AM63" s="200"/>
      <c r="AN63" s="200"/>
      <c r="AO63" s="200"/>
      <c r="AP63" s="200"/>
      <c r="AQ63" s="200">
        <f t="shared" si="4"/>
        <v>0</v>
      </c>
      <c r="AS63" s="169"/>
      <c r="AT63" s="169"/>
      <c r="AU63" s="169"/>
      <c r="AV63" s="169"/>
      <c r="AW63" s="169"/>
      <c r="AX63" s="169"/>
      <c r="AY63" s="169"/>
      <c r="AZ63" s="169">
        <f t="shared" si="5"/>
        <v>0</v>
      </c>
    </row>
    <row r="64" spans="1:52" hidden="1" x14ac:dyDescent="0.2">
      <c r="A64" s="220">
        <v>4</v>
      </c>
      <c r="B64" s="170" t="s">
        <v>323</v>
      </c>
      <c r="C64" s="221">
        <v>40</v>
      </c>
      <c r="D64" s="221">
        <v>70</v>
      </c>
      <c r="E64" s="214">
        <v>570</v>
      </c>
      <c r="F64" s="170" t="str">
        <f t="shared" si="7"/>
        <v>5000.99</v>
      </c>
      <c r="G64" s="170" t="s">
        <v>177</v>
      </c>
      <c r="H64" s="168">
        <v>85100</v>
      </c>
      <c r="I64" s="168">
        <v>0</v>
      </c>
      <c r="J64" s="168"/>
      <c r="K64" s="168"/>
      <c r="L64" s="168"/>
      <c r="M64" s="194">
        <v>0</v>
      </c>
      <c r="N64" s="168">
        <v>0</v>
      </c>
      <c r="O64" s="168">
        <f t="shared" si="8"/>
        <v>0</v>
      </c>
      <c r="Q64" s="169">
        <v>0</v>
      </c>
      <c r="R64" s="169">
        <v>0</v>
      </c>
      <c r="S64" s="169"/>
      <c r="T64" s="169"/>
      <c r="U64" s="169"/>
      <c r="V64" s="169">
        <v>0</v>
      </c>
      <c r="W64" s="169">
        <v>0</v>
      </c>
      <c r="X64" s="169">
        <f t="shared" si="9"/>
        <v>0</v>
      </c>
      <c r="Z64" s="202">
        <v>0</v>
      </c>
      <c r="AA64" s="202">
        <v>0</v>
      </c>
      <c r="AB64" s="202"/>
      <c r="AC64" s="202"/>
      <c r="AD64" s="202"/>
      <c r="AE64" s="207">
        <v>0</v>
      </c>
      <c r="AF64" s="202">
        <v>0</v>
      </c>
      <c r="AG64" s="202">
        <f t="shared" si="10"/>
        <v>0</v>
      </c>
      <c r="AI64" s="200">
        <v>0</v>
      </c>
      <c r="AJ64" s="200">
        <v>0</v>
      </c>
      <c r="AK64" s="200"/>
      <c r="AL64" s="200">
        <f>IFERROR(VLOOKUP(B64,[2]rptBudgetaryBudgetCrossOrganiza!$A$5236:$O$5854,13,FALSE),"0")</f>
        <v>0</v>
      </c>
      <c r="AM64" s="200"/>
      <c r="AN64" s="200"/>
      <c r="AO64" s="200"/>
      <c r="AP64" s="200"/>
      <c r="AQ64" s="200">
        <f t="shared" si="4"/>
        <v>0</v>
      </c>
      <c r="AS64" s="169"/>
      <c r="AT64" s="169"/>
      <c r="AU64" s="169"/>
      <c r="AV64" s="169"/>
      <c r="AW64" s="169"/>
      <c r="AX64" s="169"/>
      <c r="AY64" s="169"/>
      <c r="AZ64" s="169">
        <f t="shared" si="5"/>
        <v>0</v>
      </c>
    </row>
    <row r="65" spans="1:52" hidden="1" x14ac:dyDescent="0.2">
      <c r="A65" s="220">
        <v>4</v>
      </c>
      <c r="B65" s="170" t="s">
        <v>324</v>
      </c>
      <c r="C65" s="221">
        <v>40</v>
      </c>
      <c r="D65" s="221">
        <v>70</v>
      </c>
      <c r="E65" s="214">
        <v>570</v>
      </c>
      <c r="F65" s="170" t="str">
        <f t="shared" si="7"/>
        <v>5100.00</v>
      </c>
      <c r="G65" s="170" t="s">
        <v>178</v>
      </c>
      <c r="H65" s="168">
        <v>59700</v>
      </c>
      <c r="I65" s="168">
        <v>64748</v>
      </c>
      <c r="J65" s="168"/>
      <c r="K65" s="168"/>
      <c r="L65" s="168"/>
      <c r="M65" s="194">
        <v>58495.69</v>
      </c>
      <c r="N65" s="168">
        <v>58495.69</v>
      </c>
      <c r="O65" s="168">
        <f t="shared" si="8"/>
        <v>-6252.3099999999977</v>
      </c>
      <c r="Q65" s="169">
        <v>79620</v>
      </c>
      <c r="R65" s="169">
        <v>79620</v>
      </c>
      <c r="S65" s="169"/>
      <c r="T65" s="169"/>
      <c r="U65" s="169"/>
      <c r="V65" s="169">
        <v>71523.87</v>
      </c>
      <c r="W65" s="169">
        <v>71523.87</v>
      </c>
      <c r="X65" s="169">
        <f t="shared" si="9"/>
        <v>-8096.1300000000047</v>
      </c>
      <c r="Z65" s="202">
        <v>92500</v>
      </c>
      <c r="AA65" s="202">
        <v>92500</v>
      </c>
      <c r="AB65" s="202"/>
      <c r="AC65" s="202"/>
      <c r="AD65" s="202"/>
      <c r="AE65" s="207">
        <v>80300.39</v>
      </c>
      <c r="AF65" s="202">
        <v>80300.39</v>
      </c>
      <c r="AG65" s="202">
        <f t="shared" si="10"/>
        <v>-12199.61</v>
      </c>
      <c r="AI65" s="200">
        <v>92500</v>
      </c>
      <c r="AJ65" s="200">
        <v>92500</v>
      </c>
      <c r="AK65" s="200">
        <v>92500</v>
      </c>
      <c r="AL65" s="200">
        <f>IFERROR(VLOOKUP(B65,[2]rptBudgetaryBudgetCrossOrganiza!$A$5236:$O$5854,13,FALSE),"0")</f>
        <v>20363.8</v>
      </c>
      <c r="AM65" s="200"/>
      <c r="AN65" s="200"/>
      <c r="AO65" s="200"/>
      <c r="AP65" s="200"/>
      <c r="AQ65" s="200">
        <f t="shared" si="4"/>
        <v>-92500</v>
      </c>
      <c r="AS65" s="169"/>
      <c r="AT65" s="169"/>
      <c r="AU65" s="169"/>
      <c r="AV65" s="169"/>
      <c r="AW65" s="169"/>
      <c r="AX65" s="169"/>
      <c r="AY65" s="169"/>
      <c r="AZ65" s="169">
        <f t="shared" si="5"/>
        <v>0</v>
      </c>
    </row>
    <row r="66" spans="1:52" hidden="1" x14ac:dyDescent="0.2">
      <c r="A66" s="220">
        <v>4</v>
      </c>
      <c r="B66" s="170" t="s">
        <v>325</v>
      </c>
      <c r="C66" s="221">
        <v>40</v>
      </c>
      <c r="D66" s="221">
        <v>70</v>
      </c>
      <c r="E66" s="214">
        <v>570</v>
      </c>
      <c r="F66" s="170" t="str">
        <f t="shared" si="7"/>
        <v>5100.01</v>
      </c>
      <c r="G66" s="170" t="s">
        <v>179</v>
      </c>
      <c r="H66" s="168">
        <v>38902</v>
      </c>
      <c r="I66" s="168">
        <v>42322</v>
      </c>
      <c r="J66" s="168"/>
      <c r="K66" s="168"/>
      <c r="L66" s="168"/>
      <c r="M66" s="194">
        <v>37614.54</v>
      </c>
      <c r="N66" s="168">
        <v>37614.54</v>
      </c>
      <c r="O66" s="168">
        <f t="shared" si="8"/>
        <v>-4707.4599999999991</v>
      </c>
      <c r="Q66" s="169">
        <v>46155</v>
      </c>
      <c r="R66" s="169">
        <v>46155</v>
      </c>
      <c r="S66" s="169"/>
      <c r="T66" s="169"/>
      <c r="U66" s="169"/>
      <c r="V66" s="169">
        <v>42377.18</v>
      </c>
      <c r="W66" s="169">
        <v>42377.18</v>
      </c>
      <c r="X66" s="169">
        <f t="shared" si="9"/>
        <v>-3777.8199999999997</v>
      </c>
      <c r="Z66" s="202">
        <v>49200</v>
      </c>
      <c r="AA66" s="202">
        <v>49200</v>
      </c>
      <c r="AB66" s="202"/>
      <c r="AC66" s="202"/>
      <c r="AD66" s="202"/>
      <c r="AE66" s="207">
        <v>42270.09</v>
      </c>
      <c r="AF66" s="202">
        <v>42270.09</v>
      </c>
      <c r="AG66" s="202">
        <f t="shared" si="10"/>
        <v>-6929.9100000000035</v>
      </c>
      <c r="AI66" s="200">
        <v>49200</v>
      </c>
      <c r="AJ66" s="200">
        <v>49200</v>
      </c>
      <c r="AK66" s="200">
        <v>49200</v>
      </c>
      <c r="AL66" s="200">
        <f>IFERROR(VLOOKUP(B66,[2]rptBudgetaryBudgetCrossOrganiza!$A$5236:$O$5854,13,FALSE),"0")</f>
        <v>11312.53</v>
      </c>
      <c r="AM66" s="200"/>
      <c r="AN66" s="200"/>
      <c r="AO66" s="200"/>
      <c r="AP66" s="200"/>
      <c r="AQ66" s="200">
        <f t="shared" si="4"/>
        <v>-49200</v>
      </c>
      <c r="AS66" s="169"/>
      <c r="AT66" s="169"/>
      <c r="AU66" s="169"/>
      <c r="AV66" s="169"/>
      <c r="AW66" s="169"/>
      <c r="AX66" s="169"/>
      <c r="AY66" s="169"/>
      <c r="AZ66" s="169">
        <f t="shared" si="5"/>
        <v>0</v>
      </c>
    </row>
    <row r="67" spans="1:52" hidden="1" x14ac:dyDescent="0.2">
      <c r="A67" s="220">
        <v>4</v>
      </c>
      <c r="B67" s="170" t="s">
        <v>326</v>
      </c>
      <c r="C67" s="221">
        <v>40</v>
      </c>
      <c r="D67" s="221">
        <v>70</v>
      </c>
      <c r="E67" s="214">
        <v>570</v>
      </c>
      <c r="F67" s="170" t="str">
        <f t="shared" si="7"/>
        <v>5100.02</v>
      </c>
      <c r="G67" s="170" t="s">
        <v>180</v>
      </c>
      <c r="H67" s="168">
        <v>76028</v>
      </c>
      <c r="I67" s="168">
        <v>91103</v>
      </c>
      <c r="J67" s="168"/>
      <c r="K67" s="168"/>
      <c r="L67" s="168"/>
      <c r="M67" s="194">
        <v>63090.09</v>
      </c>
      <c r="N67" s="168">
        <v>63090.09</v>
      </c>
      <c r="O67" s="168">
        <f t="shared" si="8"/>
        <v>-28012.910000000003</v>
      </c>
      <c r="Q67" s="169">
        <v>85600</v>
      </c>
      <c r="R67" s="169">
        <v>85600</v>
      </c>
      <c r="S67" s="169"/>
      <c r="T67" s="169"/>
      <c r="U67" s="169"/>
      <c r="V67" s="169">
        <v>62062.61</v>
      </c>
      <c r="W67" s="169">
        <v>62062.61</v>
      </c>
      <c r="X67" s="169">
        <f t="shared" si="9"/>
        <v>-23537.39</v>
      </c>
      <c r="Z67" s="202">
        <v>90245</v>
      </c>
      <c r="AA67" s="202">
        <v>90245</v>
      </c>
      <c r="AB67" s="202"/>
      <c r="AC67" s="202"/>
      <c r="AD67" s="202"/>
      <c r="AE67" s="207">
        <v>64376.68</v>
      </c>
      <c r="AF67" s="202">
        <v>64376.68</v>
      </c>
      <c r="AG67" s="202">
        <f t="shared" si="10"/>
        <v>-25868.32</v>
      </c>
      <c r="AI67" s="200">
        <v>90245</v>
      </c>
      <c r="AJ67" s="200">
        <v>90245</v>
      </c>
      <c r="AK67" s="200">
        <v>90245</v>
      </c>
      <c r="AL67" s="200">
        <f>IFERROR(VLOOKUP(B67,[2]rptBudgetaryBudgetCrossOrganiza!$A$5236:$O$5854,13,FALSE),"0")</f>
        <v>15345.48</v>
      </c>
      <c r="AM67" s="200"/>
      <c r="AN67" s="200"/>
      <c r="AO67" s="200"/>
      <c r="AP67" s="200"/>
      <c r="AQ67" s="200">
        <f t="shared" si="4"/>
        <v>-90245</v>
      </c>
      <c r="AS67" s="169"/>
      <c r="AT67" s="169"/>
      <c r="AU67" s="169"/>
      <c r="AV67" s="169"/>
      <c r="AW67" s="169"/>
      <c r="AX67" s="169"/>
      <c r="AY67" s="169"/>
      <c r="AZ67" s="169">
        <f t="shared" si="5"/>
        <v>0</v>
      </c>
    </row>
    <row r="68" spans="1:52" hidden="1" x14ac:dyDescent="0.2">
      <c r="A68" s="220">
        <v>4</v>
      </c>
      <c r="B68" s="170" t="s">
        <v>327</v>
      </c>
      <c r="C68" s="221">
        <v>40</v>
      </c>
      <c r="D68" s="221">
        <v>70</v>
      </c>
      <c r="E68" s="214">
        <v>570</v>
      </c>
      <c r="F68" s="170" t="str">
        <f t="shared" si="7"/>
        <v>5100.03</v>
      </c>
      <c r="G68" s="170" t="s">
        <v>181</v>
      </c>
      <c r="H68" s="168">
        <v>7795</v>
      </c>
      <c r="I68" s="168">
        <v>8903</v>
      </c>
      <c r="J68" s="168"/>
      <c r="K68" s="168"/>
      <c r="L68" s="168"/>
      <c r="M68" s="194">
        <v>7602.48</v>
      </c>
      <c r="N68" s="168">
        <v>7602.48</v>
      </c>
      <c r="O68" s="168">
        <f t="shared" si="8"/>
        <v>-1300.5200000000004</v>
      </c>
      <c r="Q68" s="169">
        <v>9130</v>
      </c>
      <c r="R68" s="169">
        <v>9130</v>
      </c>
      <c r="S68" s="169"/>
      <c r="T68" s="169"/>
      <c r="U68" s="169"/>
      <c r="V68" s="169">
        <v>6196.73</v>
      </c>
      <c r="W68" s="169">
        <v>6196.73</v>
      </c>
      <c r="X68" s="169">
        <f t="shared" si="9"/>
        <v>-2933.2700000000004</v>
      </c>
      <c r="Z68" s="202">
        <v>9410</v>
      </c>
      <c r="AA68" s="202">
        <v>9410</v>
      </c>
      <c r="AB68" s="202"/>
      <c r="AC68" s="202"/>
      <c r="AD68" s="202"/>
      <c r="AE68" s="207">
        <v>7255.45</v>
      </c>
      <c r="AF68" s="202">
        <v>7255.45</v>
      </c>
      <c r="AG68" s="202">
        <f t="shared" si="10"/>
        <v>-2154.5500000000002</v>
      </c>
      <c r="AI68" s="200">
        <v>9410</v>
      </c>
      <c r="AJ68" s="200">
        <v>9410</v>
      </c>
      <c r="AK68" s="200">
        <v>9410</v>
      </c>
      <c r="AL68" s="200">
        <f>IFERROR(VLOOKUP(B68,[2]rptBudgetaryBudgetCrossOrganiza!$A$5236:$O$5854,13,FALSE),"0")</f>
        <v>1801.55</v>
      </c>
      <c r="AM68" s="200"/>
      <c r="AN68" s="200"/>
      <c r="AO68" s="200"/>
      <c r="AP68" s="200"/>
      <c r="AQ68" s="200">
        <f t="shared" ref="AQ68:AQ131" si="11">AP68-AJ68</f>
        <v>-9410</v>
      </c>
      <c r="AS68" s="169"/>
      <c r="AT68" s="169"/>
      <c r="AU68" s="169"/>
      <c r="AV68" s="169"/>
      <c r="AW68" s="169"/>
      <c r="AX68" s="169"/>
      <c r="AY68" s="169"/>
      <c r="AZ68" s="169">
        <f t="shared" ref="AZ68:AZ131" si="12">AY68-AT68</f>
        <v>0</v>
      </c>
    </row>
    <row r="69" spans="1:52" hidden="1" x14ac:dyDescent="0.2">
      <c r="A69" s="220">
        <v>4</v>
      </c>
      <c r="B69" s="170" t="s">
        <v>328</v>
      </c>
      <c r="C69" s="221">
        <v>40</v>
      </c>
      <c r="D69" s="221">
        <v>70</v>
      </c>
      <c r="E69" s="214">
        <v>570</v>
      </c>
      <c r="F69" s="170" t="str">
        <f t="shared" si="7"/>
        <v>5100.04</v>
      </c>
      <c r="G69" s="170" t="s">
        <v>182</v>
      </c>
      <c r="H69" s="168">
        <v>1202</v>
      </c>
      <c r="I69" s="168">
        <v>1361</v>
      </c>
      <c r="J69" s="168"/>
      <c r="K69" s="168"/>
      <c r="L69" s="168"/>
      <c r="M69" s="194">
        <v>1199.28</v>
      </c>
      <c r="N69" s="168">
        <v>1199.28</v>
      </c>
      <c r="O69" s="168">
        <f t="shared" si="8"/>
        <v>-161.72000000000003</v>
      </c>
      <c r="Q69" s="169">
        <v>1435</v>
      </c>
      <c r="R69" s="169">
        <v>1435</v>
      </c>
      <c r="S69" s="169"/>
      <c r="T69" s="169"/>
      <c r="U69" s="169"/>
      <c r="V69" s="169">
        <v>1227.6300000000001</v>
      </c>
      <c r="W69" s="169">
        <v>1227.6300000000001</v>
      </c>
      <c r="X69" s="169">
        <f t="shared" si="9"/>
        <v>-207.36999999999989</v>
      </c>
      <c r="Z69" s="202">
        <v>1505</v>
      </c>
      <c r="AA69" s="202">
        <v>1505</v>
      </c>
      <c r="AB69" s="202"/>
      <c r="AC69" s="202"/>
      <c r="AD69" s="202"/>
      <c r="AE69" s="207">
        <v>1200.33</v>
      </c>
      <c r="AF69" s="202">
        <v>1200.33</v>
      </c>
      <c r="AG69" s="202">
        <f t="shared" si="10"/>
        <v>-304.67000000000007</v>
      </c>
      <c r="AI69" s="200">
        <v>1505</v>
      </c>
      <c r="AJ69" s="200">
        <v>1505</v>
      </c>
      <c r="AK69" s="200">
        <v>1505</v>
      </c>
      <c r="AL69" s="200">
        <f>IFERROR(VLOOKUP(B69,[2]rptBudgetaryBudgetCrossOrganiza!$A$5236:$O$5854,13,FALSE),"0")</f>
        <v>301.39</v>
      </c>
      <c r="AM69" s="200"/>
      <c r="AN69" s="200"/>
      <c r="AO69" s="200"/>
      <c r="AP69" s="200"/>
      <c r="AQ69" s="200">
        <f t="shared" si="11"/>
        <v>-1505</v>
      </c>
      <c r="AS69" s="169"/>
      <c r="AT69" s="169"/>
      <c r="AU69" s="169"/>
      <c r="AV69" s="169"/>
      <c r="AW69" s="169"/>
      <c r="AX69" s="169"/>
      <c r="AY69" s="169"/>
      <c r="AZ69" s="169">
        <f t="shared" si="12"/>
        <v>0</v>
      </c>
    </row>
    <row r="70" spans="1:52" hidden="1" x14ac:dyDescent="0.2">
      <c r="A70" s="220">
        <v>4</v>
      </c>
      <c r="B70" s="170" t="s">
        <v>329</v>
      </c>
      <c r="C70" s="221">
        <v>40</v>
      </c>
      <c r="D70" s="221">
        <v>70</v>
      </c>
      <c r="E70" s="214">
        <v>570</v>
      </c>
      <c r="F70" s="170" t="str">
        <f t="shared" si="7"/>
        <v>5100.05</v>
      </c>
      <c r="G70" s="170" t="s">
        <v>183</v>
      </c>
      <c r="H70" s="168">
        <v>720</v>
      </c>
      <c r="I70" s="168">
        <v>741</v>
      </c>
      <c r="J70" s="168"/>
      <c r="K70" s="168"/>
      <c r="L70" s="168"/>
      <c r="M70" s="194">
        <v>661.68</v>
      </c>
      <c r="N70" s="168">
        <v>661.68</v>
      </c>
      <c r="O70" s="168">
        <f t="shared" si="8"/>
        <v>-79.32000000000005</v>
      </c>
      <c r="Q70" s="169">
        <v>680</v>
      </c>
      <c r="R70" s="169">
        <v>680</v>
      </c>
      <c r="S70" s="169"/>
      <c r="T70" s="169"/>
      <c r="U70" s="169"/>
      <c r="V70" s="169">
        <v>696.66</v>
      </c>
      <c r="W70" s="169">
        <v>696.66</v>
      </c>
      <c r="X70" s="169">
        <f t="shared" si="9"/>
        <v>16.659999999999968</v>
      </c>
      <c r="Z70" s="202">
        <v>930</v>
      </c>
      <c r="AA70" s="202">
        <v>930</v>
      </c>
      <c r="AB70" s="202"/>
      <c r="AC70" s="202"/>
      <c r="AD70" s="202"/>
      <c r="AE70" s="207">
        <v>635.46</v>
      </c>
      <c r="AF70" s="202">
        <v>635.46</v>
      </c>
      <c r="AG70" s="202">
        <f t="shared" si="10"/>
        <v>-294.53999999999996</v>
      </c>
      <c r="AI70" s="200">
        <v>930</v>
      </c>
      <c r="AJ70" s="200">
        <v>930</v>
      </c>
      <c r="AK70" s="200">
        <v>930</v>
      </c>
      <c r="AL70" s="200">
        <f>IFERROR(VLOOKUP(B70,[2]rptBudgetaryBudgetCrossOrganiza!$A$5236:$O$5854,13,FALSE),"0")</f>
        <v>139.44999999999999</v>
      </c>
      <c r="AM70" s="200"/>
      <c r="AN70" s="200"/>
      <c r="AO70" s="200"/>
      <c r="AP70" s="200"/>
      <c r="AQ70" s="200">
        <f t="shared" si="11"/>
        <v>-930</v>
      </c>
      <c r="AS70" s="169"/>
      <c r="AT70" s="169"/>
      <c r="AU70" s="169"/>
      <c r="AV70" s="169"/>
      <c r="AW70" s="169"/>
      <c r="AX70" s="169"/>
      <c r="AY70" s="169"/>
      <c r="AZ70" s="169">
        <f t="shared" si="12"/>
        <v>0</v>
      </c>
    </row>
    <row r="71" spans="1:52" hidden="1" x14ac:dyDescent="0.2">
      <c r="A71" s="220">
        <v>4</v>
      </c>
      <c r="B71" s="170" t="s">
        <v>330</v>
      </c>
      <c r="C71" s="221">
        <v>40</v>
      </c>
      <c r="D71" s="221">
        <v>70</v>
      </c>
      <c r="E71" s="214">
        <v>570</v>
      </c>
      <c r="F71" s="170" t="str">
        <f t="shared" si="7"/>
        <v>5100.06</v>
      </c>
      <c r="G71" s="170" t="s">
        <v>184</v>
      </c>
      <c r="H71" s="168">
        <v>10790</v>
      </c>
      <c r="I71" s="168">
        <v>10790</v>
      </c>
      <c r="J71" s="168"/>
      <c r="K71" s="168"/>
      <c r="L71" s="168"/>
      <c r="M71" s="194">
        <v>10790</v>
      </c>
      <c r="N71" s="168">
        <v>10790</v>
      </c>
      <c r="O71" s="168">
        <f t="shared" si="8"/>
        <v>0</v>
      </c>
      <c r="Q71" s="169">
        <v>12250</v>
      </c>
      <c r="R71" s="169">
        <v>12250</v>
      </c>
      <c r="S71" s="169"/>
      <c r="T71" s="169"/>
      <c r="U71" s="169"/>
      <c r="V71" s="169">
        <v>8721.76</v>
      </c>
      <c r="W71" s="169">
        <v>8721.76</v>
      </c>
      <c r="X71" s="169">
        <f t="shared" si="9"/>
        <v>-3528.24</v>
      </c>
      <c r="Z71" s="202">
        <v>15590</v>
      </c>
      <c r="AA71" s="202">
        <v>15590</v>
      </c>
      <c r="AB71" s="202"/>
      <c r="AC71" s="202"/>
      <c r="AD71" s="202"/>
      <c r="AE71" s="207">
        <v>5196.68</v>
      </c>
      <c r="AF71" s="202">
        <v>5196.68</v>
      </c>
      <c r="AG71" s="202">
        <f t="shared" si="10"/>
        <v>-10393.32</v>
      </c>
      <c r="AI71" s="200">
        <v>15590</v>
      </c>
      <c r="AJ71" s="200">
        <v>15590</v>
      </c>
      <c r="AK71" s="200">
        <v>15590</v>
      </c>
      <c r="AL71" s="200">
        <f>IFERROR(VLOOKUP(B71,[2]rptBudgetaryBudgetCrossOrganiza!$A$5236:$O$5854,13,FALSE),"0")</f>
        <v>0</v>
      </c>
      <c r="AM71" s="200"/>
      <c r="AN71" s="200"/>
      <c r="AO71" s="200"/>
      <c r="AP71" s="200"/>
      <c r="AQ71" s="200">
        <f t="shared" si="11"/>
        <v>-15590</v>
      </c>
      <c r="AS71" s="169"/>
      <c r="AT71" s="169"/>
      <c r="AU71" s="169"/>
      <c r="AV71" s="169"/>
      <c r="AW71" s="169"/>
      <c r="AX71" s="169"/>
      <c r="AY71" s="169"/>
      <c r="AZ71" s="169">
        <f t="shared" si="12"/>
        <v>0</v>
      </c>
    </row>
    <row r="72" spans="1:52" hidden="1" x14ac:dyDescent="0.2">
      <c r="A72" s="220">
        <v>4</v>
      </c>
      <c r="B72" s="170" t="s">
        <v>331</v>
      </c>
      <c r="C72" s="221">
        <v>40</v>
      </c>
      <c r="D72" s="221">
        <v>70</v>
      </c>
      <c r="E72" s="214">
        <v>570</v>
      </c>
      <c r="F72" s="170" t="str">
        <f t="shared" si="7"/>
        <v>5100.07</v>
      </c>
      <c r="G72" s="170" t="s">
        <v>185</v>
      </c>
      <c r="H72" s="168">
        <v>2685</v>
      </c>
      <c r="I72" s="168">
        <v>3035</v>
      </c>
      <c r="J72" s="168"/>
      <c r="K72" s="168"/>
      <c r="L72" s="168"/>
      <c r="M72" s="194">
        <v>2103.37</v>
      </c>
      <c r="N72" s="168">
        <v>2103.37</v>
      </c>
      <c r="O72" s="168">
        <f t="shared" si="8"/>
        <v>-931.63000000000011</v>
      </c>
      <c r="Q72" s="169">
        <v>3010</v>
      </c>
      <c r="R72" s="169">
        <v>3010</v>
      </c>
      <c r="S72" s="169"/>
      <c r="T72" s="169"/>
      <c r="U72" s="169"/>
      <c r="V72" s="169">
        <v>2273.9899999999998</v>
      </c>
      <c r="W72" s="169">
        <v>2273.9899999999998</v>
      </c>
      <c r="X72" s="169">
        <f t="shared" si="9"/>
        <v>-736.01000000000022</v>
      </c>
      <c r="Z72" s="202">
        <v>2930</v>
      </c>
      <c r="AA72" s="202">
        <v>2930</v>
      </c>
      <c r="AB72" s="202"/>
      <c r="AC72" s="202"/>
      <c r="AD72" s="202"/>
      <c r="AE72" s="207">
        <v>2178.85</v>
      </c>
      <c r="AF72" s="202">
        <v>2178.85</v>
      </c>
      <c r="AG72" s="202">
        <f t="shared" si="10"/>
        <v>-751.15000000000009</v>
      </c>
      <c r="AI72" s="200">
        <v>2930</v>
      </c>
      <c r="AJ72" s="200">
        <v>2930</v>
      </c>
      <c r="AK72" s="200">
        <v>2930</v>
      </c>
      <c r="AL72" s="200">
        <f>IFERROR(VLOOKUP(B72,[2]rptBudgetaryBudgetCrossOrganiza!$A$5236:$O$5854,13,FALSE),"0")</f>
        <v>450.65</v>
      </c>
      <c r="AM72" s="200"/>
      <c r="AN72" s="200"/>
      <c r="AO72" s="200"/>
      <c r="AP72" s="200"/>
      <c r="AQ72" s="200">
        <f t="shared" si="11"/>
        <v>-2930</v>
      </c>
      <c r="AS72" s="169"/>
      <c r="AT72" s="169"/>
      <c r="AU72" s="169"/>
      <c r="AV72" s="169"/>
      <c r="AW72" s="169"/>
      <c r="AX72" s="169"/>
      <c r="AY72" s="169"/>
      <c r="AZ72" s="169">
        <f t="shared" si="12"/>
        <v>0</v>
      </c>
    </row>
    <row r="73" spans="1:52" hidden="1" x14ac:dyDescent="0.2">
      <c r="A73" s="220">
        <v>4</v>
      </c>
      <c r="B73" s="170" t="s">
        <v>332</v>
      </c>
      <c r="C73" s="221">
        <v>40</v>
      </c>
      <c r="D73" s="221">
        <v>70</v>
      </c>
      <c r="E73" s="214">
        <v>570</v>
      </c>
      <c r="F73" s="170" t="str">
        <f t="shared" si="7"/>
        <v>5100.08</v>
      </c>
      <c r="G73" s="170" t="s">
        <v>186</v>
      </c>
      <c r="H73" s="168">
        <v>14131</v>
      </c>
      <c r="I73" s="168">
        <v>14998</v>
      </c>
      <c r="J73" s="168"/>
      <c r="K73" s="168"/>
      <c r="L73" s="168"/>
      <c r="M73" s="194">
        <v>19503.97</v>
      </c>
      <c r="N73" s="168">
        <v>19503.97</v>
      </c>
      <c r="O73" s="168">
        <f t="shared" si="8"/>
        <v>4505.9700000000012</v>
      </c>
      <c r="Q73" s="169">
        <v>22135</v>
      </c>
      <c r="R73" s="169">
        <v>22135</v>
      </c>
      <c r="S73" s="169"/>
      <c r="T73" s="169"/>
      <c r="U73" s="169"/>
      <c r="V73" s="169">
        <v>21066.6</v>
      </c>
      <c r="W73" s="169">
        <v>21066.6</v>
      </c>
      <c r="X73" s="169">
        <f t="shared" si="9"/>
        <v>-1068.4000000000015</v>
      </c>
      <c r="Z73" s="202">
        <v>22250</v>
      </c>
      <c r="AA73" s="202">
        <v>22250</v>
      </c>
      <c r="AB73" s="202"/>
      <c r="AC73" s="202"/>
      <c r="AD73" s="202"/>
      <c r="AE73" s="207">
        <v>21636.43</v>
      </c>
      <c r="AF73" s="202">
        <v>21636.43</v>
      </c>
      <c r="AG73" s="202">
        <f t="shared" si="10"/>
        <v>-613.56999999999971</v>
      </c>
      <c r="AI73" s="200">
        <v>22250</v>
      </c>
      <c r="AJ73" s="200">
        <v>22250</v>
      </c>
      <c r="AK73" s="200">
        <v>22250</v>
      </c>
      <c r="AL73" s="200">
        <f>IFERROR(VLOOKUP(B73,[2]rptBudgetaryBudgetCrossOrganiza!$A$5236:$O$5854,13,FALSE),"0")</f>
        <v>5272.08</v>
      </c>
      <c r="AM73" s="200"/>
      <c r="AN73" s="200"/>
      <c r="AO73" s="200"/>
      <c r="AP73" s="200"/>
      <c r="AQ73" s="200">
        <f t="shared" si="11"/>
        <v>-22250</v>
      </c>
      <c r="AS73" s="169"/>
      <c r="AT73" s="169"/>
      <c r="AU73" s="169"/>
      <c r="AV73" s="169"/>
      <c r="AW73" s="169"/>
      <c r="AX73" s="169"/>
      <c r="AY73" s="169"/>
      <c r="AZ73" s="169">
        <f t="shared" si="12"/>
        <v>0</v>
      </c>
    </row>
    <row r="74" spans="1:52" hidden="1" x14ac:dyDescent="0.2">
      <c r="A74" s="220">
        <v>4</v>
      </c>
      <c r="B74" s="170" t="s">
        <v>333</v>
      </c>
      <c r="C74" s="221">
        <v>40</v>
      </c>
      <c r="D74" s="221">
        <v>70</v>
      </c>
      <c r="E74" s="214">
        <v>570</v>
      </c>
      <c r="F74" s="170" t="str">
        <f t="shared" si="7"/>
        <v>5100.09</v>
      </c>
      <c r="G74" s="170" t="s">
        <v>187</v>
      </c>
      <c r="H74" s="168">
        <v>0</v>
      </c>
      <c r="I74" s="168">
        <v>0</v>
      </c>
      <c r="J74" s="168"/>
      <c r="K74" s="168"/>
      <c r="L74" s="168"/>
      <c r="M74" s="194">
        <v>1938.61</v>
      </c>
      <c r="N74" s="168">
        <v>1938.61</v>
      </c>
      <c r="O74" s="168">
        <f t="shared" si="8"/>
        <v>1938.61</v>
      </c>
      <c r="Q74" s="169">
        <v>0</v>
      </c>
      <c r="R74" s="169">
        <v>0</v>
      </c>
      <c r="S74" s="169"/>
      <c r="T74" s="169"/>
      <c r="U74" s="169"/>
      <c r="V74" s="169">
        <v>-642.83000000000004</v>
      </c>
      <c r="W74" s="169">
        <v>-642.83000000000004</v>
      </c>
      <c r="X74" s="169">
        <f t="shared" si="9"/>
        <v>-642.83000000000004</v>
      </c>
      <c r="Z74" s="202">
        <v>0</v>
      </c>
      <c r="AA74" s="202">
        <v>0</v>
      </c>
      <c r="AB74" s="202"/>
      <c r="AC74" s="202"/>
      <c r="AD74" s="202"/>
      <c r="AE74" s="207">
        <v>1464.62</v>
      </c>
      <c r="AF74" s="202">
        <v>1464.62</v>
      </c>
      <c r="AG74" s="202">
        <f t="shared" si="10"/>
        <v>1464.62</v>
      </c>
      <c r="AI74" s="200">
        <v>0</v>
      </c>
      <c r="AJ74" s="200">
        <v>0</v>
      </c>
      <c r="AK74" s="200"/>
      <c r="AL74" s="200">
        <f>IFERROR(VLOOKUP(B74,[2]rptBudgetaryBudgetCrossOrganiza!$A$5236:$O$5854,13,FALSE),"0")</f>
        <v>-211.72</v>
      </c>
      <c r="AM74" s="200"/>
      <c r="AN74" s="200"/>
      <c r="AO74" s="200"/>
      <c r="AP74" s="200"/>
      <c r="AQ74" s="200">
        <f t="shared" si="11"/>
        <v>0</v>
      </c>
      <c r="AS74" s="169"/>
      <c r="AT74" s="169"/>
      <c r="AU74" s="169"/>
      <c r="AV74" s="169"/>
      <c r="AW74" s="169"/>
      <c r="AX74" s="169"/>
      <c r="AY74" s="169"/>
      <c r="AZ74" s="169">
        <f t="shared" si="12"/>
        <v>0</v>
      </c>
    </row>
    <row r="75" spans="1:52" hidden="1" x14ac:dyDescent="0.2">
      <c r="A75" s="220">
        <v>4</v>
      </c>
      <c r="B75" s="170" t="s">
        <v>334</v>
      </c>
      <c r="C75" s="221">
        <v>40</v>
      </c>
      <c r="D75" s="221">
        <v>70</v>
      </c>
      <c r="E75" s="214">
        <v>570</v>
      </c>
      <c r="F75" s="170" t="str">
        <f t="shared" si="7"/>
        <v>5100.10</v>
      </c>
      <c r="G75" s="170" t="s">
        <v>188</v>
      </c>
      <c r="H75" s="168">
        <v>0</v>
      </c>
      <c r="I75" s="168">
        <v>0</v>
      </c>
      <c r="J75" s="168"/>
      <c r="K75" s="168"/>
      <c r="L75" s="168"/>
      <c r="M75" s="194">
        <v>0</v>
      </c>
      <c r="N75" s="168">
        <v>0</v>
      </c>
      <c r="O75" s="168">
        <f t="shared" si="8"/>
        <v>0</v>
      </c>
      <c r="Q75" s="169">
        <v>0</v>
      </c>
      <c r="R75" s="169">
        <v>0</v>
      </c>
      <c r="S75" s="169"/>
      <c r="T75" s="169"/>
      <c r="U75" s="169"/>
      <c r="V75" s="169">
        <v>0</v>
      </c>
      <c r="W75" s="169">
        <v>0</v>
      </c>
      <c r="X75" s="169">
        <f t="shared" si="9"/>
        <v>0</v>
      </c>
      <c r="Z75" s="202">
        <v>0</v>
      </c>
      <c r="AA75" s="202">
        <v>0</v>
      </c>
      <c r="AB75" s="202"/>
      <c r="AC75" s="202"/>
      <c r="AD75" s="202"/>
      <c r="AE75" s="207">
        <v>2775</v>
      </c>
      <c r="AF75" s="202">
        <v>2775</v>
      </c>
      <c r="AG75" s="202">
        <f t="shared" si="10"/>
        <v>2775</v>
      </c>
      <c r="AI75" s="200">
        <v>3056</v>
      </c>
      <c r="AJ75" s="200">
        <v>3056</v>
      </c>
      <c r="AK75" s="200">
        <v>3056</v>
      </c>
      <c r="AL75" s="200">
        <f>IFERROR(VLOOKUP(B75,[2]rptBudgetaryBudgetCrossOrganiza!$A$5236:$O$5854,13,FALSE),"0")</f>
        <v>0</v>
      </c>
      <c r="AM75" s="200"/>
      <c r="AN75" s="200"/>
      <c r="AO75" s="200"/>
      <c r="AP75" s="200"/>
      <c r="AQ75" s="200">
        <f t="shared" si="11"/>
        <v>-3056</v>
      </c>
      <c r="AS75" s="169"/>
      <c r="AT75" s="169"/>
      <c r="AU75" s="169"/>
      <c r="AV75" s="169"/>
      <c r="AW75" s="169"/>
      <c r="AX75" s="169"/>
      <c r="AY75" s="169"/>
      <c r="AZ75" s="169">
        <f t="shared" si="12"/>
        <v>0</v>
      </c>
    </row>
    <row r="76" spans="1:52" hidden="1" x14ac:dyDescent="0.2">
      <c r="A76" s="220">
        <v>4</v>
      </c>
      <c r="B76" s="170" t="s">
        <v>335</v>
      </c>
      <c r="C76" s="221">
        <v>40</v>
      </c>
      <c r="D76" s="221">
        <v>70</v>
      </c>
      <c r="E76" s="214">
        <v>570</v>
      </c>
      <c r="F76" s="170" t="str">
        <f t="shared" si="7"/>
        <v>5100.11</v>
      </c>
      <c r="G76" s="170" t="s">
        <v>189</v>
      </c>
      <c r="H76" s="168">
        <v>4875</v>
      </c>
      <c r="I76" s="168">
        <v>5305</v>
      </c>
      <c r="J76" s="168"/>
      <c r="K76" s="168"/>
      <c r="L76" s="168"/>
      <c r="M76" s="194">
        <v>4999.75</v>
      </c>
      <c r="N76" s="168">
        <v>4999.75</v>
      </c>
      <c r="O76" s="168">
        <f t="shared" si="8"/>
        <v>-305.25</v>
      </c>
      <c r="Q76" s="169">
        <v>6855</v>
      </c>
      <c r="R76" s="169">
        <v>6855</v>
      </c>
      <c r="S76" s="169"/>
      <c r="T76" s="169"/>
      <c r="U76" s="169"/>
      <c r="V76" s="169">
        <v>5650</v>
      </c>
      <c r="W76" s="169">
        <v>5650</v>
      </c>
      <c r="X76" s="169">
        <f t="shared" si="9"/>
        <v>-1205</v>
      </c>
      <c r="Z76" s="202">
        <v>8635</v>
      </c>
      <c r="AA76" s="202">
        <v>8635</v>
      </c>
      <c r="AB76" s="202"/>
      <c r="AC76" s="202"/>
      <c r="AD76" s="202"/>
      <c r="AE76" s="207">
        <v>6580.43</v>
      </c>
      <c r="AF76" s="202">
        <v>6580.43</v>
      </c>
      <c r="AG76" s="202">
        <f t="shared" si="10"/>
        <v>-2054.5699999999997</v>
      </c>
      <c r="AI76" s="200">
        <v>8635</v>
      </c>
      <c r="AJ76" s="200">
        <v>8635</v>
      </c>
      <c r="AK76" s="200">
        <v>8635</v>
      </c>
      <c r="AL76" s="200">
        <f>IFERROR(VLOOKUP(B76,[2]rptBudgetaryBudgetCrossOrganiza!$A$5236:$O$5854,13,FALSE),"0")</f>
        <v>1430.09</v>
      </c>
      <c r="AM76" s="200"/>
      <c r="AN76" s="200"/>
      <c r="AO76" s="200"/>
      <c r="AP76" s="200"/>
      <c r="AQ76" s="200">
        <f t="shared" si="11"/>
        <v>-8635</v>
      </c>
      <c r="AS76" s="169"/>
      <c r="AT76" s="169"/>
      <c r="AU76" s="169"/>
      <c r="AV76" s="169"/>
      <c r="AW76" s="169"/>
      <c r="AX76" s="169"/>
      <c r="AY76" s="169"/>
      <c r="AZ76" s="169">
        <f t="shared" si="12"/>
        <v>0</v>
      </c>
    </row>
    <row r="77" spans="1:52" hidden="1" x14ac:dyDescent="0.2">
      <c r="A77" s="220">
        <v>4</v>
      </c>
      <c r="B77" s="170" t="s">
        <v>336</v>
      </c>
      <c r="C77" s="221">
        <v>40</v>
      </c>
      <c r="D77" s="221">
        <v>70</v>
      </c>
      <c r="E77" s="214">
        <v>570</v>
      </c>
      <c r="F77" s="170" t="str">
        <f t="shared" si="7"/>
        <v>5100.12</v>
      </c>
      <c r="G77" s="170" t="s">
        <v>190</v>
      </c>
      <c r="H77" s="168">
        <v>800</v>
      </c>
      <c r="I77" s="168">
        <v>800</v>
      </c>
      <c r="J77" s="168"/>
      <c r="K77" s="168"/>
      <c r="L77" s="168"/>
      <c r="M77" s="194">
        <v>777.88</v>
      </c>
      <c r="N77" s="168">
        <v>777.88</v>
      </c>
      <c r="O77" s="168">
        <f t="shared" si="8"/>
        <v>-22.120000000000005</v>
      </c>
      <c r="Q77" s="169">
        <v>900</v>
      </c>
      <c r="R77" s="169">
        <v>900</v>
      </c>
      <c r="S77" s="169"/>
      <c r="T77" s="169"/>
      <c r="U77" s="169"/>
      <c r="V77" s="169">
        <v>853.7</v>
      </c>
      <c r="W77" s="169">
        <v>853.7</v>
      </c>
      <c r="X77" s="169">
        <f t="shared" si="9"/>
        <v>-46.299999999999955</v>
      </c>
      <c r="Z77" s="202">
        <v>900</v>
      </c>
      <c r="AA77" s="202">
        <v>900</v>
      </c>
      <c r="AB77" s="202"/>
      <c r="AC77" s="202"/>
      <c r="AD77" s="202"/>
      <c r="AE77" s="207">
        <v>725</v>
      </c>
      <c r="AF77" s="202">
        <v>725</v>
      </c>
      <c r="AG77" s="202">
        <f t="shared" si="10"/>
        <v>-175</v>
      </c>
      <c r="AI77" s="200">
        <v>900</v>
      </c>
      <c r="AJ77" s="200">
        <v>900</v>
      </c>
      <c r="AK77" s="200">
        <v>900</v>
      </c>
      <c r="AL77" s="200">
        <f>IFERROR(VLOOKUP(B77,[2]rptBudgetaryBudgetCrossOrganiza!$A$5236:$O$5854,13,FALSE),"0")</f>
        <v>170</v>
      </c>
      <c r="AM77" s="200"/>
      <c r="AN77" s="200"/>
      <c r="AO77" s="200"/>
      <c r="AP77" s="200"/>
      <c r="AQ77" s="200">
        <f t="shared" si="11"/>
        <v>-900</v>
      </c>
      <c r="AS77" s="169"/>
      <c r="AT77" s="169"/>
      <c r="AU77" s="169"/>
      <c r="AV77" s="169"/>
      <c r="AW77" s="169"/>
      <c r="AX77" s="169"/>
      <c r="AY77" s="169"/>
      <c r="AZ77" s="169">
        <f t="shared" si="12"/>
        <v>0</v>
      </c>
    </row>
    <row r="78" spans="1:52" hidden="1" x14ac:dyDescent="0.2">
      <c r="A78" s="220">
        <v>4</v>
      </c>
      <c r="B78" s="170" t="s">
        <v>337</v>
      </c>
      <c r="C78" s="221">
        <v>40</v>
      </c>
      <c r="D78" s="221">
        <v>70</v>
      </c>
      <c r="E78" s="214">
        <v>570</v>
      </c>
      <c r="F78" s="170" t="str">
        <f t="shared" si="7"/>
        <v>5100.15</v>
      </c>
      <c r="G78" s="170" t="s">
        <v>193</v>
      </c>
      <c r="H78" s="168">
        <v>534</v>
      </c>
      <c r="I78" s="168">
        <v>534</v>
      </c>
      <c r="J78" s="168"/>
      <c r="K78" s="168"/>
      <c r="L78" s="168"/>
      <c r="M78" s="194">
        <v>534</v>
      </c>
      <c r="N78" s="168">
        <v>534</v>
      </c>
      <c r="O78" s="168">
        <f t="shared" si="8"/>
        <v>0</v>
      </c>
      <c r="Q78" s="169">
        <v>535</v>
      </c>
      <c r="R78" s="169">
        <v>535</v>
      </c>
      <c r="S78" s="169"/>
      <c r="T78" s="169"/>
      <c r="U78" s="169"/>
      <c r="V78" s="169">
        <v>534</v>
      </c>
      <c r="W78" s="169">
        <v>534</v>
      </c>
      <c r="X78" s="169">
        <f t="shared" si="9"/>
        <v>-1</v>
      </c>
      <c r="Z78" s="202">
        <v>835</v>
      </c>
      <c r="AA78" s="202">
        <v>835</v>
      </c>
      <c r="AB78" s="202"/>
      <c r="AC78" s="202"/>
      <c r="AD78" s="202"/>
      <c r="AE78" s="207">
        <v>903.45</v>
      </c>
      <c r="AF78" s="202">
        <v>903.45</v>
      </c>
      <c r="AG78" s="202">
        <f t="shared" si="10"/>
        <v>68.450000000000045</v>
      </c>
      <c r="AI78" s="200">
        <v>835</v>
      </c>
      <c r="AJ78" s="200">
        <v>835</v>
      </c>
      <c r="AK78" s="200">
        <v>835</v>
      </c>
      <c r="AL78" s="200">
        <f>IFERROR(VLOOKUP(B78,[2]rptBudgetaryBudgetCrossOrganiza!$A$5236:$O$5854,13,FALSE),"0")</f>
        <v>146.88</v>
      </c>
      <c r="AM78" s="200"/>
      <c r="AN78" s="200"/>
      <c r="AO78" s="200"/>
      <c r="AP78" s="200"/>
      <c r="AQ78" s="200">
        <f t="shared" si="11"/>
        <v>-835</v>
      </c>
      <c r="AS78" s="169"/>
      <c r="AT78" s="169"/>
      <c r="AU78" s="169"/>
      <c r="AV78" s="169"/>
      <c r="AW78" s="169"/>
      <c r="AX78" s="169"/>
      <c r="AY78" s="169"/>
      <c r="AZ78" s="169">
        <f t="shared" si="12"/>
        <v>0</v>
      </c>
    </row>
    <row r="79" spans="1:52" hidden="1" x14ac:dyDescent="0.2">
      <c r="A79" s="220">
        <v>4</v>
      </c>
      <c r="B79" s="170" t="s">
        <v>338</v>
      </c>
      <c r="C79" s="221">
        <v>40</v>
      </c>
      <c r="D79" s="221">
        <v>70</v>
      </c>
      <c r="E79" s="214">
        <v>570</v>
      </c>
      <c r="F79" s="170" t="str">
        <f t="shared" si="7"/>
        <v>5100.17</v>
      </c>
      <c r="G79" s="170" t="s">
        <v>300</v>
      </c>
      <c r="H79" s="168">
        <v>21370</v>
      </c>
      <c r="I79" s="168">
        <v>21370</v>
      </c>
      <c r="J79" s="168"/>
      <c r="K79" s="168"/>
      <c r="L79" s="168"/>
      <c r="M79" s="194">
        <v>21033.9</v>
      </c>
      <c r="N79" s="168">
        <v>21033.9</v>
      </c>
      <c r="O79" s="168">
        <f t="shared" si="8"/>
        <v>-336.09999999999854</v>
      </c>
      <c r="Q79" s="169">
        <v>23395</v>
      </c>
      <c r="R79" s="169">
        <v>23395</v>
      </c>
      <c r="S79" s="169"/>
      <c r="T79" s="169"/>
      <c r="U79" s="169"/>
      <c r="V79" s="169">
        <v>20554.71</v>
      </c>
      <c r="W79" s="169">
        <v>20554.71</v>
      </c>
      <c r="X79" s="169">
        <f t="shared" si="9"/>
        <v>-2840.2900000000009</v>
      </c>
      <c r="Z79" s="202">
        <v>30980</v>
      </c>
      <c r="AA79" s="202">
        <v>30980</v>
      </c>
      <c r="AB79" s="202"/>
      <c r="AC79" s="202"/>
      <c r="AD79" s="202"/>
      <c r="AE79" s="207">
        <v>20613.5</v>
      </c>
      <c r="AF79" s="202">
        <v>20613.5</v>
      </c>
      <c r="AG79" s="202">
        <f t="shared" si="10"/>
        <v>-10366.5</v>
      </c>
      <c r="AI79" s="200">
        <v>30980</v>
      </c>
      <c r="AJ79" s="200">
        <v>30980</v>
      </c>
      <c r="AK79" s="200">
        <v>30980</v>
      </c>
      <c r="AL79" s="200">
        <f>IFERROR(VLOOKUP(B79,[2]rptBudgetaryBudgetCrossOrganiza!$A$5236:$O$5854,13,FALSE),"0")</f>
        <v>5167.6499999999996</v>
      </c>
      <c r="AM79" s="200"/>
      <c r="AN79" s="200"/>
      <c r="AO79" s="200"/>
      <c r="AP79" s="200"/>
      <c r="AQ79" s="200">
        <f t="shared" si="11"/>
        <v>-30980</v>
      </c>
      <c r="AS79" s="169"/>
      <c r="AT79" s="169"/>
      <c r="AU79" s="169"/>
      <c r="AV79" s="169"/>
      <c r="AW79" s="169"/>
      <c r="AX79" s="169"/>
      <c r="AY79" s="169"/>
      <c r="AZ79" s="169">
        <f t="shared" si="12"/>
        <v>0</v>
      </c>
    </row>
    <row r="80" spans="1:52" hidden="1" x14ac:dyDescent="0.2">
      <c r="A80" s="220">
        <v>5</v>
      </c>
      <c r="B80" s="170" t="s">
        <v>339</v>
      </c>
      <c r="C80" s="221">
        <v>40</v>
      </c>
      <c r="D80" s="221">
        <v>70</v>
      </c>
      <c r="E80" s="214">
        <v>570</v>
      </c>
      <c r="F80" s="170" t="str">
        <f t="shared" si="7"/>
        <v>6000.01</v>
      </c>
      <c r="G80" s="170" t="s">
        <v>195</v>
      </c>
      <c r="H80" s="168">
        <v>0</v>
      </c>
      <c r="I80" s="168">
        <v>0</v>
      </c>
      <c r="J80" s="168"/>
      <c r="K80" s="168"/>
      <c r="L80" s="168"/>
      <c r="M80" s="194">
        <v>0</v>
      </c>
      <c r="N80" s="168">
        <v>0</v>
      </c>
      <c r="O80" s="168">
        <f t="shared" si="8"/>
        <v>0</v>
      </c>
      <c r="Q80" s="169">
        <v>0</v>
      </c>
      <c r="R80" s="169">
        <v>0</v>
      </c>
      <c r="S80" s="169"/>
      <c r="T80" s="169"/>
      <c r="U80" s="169"/>
      <c r="V80" s="169">
        <v>0</v>
      </c>
      <c r="W80" s="169">
        <v>0</v>
      </c>
      <c r="X80" s="169">
        <f t="shared" si="9"/>
        <v>0</v>
      </c>
      <c r="Z80" s="202">
        <v>0</v>
      </c>
      <c r="AA80" s="202">
        <v>0</v>
      </c>
      <c r="AB80" s="202"/>
      <c r="AC80" s="202"/>
      <c r="AD80" s="202"/>
      <c r="AE80" s="207">
        <v>0</v>
      </c>
      <c r="AF80" s="202">
        <v>0</v>
      </c>
      <c r="AG80" s="202">
        <f t="shared" si="10"/>
        <v>0</v>
      </c>
      <c r="AI80" s="200">
        <v>4800</v>
      </c>
      <c r="AJ80" s="200">
        <v>4800</v>
      </c>
      <c r="AK80" s="200">
        <v>4800</v>
      </c>
      <c r="AL80" s="200">
        <f>IFERROR(VLOOKUP(B80,[2]rptBudgetaryBudgetCrossOrganiza!$A$5236:$O$5854,13,FALSE),"0")</f>
        <v>0</v>
      </c>
      <c r="AM80" s="200"/>
      <c r="AN80" s="200"/>
      <c r="AO80" s="200"/>
      <c r="AP80" s="200"/>
      <c r="AQ80" s="200">
        <f t="shared" si="11"/>
        <v>-4800</v>
      </c>
      <c r="AS80" s="169"/>
      <c r="AT80" s="169"/>
      <c r="AU80" s="169"/>
      <c r="AV80" s="169"/>
      <c r="AW80" s="169"/>
      <c r="AX80" s="169"/>
      <c r="AY80" s="169"/>
      <c r="AZ80" s="169">
        <f t="shared" si="12"/>
        <v>0</v>
      </c>
    </row>
    <row r="81" spans="1:52" hidden="1" x14ac:dyDescent="0.2">
      <c r="A81" s="220">
        <v>5</v>
      </c>
      <c r="B81" s="170" t="s">
        <v>340</v>
      </c>
      <c r="C81" s="221">
        <v>40</v>
      </c>
      <c r="D81" s="221">
        <v>70</v>
      </c>
      <c r="E81" s="214">
        <v>570</v>
      </c>
      <c r="F81" s="170" t="str">
        <f t="shared" si="7"/>
        <v>6000.09</v>
      </c>
      <c r="G81" s="170" t="s">
        <v>196</v>
      </c>
      <c r="H81" s="168">
        <v>3200</v>
      </c>
      <c r="I81" s="168">
        <v>3200</v>
      </c>
      <c r="J81" s="168"/>
      <c r="K81" s="168"/>
      <c r="L81" s="168"/>
      <c r="M81" s="194">
        <v>2463.31</v>
      </c>
      <c r="N81" s="168">
        <v>2463.31</v>
      </c>
      <c r="O81" s="168">
        <f t="shared" si="8"/>
        <v>-736.69</v>
      </c>
      <c r="Q81" s="169">
        <v>3200</v>
      </c>
      <c r="R81" s="169">
        <v>3200</v>
      </c>
      <c r="S81" s="169"/>
      <c r="T81" s="169"/>
      <c r="U81" s="169"/>
      <c r="V81" s="169">
        <v>3604.71</v>
      </c>
      <c r="W81" s="169">
        <v>3604.71</v>
      </c>
      <c r="X81" s="169">
        <f t="shared" si="9"/>
        <v>404.71000000000004</v>
      </c>
      <c r="Z81" s="202">
        <v>3700</v>
      </c>
      <c r="AA81" s="202">
        <v>3700</v>
      </c>
      <c r="AB81" s="202"/>
      <c r="AC81" s="202"/>
      <c r="AD81" s="202"/>
      <c r="AE81" s="207">
        <v>4460.01</v>
      </c>
      <c r="AF81" s="202">
        <v>4460.01</v>
      </c>
      <c r="AG81" s="202">
        <f t="shared" si="10"/>
        <v>760.01000000000022</v>
      </c>
      <c r="AI81" s="200">
        <v>3700</v>
      </c>
      <c r="AJ81" s="200">
        <v>3700</v>
      </c>
      <c r="AK81" s="200">
        <v>3700</v>
      </c>
      <c r="AL81" s="200">
        <f>IFERROR(VLOOKUP(B81,[2]rptBudgetaryBudgetCrossOrganiza!$A$5236:$O$5854,13,FALSE),"0")</f>
        <v>468.82</v>
      </c>
      <c r="AM81" s="200"/>
      <c r="AN81" s="200"/>
      <c r="AO81" s="200"/>
      <c r="AP81" s="200"/>
      <c r="AQ81" s="200">
        <f t="shared" si="11"/>
        <v>-3700</v>
      </c>
      <c r="AS81" s="169"/>
      <c r="AT81" s="169"/>
      <c r="AU81" s="169"/>
      <c r="AV81" s="169"/>
      <c r="AW81" s="169"/>
      <c r="AX81" s="169"/>
      <c r="AY81" s="169"/>
      <c r="AZ81" s="169">
        <f t="shared" si="12"/>
        <v>0</v>
      </c>
    </row>
    <row r="82" spans="1:52" hidden="1" x14ac:dyDescent="0.2">
      <c r="A82" s="220">
        <v>5</v>
      </c>
      <c r="B82" s="170" t="s">
        <v>341</v>
      </c>
      <c r="C82" s="221">
        <v>40</v>
      </c>
      <c r="D82" s="221">
        <v>70</v>
      </c>
      <c r="E82" s="214">
        <v>570</v>
      </c>
      <c r="F82" s="170" t="str">
        <f t="shared" si="7"/>
        <v>6000.12</v>
      </c>
      <c r="G82" s="170" t="s">
        <v>197</v>
      </c>
      <c r="H82" s="168">
        <v>60000</v>
      </c>
      <c r="I82" s="168">
        <v>60000</v>
      </c>
      <c r="J82" s="168"/>
      <c r="K82" s="168"/>
      <c r="L82" s="168"/>
      <c r="M82" s="194">
        <v>53470</v>
      </c>
      <c r="N82" s="168">
        <v>53470</v>
      </c>
      <c r="O82" s="168">
        <f t="shared" si="8"/>
        <v>-6530</v>
      </c>
      <c r="Q82" s="169">
        <v>60000</v>
      </c>
      <c r="R82" s="169">
        <v>60000</v>
      </c>
      <c r="S82" s="169"/>
      <c r="T82" s="169"/>
      <c r="U82" s="169"/>
      <c r="V82" s="169">
        <v>53724</v>
      </c>
      <c r="W82" s="169">
        <v>53724</v>
      </c>
      <c r="X82" s="169">
        <f t="shared" si="9"/>
        <v>-6276</v>
      </c>
      <c r="Z82" s="202">
        <v>60000</v>
      </c>
      <c r="AA82" s="202">
        <v>60000</v>
      </c>
      <c r="AB82" s="202"/>
      <c r="AC82" s="202"/>
      <c r="AD82" s="202"/>
      <c r="AE82" s="207">
        <v>53724</v>
      </c>
      <c r="AF82" s="202">
        <v>53724</v>
      </c>
      <c r="AG82" s="202">
        <f t="shared" si="10"/>
        <v>-6276</v>
      </c>
      <c r="AI82" s="200">
        <v>60000</v>
      </c>
      <c r="AJ82" s="200">
        <v>60000</v>
      </c>
      <c r="AK82" s="200">
        <v>60000</v>
      </c>
      <c r="AL82" s="200">
        <f>IFERROR(VLOOKUP(B82,[2]rptBudgetaryBudgetCrossOrganiza!$A$5236:$O$5854,13,FALSE),"0")</f>
        <v>13833.93</v>
      </c>
      <c r="AM82" s="200"/>
      <c r="AN82" s="200"/>
      <c r="AO82" s="200"/>
      <c r="AP82" s="200"/>
      <c r="AQ82" s="200">
        <f t="shared" si="11"/>
        <v>-60000</v>
      </c>
      <c r="AS82" s="169"/>
      <c r="AT82" s="169"/>
      <c r="AU82" s="169"/>
      <c r="AV82" s="169"/>
      <c r="AW82" s="169"/>
      <c r="AX82" s="169"/>
      <c r="AY82" s="169"/>
      <c r="AZ82" s="169">
        <f t="shared" si="12"/>
        <v>0</v>
      </c>
    </row>
    <row r="83" spans="1:52" hidden="1" x14ac:dyDescent="0.2">
      <c r="A83" s="220">
        <v>6</v>
      </c>
      <c r="B83" s="170" t="s">
        <v>342</v>
      </c>
      <c r="C83" s="221">
        <v>40</v>
      </c>
      <c r="D83" s="221">
        <v>70</v>
      </c>
      <c r="E83" s="214">
        <v>570</v>
      </c>
      <c r="F83" s="170" t="str">
        <f t="shared" ref="F83:F146" si="13">RIGHT(B83,7)</f>
        <v>6100.01</v>
      </c>
      <c r="G83" s="170" t="s">
        <v>198</v>
      </c>
      <c r="H83" s="168">
        <v>0</v>
      </c>
      <c r="I83" s="168">
        <v>0</v>
      </c>
      <c r="J83" s="168"/>
      <c r="K83" s="168"/>
      <c r="L83" s="168"/>
      <c r="M83" s="194">
        <v>0</v>
      </c>
      <c r="N83" s="168">
        <v>0</v>
      </c>
      <c r="O83" s="168">
        <f t="shared" si="8"/>
        <v>0</v>
      </c>
      <c r="Q83" s="169">
        <v>0</v>
      </c>
      <c r="R83" s="169">
        <v>0</v>
      </c>
      <c r="S83" s="169"/>
      <c r="T83" s="169"/>
      <c r="U83" s="169"/>
      <c r="V83" s="169">
        <v>0</v>
      </c>
      <c r="W83" s="169">
        <v>0</v>
      </c>
      <c r="X83" s="169">
        <f t="shared" si="9"/>
        <v>0</v>
      </c>
      <c r="Z83" s="202">
        <v>0</v>
      </c>
      <c r="AA83" s="202">
        <v>0</v>
      </c>
      <c r="AB83" s="202"/>
      <c r="AC83" s="202"/>
      <c r="AD83" s="202"/>
      <c r="AE83" s="207">
        <v>0</v>
      </c>
      <c r="AF83" s="202">
        <v>0</v>
      </c>
      <c r="AG83" s="202">
        <f t="shared" si="10"/>
        <v>0</v>
      </c>
      <c r="AI83" s="200">
        <v>0</v>
      </c>
      <c r="AJ83" s="200">
        <v>0</v>
      </c>
      <c r="AK83" s="200"/>
      <c r="AL83" s="200">
        <f>IFERROR(VLOOKUP(B83,[2]rptBudgetaryBudgetCrossOrganiza!$A$5236:$O$5854,13,FALSE),"0")</f>
        <v>0</v>
      </c>
      <c r="AM83" s="200"/>
      <c r="AN83" s="200"/>
      <c r="AO83" s="200"/>
      <c r="AP83" s="200"/>
      <c r="AQ83" s="200">
        <f t="shared" si="11"/>
        <v>0</v>
      </c>
      <c r="AS83" s="169"/>
      <c r="AT83" s="169"/>
      <c r="AU83" s="169"/>
      <c r="AV83" s="169"/>
      <c r="AW83" s="169"/>
      <c r="AX83" s="169"/>
      <c r="AY83" s="169"/>
      <c r="AZ83" s="169">
        <f t="shared" si="12"/>
        <v>0</v>
      </c>
    </row>
    <row r="84" spans="1:52" hidden="1" x14ac:dyDescent="0.2">
      <c r="A84" s="220">
        <v>6</v>
      </c>
      <c r="B84" s="170" t="s">
        <v>343</v>
      </c>
      <c r="C84" s="221">
        <v>40</v>
      </c>
      <c r="D84" s="221">
        <v>70</v>
      </c>
      <c r="E84" s="214">
        <v>570</v>
      </c>
      <c r="F84" s="170" t="str">
        <f t="shared" si="13"/>
        <v>6200.02</v>
      </c>
      <c r="G84" s="170" t="s">
        <v>199</v>
      </c>
      <c r="H84" s="168">
        <v>15000</v>
      </c>
      <c r="I84" s="168">
        <v>15000</v>
      </c>
      <c r="J84" s="168"/>
      <c r="K84" s="168"/>
      <c r="L84" s="168"/>
      <c r="M84" s="194">
        <v>19590.18</v>
      </c>
      <c r="N84" s="168">
        <v>19590.18</v>
      </c>
      <c r="O84" s="168">
        <f t="shared" si="8"/>
        <v>4590.18</v>
      </c>
      <c r="Q84" s="169">
        <v>44990</v>
      </c>
      <c r="R84" s="169">
        <v>43490</v>
      </c>
      <c r="S84" s="169"/>
      <c r="T84" s="169"/>
      <c r="U84" s="169"/>
      <c r="V84" s="169">
        <v>24662.79</v>
      </c>
      <c r="W84" s="169">
        <v>24662.79</v>
      </c>
      <c r="X84" s="169">
        <f t="shared" si="9"/>
        <v>-18827.21</v>
      </c>
      <c r="Z84" s="202">
        <v>25000</v>
      </c>
      <c r="AA84" s="202">
        <v>25000</v>
      </c>
      <c r="AB84" s="202"/>
      <c r="AC84" s="202"/>
      <c r="AD84" s="202"/>
      <c r="AE84" s="207">
        <v>8445.3799999999992</v>
      </c>
      <c r="AF84" s="202">
        <v>8445.3799999999992</v>
      </c>
      <c r="AG84" s="202">
        <f t="shared" si="10"/>
        <v>-16554.620000000003</v>
      </c>
      <c r="AI84" s="200">
        <v>26600</v>
      </c>
      <c r="AJ84" s="200">
        <v>26600</v>
      </c>
      <c r="AK84" s="200">
        <v>26600</v>
      </c>
      <c r="AL84" s="200">
        <f>IFERROR(VLOOKUP(B84,[2]rptBudgetaryBudgetCrossOrganiza!$A$5236:$O$5854,13,FALSE),"0")</f>
        <v>3604.66</v>
      </c>
      <c r="AM84" s="200"/>
      <c r="AN84" s="200"/>
      <c r="AO84" s="200"/>
      <c r="AP84" s="200"/>
      <c r="AQ84" s="200">
        <f t="shared" si="11"/>
        <v>-26600</v>
      </c>
      <c r="AS84" s="169"/>
      <c r="AT84" s="169"/>
      <c r="AU84" s="169"/>
      <c r="AV84" s="169"/>
      <c r="AW84" s="169"/>
      <c r="AX84" s="169"/>
      <c r="AY84" s="169"/>
      <c r="AZ84" s="169">
        <f t="shared" si="12"/>
        <v>0</v>
      </c>
    </row>
    <row r="85" spans="1:52" hidden="1" x14ac:dyDescent="0.2">
      <c r="A85" s="220">
        <v>6</v>
      </c>
      <c r="B85" s="170" t="s">
        <v>344</v>
      </c>
      <c r="C85" s="221">
        <v>40</v>
      </c>
      <c r="D85" s="221">
        <v>70</v>
      </c>
      <c r="E85" s="214">
        <v>570</v>
      </c>
      <c r="F85" s="170" t="str">
        <f t="shared" si="13"/>
        <v>6200.03</v>
      </c>
      <c r="G85" s="170" t="s">
        <v>200</v>
      </c>
      <c r="H85" s="168">
        <v>200</v>
      </c>
      <c r="I85" s="168">
        <v>200</v>
      </c>
      <c r="J85" s="168"/>
      <c r="K85" s="168"/>
      <c r="L85" s="168"/>
      <c r="M85" s="194">
        <v>262.10000000000002</v>
      </c>
      <c r="N85" s="168">
        <v>262.10000000000002</v>
      </c>
      <c r="O85" s="168">
        <f t="shared" si="8"/>
        <v>62.100000000000023</v>
      </c>
      <c r="Q85" s="169">
        <v>250</v>
      </c>
      <c r="R85" s="169">
        <v>250</v>
      </c>
      <c r="S85" s="169"/>
      <c r="T85" s="169"/>
      <c r="U85" s="169"/>
      <c r="V85" s="169">
        <v>135.74</v>
      </c>
      <c r="W85" s="169">
        <v>135.74</v>
      </c>
      <c r="X85" s="169">
        <f t="shared" si="9"/>
        <v>-114.25999999999999</v>
      </c>
      <c r="Z85" s="202">
        <v>300</v>
      </c>
      <c r="AA85" s="202">
        <v>300</v>
      </c>
      <c r="AB85" s="202"/>
      <c r="AC85" s="202"/>
      <c r="AD85" s="202"/>
      <c r="AE85" s="207">
        <v>300</v>
      </c>
      <c r="AF85" s="202">
        <v>300</v>
      </c>
      <c r="AG85" s="202">
        <f t="shared" si="10"/>
        <v>0</v>
      </c>
      <c r="AI85" s="200">
        <v>300</v>
      </c>
      <c r="AJ85" s="200">
        <v>300</v>
      </c>
      <c r="AK85" s="200">
        <v>300</v>
      </c>
      <c r="AL85" s="200">
        <f>IFERROR(VLOOKUP(B85,[2]rptBudgetaryBudgetCrossOrganiza!$A$5236:$O$5854,13,FALSE),"0")</f>
        <v>0</v>
      </c>
      <c r="AM85" s="200"/>
      <c r="AN85" s="200"/>
      <c r="AO85" s="200"/>
      <c r="AP85" s="200"/>
      <c r="AQ85" s="200">
        <f t="shared" si="11"/>
        <v>-300</v>
      </c>
      <c r="AS85" s="169"/>
      <c r="AT85" s="169"/>
      <c r="AU85" s="169"/>
      <c r="AV85" s="169"/>
      <c r="AW85" s="169"/>
      <c r="AX85" s="169"/>
      <c r="AY85" s="169"/>
      <c r="AZ85" s="169">
        <f t="shared" si="12"/>
        <v>0</v>
      </c>
    </row>
    <row r="86" spans="1:52" hidden="1" collapsed="1" x14ac:dyDescent="0.2">
      <c r="A86" s="220">
        <v>6</v>
      </c>
      <c r="B86" s="170" t="s">
        <v>345</v>
      </c>
      <c r="C86" s="221">
        <v>40</v>
      </c>
      <c r="D86" s="221">
        <v>70</v>
      </c>
      <c r="E86" s="214">
        <v>570</v>
      </c>
      <c r="F86" s="170" t="str">
        <f t="shared" si="13"/>
        <v>6200.05</v>
      </c>
      <c r="G86" s="170" t="s">
        <v>201</v>
      </c>
      <c r="H86" s="168">
        <v>21800</v>
      </c>
      <c r="I86" s="168">
        <v>21800</v>
      </c>
      <c r="J86" s="168"/>
      <c r="K86" s="168"/>
      <c r="L86" s="168"/>
      <c r="M86" s="194">
        <v>24330.75</v>
      </c>
      <c r="N86" s="168">
        <v>24330.75</v>
      </c>
      <c r="O86" s="168">
        <f t="shared" si="8"/>
        <v>2530.75</v>
      </c>
      <c r="Q86" s="169">
        <v>23000</v>
      </c>
      <c r="R86" s="169">
        <v>23000</v>
      </c>
      <c r="S86" s="169"/>
      <c r="T86" s="169"/>
      <c r="U86" s="169"/>
      <c r="V86" s="169">
        <v>27961.77</v>
      </c>
      <c r="W86" s="169">
        <v>27961.77</v>
      </c>
      <c r="X86" s="169">
        <f t="shared" si="9"/>
        <v>4961.7700000000004</v>
      </c>
      <c r="Z86" s="202">
        <v>20500</v>
      </c>
      <c r="AA86" s="202">
        <v>20500</v>
      </c>
      <c r="AB86" s="202"/>
      <c r="AC86" s="202"/>
      <c r="AD86" s="202"/>
      <c r="AE86" s="207">
        <v>24850.17</v>
      </c>
      <c r="AF86" s="202">
        <v>24850.17</v>
      </c>
      <c r="AG86" s="202">
        <f t="shared" si="10"/>
        <v>4350.1699999999983</v>
      </c>
      <c r="AI86" s="200">
        <v>30500</v>
      </c>
      <c r="AJ86" s="200">
        <v>30500</v>
      </c>
      <c r="AK86" s="200">
        <v>30500</v>
      </c>
      <c r="AL86" s="200">
        <f>IFERROR(VLOOKUP(B86,[2]rptBudgetaryBudgetCrossOrganiza!$A$5236:$O$5854,13,FALSE),"0")</f>
        <v>0</v>
      </c>
      <c r="AM86" s="200"/>
      <c r="AN86" s="200"/>
      <c r="AO86" s="200"/>
      <c r="AP86" s="200"/>
      <c r="AQ86" s="200">
        <f t="shared" si="11"/>
        <v>-30500</v>
      </c>
      <c r="AS86" s="169"/>
      <c r="AT86" s="169"/>
      <c r="AU86" s="169"/>
      <c r="AV86" s="169"/>
      <c r="AW86" s="169"/>
      <c r="AX86" s="169"/>
      <c r="AY86" s="169"/>
      <c r="AZ86" s="169">
        <f t="shared" si="12"/>
        <v>0</v>
      </c>
    </row>
    <row r="87" spans="1:52" hidden="1" x14ac:dyDescent="0.2">
      <c r="A87" s="220">
        <v>6</v>
      </c>
      <c r="B87" s="170" t="s">
        <v>346</v>
      </c>
      <c r="C87" s="221">
        <v>40</v>
      </c>
      <c r="D87" s="221">
        <v>70</v>
      </c>
      <c r="E87" s="214">
        <v>570</v>
      </c>
      <c r="F87" s="170" t="str">
        <f t="shared" si="13"/>
        <v>6200.06</v>
      </c>
      <c r="G87" s="170" t="s">
        <v>374</v>
      </c>
      <c r="H87" s="168">
        <v>1000</v>
      </c>
      <c r="I87" s="168">
        <v>1000</v>
      </c>
      <c r="J87" s="168"/>
      <c r="K87" s="168"/>
      <c r="L87" s="168"/>
      <c r="M87" s="194">
        <v>1656.26</v>
      </c>
      <c r="N87" s="168">
        <v>1656.26</v>
      </c>
      <c r="O87" s="168">
        <f t="shared" si="8"/>
        <v>656.26</v>
      </c>
      <c r="Q87" s="169">
        <v>1600</v>
      </c>
      <c r="R87" s="169">
        <v>1600</v>
      </c>
      <c r="S87" s="169"/>
      <c r="T87" s="169"/>
      <c r="U87" s="169"/>
      <c r="V87" s="169">
        <v>820.99</v>
      </c>
      <c r="W87" s="169">
        <v>820.99</v>
      </c>
      <c r="X87" s="169">
        <f t="shared" si="9"/>
        <v>-779.01</v>
      </c>
      <c r="Z87" s="202">
        <v>2000</v>
      </c>
      <c r="AA87" s="202">
        <v>2000</v>
      </c>
      <c r="AB87" s="202"/>
      <c r="AC87" s="202"/>
      <c r="AD87" s="202"/>
      <c r="AE87" s="207">
        <v>1581.29</v>
      </c>
      <c r="AF87" s="202">
        <v>1581.29</v>
      </c>
      <c r="AG87" s="202">
        <f t="shared" si="10"/>
        <v>-418.71000000000004</v>
      </c>
      <c r="AI87" s="200">
        <v>2000</v>
      </c>
      <c r="AJ87" s="200">
        <v>2000</v>
      </c>
      <c r="AK87" s="200">
        <v>2000</v>
      </c>
      <c r="AL87" s="200">
        <f>IFERROR(VLOOKUP(B87,[2]rptBudgetaryBudgetCrossOrganiza!$A$5236:$O$5854,13,FALSE),"0")</f>
        <v>231.98</v>
      </c>
      <c r="AM87" s="200"/>
      <c r="AN87" s="200"/>
      <c r="AO87" s="200"/>
      <c r="AP87" s="200"/>
      <c r="AQ87" s="200">
        <f t="shared" si="11"/>
        <v>-2000</v>
      </c>
      <c r="AS87" s="169"/>
      <c r="AT87" s="169"/>
      <c r="AU87" s="169"/>
      <c r="AV87" s="169"/>
      <c r="AW87" s="169"/>
      <c r="AX87" s="169"/>
      <c r="AY87" s="169"/>
      <c r="AZ87" s="169">
        <f t="shared" si="12"/>
        <v>0</v>
      </c>
    </row>
    <row r="88" spans="1:52" hidden="1" x14ac:dyDescent="0.2">
      <c r="A88" s="220">
        <v>6</v>
      </c>
      <c r="B88" s="170" t="s">
        <v>347</v>
      </c>
      <c r="C88" s="221">
        <v>40</v>
      </c>
      <c r="D88" s="221">
        <v>70</v>
      </c>
      <c r="E88" s="214">
        <v>570</v>
      </c>
      <c r="F88" s="170" t="str">
        <f t="shared" si="13"/>
        <v>6200.07</v>
      </c>
      <c r="G88" s="170" t="s">
        <v>375</v>
      </c>
      <c r="H88" s="168">
        <v>0</v>
      </c>
      <c r="I88" s="168">
        <v>0</v>
      </c>
      <c r="J88" s="168"/>
      <c r="K88" s="168"/>
      <c r="L88" s="168"/>
      <c r="M88" s="194">
        <v>0</v>
      </c>
      <c r="N88" s="168">
        <v>0</v>
      </c>
      <c r="O88" s="168">
        <f t="shared" si="8"/>
        <v>0</v>
      </c>
      <c r="Q88" s="169">
        <v>0</v>
      </c>
      <c r="R88" s="169">
        <v>0</v>
      </c>
      <c r="S88" s="169"/>
      <c r="T88" s="169"/>
      <c r="U88" s="169"/>
      <c r="V88" s="169">
        <v>0</v>
      </c>
      <c r="W88" s="169">
        <v>0</v>
      </c>
      <c r="X88" s="169">
        <f t="shared" si="9"/>
        <v>0</v>
      </c>
      <c r="Z88" s="202">
        <v>0</v>
      </c>
      <c r="AA88" s="202">
        <v>0</v>
      </c>
      <c r="AB88" s="202"/>
      <c r="AC88" s="202"/>
      <c r="AD88" s="202"/>
      <c r="AE88" s="207">
        <v>0</v>
      </c>
      <c r="AF88" s="202">
        <v>0</v>
      </c>
      <c r="AG88" s="202">
        <f t="shared" si="10"/>
        <v>0</v>
      </c>
      <c r="AI88" s="200">
        <v>0</v>
      </c>
      <c r="AJ88" s="200">
        <v>0</v>
      </c>
      <c r="AK88" s="200"/>
      <c r="AL88" s="200">
        <f>IFERROR(VLOOKUP(B88,[2]rptBudgetaryBudgetCrossOrganiza!$A$5236:$O$5854,13,FALSE),"0")</f>
        <v>0</v>
      </c>
      <c r="AM88" s="200"/>
      <c r="AN88" s="200"/>
      <c r="AO88" s="200"/>
      <c r="AP88" s="200"/>
      <c r="AQ88" s="200">
        <f t="shared" si="11"/>
        <v>0</v>
      </c>
      <c r="AS88" s="169"/>
      <c r="AT88" s="169"/>
      <c r="AU88" s="169"/>
      <c r="AV88" s="169"/>
      <c r="AW88" s="169"/>
      <c r="AX88" s="169"/>
      <c r="AY88" s="169"/>
      <c r="AZ88" s="169">
        <f t="shared" si="12"/>
        <v>0</v>
      </c>
    </row>
    <row r="89" spans="1:52" hidden="1" x14ac:dyDescent="0.2">
      <c r="A89" s="220">
        <v>6</v>
      </c>
      <c r="B89" s="170" t="s">
        <v>348</v>
      </c>
      <c r="C89" s="221">
        <v>40</v>
      </c>
      <c r="D89" s="221">
        <v>70</v>
      </c>
      <c r="E89" s="214">
        <v>570</v>
      </c>
      <c r="F89" s="170" t="str">
        <f t="shared" si="13"/>
        <v>6200.08</v>
      </c>
      <c r="G89" s="170" t="s">
        <v>202</v>
      </c>
      <c r="H89" s="168">
        <v>0</v>
      </c>
      <c r="I89" s="168">
        <v>0</v>
      </c>
      <c r="J89" s="168"/>
      <c r="K89" s="168"/>
      <c r="L89" s="168"/>
      <c r="M89" s="194">
        <v>0</v>
      </c>
      <c r="N89" s="168">
        <v>0</v>
      </c>
      <c r="O89" s="168">
        <f t="shared" si="8"/>
        <v>0</v>
      </c>
      <c r="Q89" s="169">
        <v>0</v>
      </c>
      <c r="R89" s="169">
        <v>0</v>
      </c>
      <c r="S89" s="169"/>
      <c r="T89" s="169"/>
      <c r="U89" s="169"/>
      <c r="V89" s="169">
        <v>0</v>
      </c>
      <c r="W89" s="169">
        <v>0</v>
      </c>
      <c r="X89" s="169">
        <f t="shared" si="9"/>
        <v>0</v>
      </c>
      <c r="Z89" s="202">
        <v>0</v>
      </c>
      <c r="AA89" s="202">
        <v>0</v>
      </c>
      <c r="AB89" s="202"/>
      <c r="AC89" s="202"/>
      <c r="AD89" s="202"/>
      <c r="AE89" s="207">
        <v>0</v>
      </c>
      <c r="AF89" s="202">
        <v>0</v>
      </c>
      <c r="AG89" s="202">
        <f t="shared" si="10"/>
        <v>0</v>
      </c>
      <c r="AI89" s="200">
        <v>0</v>
      </c>
      <c r="AJ89" s="200">
        <v>0</v>
      </c>
      <c r="AK89" s="200"/>
      <c r="AL89" s="200">
        <f>IFERROR(VLOOKUP(B89,[2]rptBudgetaryBudgetCrossOrganiza!$A$5236:$O$5854,13,FALSE),"0")</f>
        <v>0</v>
      </c>
      <c r="AM89" s="200"/>
      <c r="AN89" s="200"/>
      <c r="AO89" s="200"/>
      <c r="AP89" s="200"/>
      <c r="AQ89" s="200">
        <f t="shared" si="11"/>
        <v>0</v>
      </c>
      <c r="AS89" s="169"/>
      <c r="AT89" s="169"/>
      <c r="AU89" s="169"/>
      <c r="AV89" s="169"/>
      <c r="AW89" s="169"/>
      <c r="AX89" s="169"/>
      <c r="AY89" s="169"/>
      <c r="AZ89" s="169">
        <f t="shared" si="12"/>
        <v>0</v>
      </c>
    </row>
    <row r="90" spans="1:52" hidden="1" x14ac:dyDescent="0.2">
      <c r="A90" s="220">
        <v>6</v>
      </c>
      <c r="B90" s="170" t="s">
        <v>349</v>
      </c>
      <c r="C90" s="221">
        <v>40</v>
      </c>
      <c r="D90" s="221">
        <v>70</v>
      </c>
      <c r="E90" s="214">
        <v>570</v>
      </c>
      <c r="F90" s="170" t="str">
        <f t="shared" si="13"/>
        <v>6280.01</v>
      </c>
      <c r="G90" s="170" t="s">
        <v>376</v>
      </c>
      <c r="H90" s="168">
        <v>0</v>
      </c>
      <c r="I90" s="168">
        <v>0</v>
      </c>
      <c r="J90" s="168"/>
      <c r="K90" s="168"/>
      <c r="L90" s="168"/>
      <c r="M90" s="194">
        <v>0</v>
      </c>
      <c r="N90" s="168">
        <v>0</v>
      </c>
      <c r="O90" s="168">
        <f t="shared" si="8"/>
        <v>0</v>
      </c>
      <c r="Q90" s="169">
        <v>0</v>
      </c>
      <c r="R90" s="169">
        <v>0</v>
      </c>
      <c r="S90" s="169"/>
      <c r="T90" s="169"/>
      <c r="U90" s="169"/>
      <c r="V90" s="169">
        <v>0</v>
      </c>
      <c r="W90" s="169">
        <v>0</v>
      </c>
      <c r="X90" s="169">
        <f t="shared" si="9"/>
        <v>0</v>
      </c>
      <c r="Z90" s="202">
        <v>0</v>
      </c>
      <c r="AA90" s="202">
        <v>0</v>
      </c>
      <c r="AB90" s="202"/>
      <c r="AC90" s="202"/>
      <c r="AD90" s="202"/>
      <c r="AE90" s="207">
        <v>0</v>
      </c>
      <c r="AF90" s="202">
        <v>0</v>
      </c>
      <c r="AG90" s="202">
        <f t="shared" si="10"/>
        <v>0</v>
      </c>
      <c r="AI90" s="200">
        <v>0</v>
      </c>
      <c r="AJ90" s="200">
        <v>0</v>
      </c>
      <c r="AK90" s="200"/>
      <c r="AL90" s="200">
        <f>IFERROR(VLOOKUP(B90,[2]rptBudgetaryBudgetCrossOrganiza!$A$5236:$O$5854,13,FALSE),"0")</f>
        <v>0</v>
      </c>
      <c r="AM90" s="200"/>
      <c r="AN90" s="200"/>
      <c r="AO90" s="200"/>
      <c r="AP90" s="200"/>
      <c r="AQ90" s="200">
        <f t="shared" si="11"/>
        <v>0</v>
      </c>
      <c r="AS90" s="169"/>
      <c r="AT90" s="169"/>
      <c r="AU90" s="169"/>
      <c r="AV90" s="169"/>
      <c r="AW90" s="169"/>
      <c r="AX90" s="169"/>
      <c r="AY90" s="169"/>
      <c r="AZ90" s="169">
        <f t="shared" si="12"/>
        <v>0</v>
      </c>
    </row>
    <row r="91" spans="1:52" hidden="1" x14ac:dyDescent="0.2">
      <c r="A91" s="220">
        <v>6</v>
      </c>
      <c r="B91" s="170" t="s">
        <v>350</v>
      </c>
      <c r="C91" s="221">
        <v>40</v>
      </c>
      <c r="D91" s="221">
        <v>70</v>
      </c>
      <c r="E91" s="214">
        <v>570</v>
      </c>
      <c r="F91" s="170" t="str">
        <f t="shared" si="13"/>
        <v>6280.02</v>
      </c>
      <c r="G91" s="170" t="s">
        <v>377</v>
      </c>
      <c r="H91" s="168">
        <v>0</v>
      </c>
      <c r="I91" s="168">
        <v>0</v>
      </c>
      <c r="J91" s="168"/>
      <c r="K91" s="168"/>
      <c r="L91" s="168"/>
      <c r="M91" s="194">
        <v>0</v>
      </c>
      <c r="N91" s="168">
        <v>0</v>
      </c>
      <c r="O91" s="168">
        <f t="shared" si="8"/>
        <v>0</v>
      </c>
      <c r="Q91" s="169">
        <v>0</v>
      </c>
      <c r="R91" s="169">
        <v>0</v>
      </c>
      <c r="S91" s="169"/>
      <c r="T91" s="169"/>
      <c r="U91" s="169"/>
      <c r="V91" s="169">
        <v>0</v>
      </c>
      <c r="W91" s="169">
        <v>0</v>
      </c>
      <c r="X91" s="169">
        <f t="shared" si="9"/>
        <v>0</v>
      </c>
      <c r="Z91" s="202">
        <v>0</v>
      </c>
      <c r="AA91" s="202">
        <v>0</v>
      </c>
      <c r="AB91" s="202"/>
      <c r="AC91" s="202"/>
      <c r="AD91" s="202"/>
      <c r="AE91" s="207">
        <v>0</v>
      </c>
      <c r="AF91" s="202">
        <v>0</v>
      </c>
      <c r="AG91" s="202">
        <f t="shared" si="10"/>
        <v>0</v>
      </c>
      <c r="AI91" s="200">
        <v>0</v>
      </c>
      <c r="AJ91" s="200">
        <v>0</v>
      </c>
      <c r="AK91" s="200"/>
      <c r="AL91" s="200">
        <f>IFERROR(VLOOKUP(B91,[2]rptBudgetaryBudgetCrossOrganiza!$A$5236:$O$5854,13,FALSE),"0")</f>
        <v>0</v>
      </c>
      <c r="AM91" s="200"/>
      <c r="AN91" s="200"/>
      <c r="AO91" s="200"/>
      <c r="AP91" s="200"/>
      <c r="AQ91" s="200">
        <f t="shared" si="11"/>
        <v>0</v>
      </c>
      <c r="AS91" s="169"/>
      <c r="AT91" s="169"/>
      <c r="AU91" s="169"/>
      <c r="AV91" s="169"/>
      <c r="AW91" s="169"/>
      <c r="AX91" s="169"/>
      <c r="AY91" s="169"/>
      <c r="AZ91" s="169">
        <f t="shared" si="12"/>
        <v>0</v>
      </c>
    </row>
    <row r="92" spans="1:52" hidden="1" x14ac:dyDescent="0.2">
      <c r="A92" s="220">
        <v>6</v>
      </c>
      <c r="B92" s="170" t="s">
        <v>351</v>
      </c>
      <c r="C92" s="221">
        <v>40</v>
      </c>
      <c r="D92" s="221">
        <v>70</v>
      </c>
      <c r="E92" s="214">
        <v>570</v>
      </c>
      <c r="F92" s="170" t="str">
        <f t="shared" si="13"/>
        <v>6280.05</v>
      </c>
      <c r="G92" s="170" t="s">
        <v>378</v>
      </c>
      <c r="H92" s="168">
        <v>35000</v>
      </c>
      <c r="I92" s="168">
        <v>35000</v>
      </c>
      <c r="J92" s="168"/>
      <c r="K92" s="168"/>
      <c r="L92" s="168"/>
      <c r="M92" s="194">
        <v>36161.56</v>
      </c>
      <c r="N92" s="168">
        <v>36161.56</v>
      </c>
      <c r="O92" s="168">
        <f t="shared" si="8"/>
        <v>1161.5599999999977</v>
      </c>
      <c r="Q92" s="169">
        <v>40000</v>
      </c>
      <c r="R92" s="169">
        <v>40000</v>
      </c>
      <c r="S92" s="169"/>
      <c r="T92" s="169"/>
      <c r="U92" s="169"/>
      <c r="V92" s="169">
        <v>41317.26</v>
      </c>
      <c r="W92" s="169">
        <v>41317.26</v>
      </c>
      <c r="X92" s="169">
        <f t="shared" si="9"/>
        <v>1317.260000000002</v>
      </c>
      <c r="Z92" s="202">
        <v>46000</v>
      </c>
      <c r="AA92" s="202">
        <v>46000</v>
      </c>
      <c r="AB92" s="202"/>
      <c r="AC92" s="202"/>
      <c r="AD92" s="202"/>
      <c r="AE92" s="207">
        <v>36287.339999999997</v>
      </c>
      <c r="AF92" s="202">
        <v>36287.339999999997</v>
      </c>
      <c r="AG92" s="202">
        <f t="shared" si="10"/>
        <v>-9712.6600000000035</v>
      </c>
      <c r="AI92" s="200">
        <v>46000</v>
      </c>
      <c r="AJ92" s="200">
        <v>46000</v>
      </c>
      <c r="AK92" s="200">
        <v>46000</v>
      </c>
      <c r="AL92" s="200">
        <f>IFERROR(VLOOKUP(B92,[2]rptBudgetaryBudgetCrossOrganiza!$A$5236:$O$5854,13,FALSE),"0")</f>
        <v>25372.47</v>
      </c>
      <c r="AM92" s="200"/>
      <c r="AN92" s="200"/>
      <c r="AO92" s="200"/>
      <c r="AP92" s="200"/>
      <c r="AQ92" s="200">
        <f t="shared" si="11"/>
        <v>-46000</v>
      </c>
      <c r="AS92" s="169"/>
      <c r="AT92" s="169"/>
      <c r="AU92" s="169"/>
      <c r="AV92" s="169"/>
      <c r="AW92" s="169"/>
      <c r="AX92" s="169"/>
      <c r="AY92" s="169"/>
      <c r="AZ92" s="169">
        <f t="shared" si="12"/>
        <v>0</v>
      </c>
    </row>
    <row r="93" spans="1:52" hidden="1" x14ac:dyDescent="0.2">
      <c r="A93" s="220">
        <v>6</v>
      </c>
      <c r="B93" s="170" t="s">
        <v>352</v>
      </c>
      <c r="C93" s="221">
        <v>40</v>
      </c>
      <c r="D93" s="221">
        <v>70</v>
      </c>
      <c r="E93" s="214">
        <v>570</v>
      </c>
      <c r="F93" s="170" t="str">
        <f t="shared" si="13"/>
        <v>6280.06</v>
      </c>
      <c r="G93" s="170" t="s">
        <v>379</v>
      </c>
      <c r="H93" s="168">
        <v>0</v>
      </c>
      <c r="I93" s="168">
        <v>0</v>
      </c>
      <c r="J93" s="168"/>
      <c r="K93" s="168"/>
      <c r="L93" s="168"/>
      <c r="M93" s="194">
        <v>0</v>
      </c>
      <c r="N93" s="168">
        <v>0</v>
      </c>
      <c r="O93" s="168">
        <f t="shared" si="8"/>
        <v>0</v>
      </c>
      <c r="Q93" s="169">
        <v>0</v>
      </c>
      <c r="R93" s="169">
        <v>0</v>
      </c>
      <c r="S93" s="169"/>
      <c r="T93" s="169"/>
      <c r="U93" s="169"/>
      <c r="V93" s="169">
        <v>0</v>
      </c>
      <c r="W93" s="169">
        <v>0</v>
      </c>
      <c r="X93" s="169">
        <f t="shared" si="9"/>
        <v>0</v>
      </c>
      <c r="Z93" s="202">
        <v>0</v>
      </c>
      <c r="AA93" s="202">
        <v>0</v>
      </c>
      <c r="AB93" s="202"/>
      <c r="AC93" s="202"/>
      <c r="AD93" s="202"/>
      <c r="AE93" s="207">
        <v>0</v>
      </c>
      <c r="AF93" s="202">
        <v>0</v>
      </c>
      <c r="AG93" s="202">
        <f t="shared" si="10"/>
        <v>0</v>
      </c>
      <c r="AI93" s="200">
        <v>0</v>
      </c>
      <c r="AJ93" s="200">
        <v>0</v>
      </c>
      <c r="AK93" s="200"/>
      <c r="AL93" s="200">
        <f>IFERROR(VLOOKUP(B93,[2]rptBudgetaryBudgetCrossOrganiza!$A$5236:$O$5854,13,FALSE),"0")</f>
        <v>0</v>
      </c>
      <c r="AM93" s="200"/>
      <c r="AN93" s="200"/>
      <c r="AO93" s="200"/>
      <c r="AP93" s="200"/>
      <c r="AQ93" s="200">
        <f t="shared" si="11"/>
        <v>0</v>
      </c>
      <c r="AS93" s="169"/>
      <c r="AT93" s="169"/>
      <c r="AU93" s="169"/>
      <c r="AV93" s="169"/>
      <c r="AW93" s="169"/>
      <c r="AX93" s="169"/>
      <c r="AY93" s="169"/>
      <c r="AZ93" s="169">
        <f t="shared" si="12"/>
        <v>0</v>
      </c>
    </row>
    <row r="94" spans="1:52" hidden="1" x14ac:dyDescent="0.2">
      <c r="A94" s="220">
        <v>6</v>
      </c>
      <c r="B94" s="170" t="s">
        <v>353</v>
      </c>
      <c r="C94" s="221">
        <v>40</v>
      </c>
      <c r="D94" s="221">
        <v>70</v>
      </c>
      <c r="E94" s="214">
        <v>570</v>
      </c>
      <c r="F94" s="170" t="str">
        <f t="shared" si="13"/>
        <v>6300.03</v>
      </c>
      <c r="G94" s="170" t="s">
        <v>212</v>
      </c>
      <c r="H94" s="168">
        <v>300</v>
      </c>
      <c r="I94" s="168">
        <v>300</v>
      </c>
      <c r="J94" s="168"/>
      <c r="K94" s="168"/>
      <c r="L94" s="168"/>
      <c r="M94" s="194">
        <v>43</v>
      </c>
      <c r="N94" s="168">
        <v>43</v>
      </c>
      <c r="O94" s="168">
        <f t="shared" si="8"/>
        <v>-257</v>
      </c>
      <c r="Q94" s="169">
        <v>300</v>
      </c>
      <c r="R94" s="169">
        <v>300</v>
      </c>
      <c r="S94" s="169"/>
      <c r="T94" s="169"/>
      <c r="U94" s="169"/>
      <c r="V94" s="169">
        <v>46</v>
      </c>
      <c r="W94" s="169">
        <v>46</v>
      </c>
      <c r="X94" s="169">
        <f t="shared" si="9"/>
        <v>-254</v>
      </c>
      <c r="Z94" s="202">
        <v>300</v>
      </c>
      <c r="AA94" s="202">
        <v>300</v>
      </c>
      <c r="AB94" s="202"/>
      <c r="AC94" s="202"/>
      <c r="AD94" s="202"/>
      <c r="AE94" s="207">
        <v>250</v>
      </c>
      <c r="AF94" s="202">
        <v>250</v>
      </c>
      <c r="AG94" s="202">
        <f t="shared" si="10"/>
        <v>-50</v>
      </c>
      <c r="AI94" s="200">
        <v>300</v>
      </c>
      <c r="AJ94" s="200">
        <v>300</v>
      </c>
      <c r="AK94" s="200">
        <v>300</v>
      </c>
      <c r="AL94" s="200">
        <f>IFERROR(VLOOKUP(B94,[2]rptBudgetaryBudgetCrossOrganiza!$A$5236:$O$5854,13,FALSE),"0")</f>
        <v>-156</v>
      </c>
      <c r="AM94" s="200"/>
      <c r="AN94" s="200"/>
      <c r="AO94" s="200"/>
      <c r="AP94" s="200"/>
      <c r="AQ94" s="200">
        <f t="shared" si="11"/>
        <v>-300</v>
      </c>
      <c r="AS94" s="169"/>
      <c r="AT94" s="169"/>
      <c r="AU94" s="169"/>
      <c r="AV94" s="169"/>
      <c r="AW94" s="169"/>
      <c r="AX94" s="169"/>
      <c r="AY94" s="169"/>
      <c r="AZ94" s="169">
        <f t="shared" si="12"/>
        <v>0</v>
      </c>
    </row>
    <row r="95" spans="1:52" hidden="1" x14ac:dyDescent="0.2">
      <c r="A95" s="220">
        <v>6</v>
      </c>
      <c r="B95" s="170" t="s">
        <v>354</v>
      </c>
      <c r="C95" s="221">
        <v>40</v>
      </c>
      <c r="D95" s="221">
        <v>70</v>
      </c>
      <c r="E95" s="214">
        <v>570</v>
      </c>
      <c r="F95" s="170" t="str">
        <f t="shared" si="13"/>
        <v>6350.05</v>
      </c>
      <c r="G95" s="170" t="s">
        <v>380</v>
      </c>
      <c r="H95" s="168">
        <v>0</v>
      </c>
      <c r="I95" s="168">
        <v>0</v>
      </c>
      <c r="J95" s="168"/>
      <c r="K95" s="168"/>
      <c r="L95" s="168"/>
      <c r="M95" s="194">
        <v>0</v>
      </c>
      <c r="N95" s="168">
        <v>0</v>
      </c>
      <c r="O95" s="168">
        <f t="shared" si="8"/>
        <v>0</v>
      </c>
      <c r="Q95" s="169">
        <v>0</v>
      </c>
      <c r="R95" s="169">
        <v>0</v>
      </c>
      <c r="S95" s="169"/>
      <c r="T95" s="169"/>
      <c r="U95" s="169"/>
      <c r="V95" s="169">
        <v>0</v>
      </c>
      <c r="W95" s="169">
        <v>0</v>
      </c>
      <c r="X95" s="169">
        <f t="shared" si="9"/>
        <v>0</v>
      </c>
      <c r="Z95" s="202">
        <v>0</v>
      </c>
      <c r="AA95" s="202">
        <v>0</v>
      </c>
      <c r="AB95" s="202"/>
      <c r="AC95" s="202"/>
      <c r="AD95" s="202"/>
      <c r="AE95" s="207">
        <v>0</v>
      </c>
      <c r="AF95" s="202">
        <v>0</v>
      </c>
      <c r="AG95" s="202">
        <f t="shared" si="10"/>
        <v>0</v>
      </c>
      <c r="AI95" s="200">
        <v>0</v>
      </c>
      <c r="AJ95" s="200">
        <v>0</v>
      </c>
      <c r="AK95" s="200"/>
      <c r="AL95" s="200">
        <f>IFERROR(VLOOKUP(B95,[2]rptBudgetaryBudgetCrossOrganiza!$A$5236:$O$5854,13,FALSE),"0")</f>
        <v>0</v>
      </c>
      <c r="AM95" s="200"/>
      <c r="AN95" s="200"/>
      <c r="AO95" s="200"/>
      <c r="AP95" s="200"/>
      <c r="AQ95" s="200">
        <f t="shared" si="11"/>
        <v>0</v>
      </c>
      <c r="AS95" s="169"/>
      <c r="AT95" s="169"/>
      <c r="AU95" s="169"/>
      <c r="AV95" s="169"/>
      <c r="AW95" s="169"/>
      <c r="AX95" s="169"/>
      <c r="AY95" s="169"/>
      <c r="AZ95" s="169">
        <f t="shared" si="12"/>
        <v>0</v>
      </c>
    </row>
    <row r="96" spans="1:52" hidden="1" x14ac:dyDescent="0.2">
      <c r="A96" s="220"/>
      <c r="B96" s="170" t="s">
        <v>355</v>
      </c>
      <c r="C96" s="221">
        <v>40</v>
      </c>
      <c r="D96" s="221">
        <v>70</v>
      </c>
      <c r="E96" s="214">
        <v>570</v>
      </c>
      <c r="F96" s="170" t="str">
        <f t="shared" si="13"/>
        <v>6375.19</v>
      </c>
      <c r="G96" s="170" t="s">
        <v>381</v>
      </c>
      <c r="H96" s="168">
        <v>0</v>
      </c>
      <c r="I96" s="168">
        <v>0</v>
      </c>
      <c r="J96" s="168"/>
      <c r="K96" s="168"/>
      <c r="L96" s="168"/>
      <c r="M96" s="194">
        <v>0</v>
      </c>
      <c r="N96" s="168">
        <v>0</v>
      </c>
      <c r="O96" s="168">
        <f t="shared" si="8"/>
        <v>0</v>
      </c>
      <c r="Q96" s="169">
        <v>0</v>
      </c>
      <c r="R96" s="169">
        <v>0</v>
      </c>
      <c r="S96" s="169"/>
      <c r="T96" s="169"/>
      <c r="U96" s="169"/>
      <c r="V96" s="169">
        <v>0</v>
      </c>
      <c r="W96" s="169">
        <v>0</v>
      </c>
      <c r="X96" s="169">
        <f t="shared" si="9"/>
        <v>0</v>
      </c>
      <c r="Z96" s="202">
        <v>0</v>
      </c>
      <c r="AA96" s="202">
        <v>0</v>
      </c>
      <c r="AB96" s="202"/>
      <c r="AC96" s="202"/>
      <c r="AD96" s="202"/>
      <c r="AE96" s="207">
        <v>0</v>
      </c>
      <c r="AF96" s="202">
        <v>0</v>
      </c>
      <c r="AG96" s="202">
        <f t="shared" si="10"/>
        <v>0</v>
      </c>
      <c r="AI96" s="200">
        <v>0</v>
      </c>
      <c r="AJ96" s="200">
        <v>0</v>
      </c>
      <c r="AK96" s="200"/>
      <c r="AL96" s="200">
        <f>IFERROR(VLOOKUP(B96,[2]rptBudgetaryBudgetCrossOrganiza!$A$5236:$O$5854,13,FALSE),"0")</f>
        <v>0</v>
      </c>
      <c r="AM96" s="200"/>
      <c r="AN96" s="200"/>
      <c r="AO96" s="200"/>
      <c r="AP96" s="200"/>
      <c r="AQ96" s="200">
        <f t="shared" si="11"/>
        <v>0</v>
      </c>
      <c r="AS96" s="169"/>
      <c r="AT96" s="169"/>
      <c r="AU96" s="169"/>
      <c r="AV96" s="169"/>
      <c r="AW96" s="169"/>
      <c r="AX96" s="169"/>
      <c r="AY96" s="169"/>
      <c r="AZ96" s="169">
        <f t="shared" si="12"/>
        <v>0</v>
      </c>
    </row>
    <row r="97" spans="1:52" hidden="1" x14ac:dyDescent="0.2">
      <c r="A97" s="220">
        <v>9</v>
      </c>
      <c r="B97" s="170" t="s">
        <v>356</v>
      </c>
      <c r="C97" s="221">
        <v>40</v>
      </c>
      <c r="D97" s="221">
        <v>70</v>
      </c>
      <c r="E97" s="214">
        <v>570</v>
      </c>
      <c r="F97" s="170" t="str">
        <f t="shared" si="13"/>
        <v>6400.02</v>
      </c>
      <c r="G97" s="170" t="s">
        <v>203</v>
      </c>
      <c r="H97" s="168">
        <v>0</v>
      </c>
      <c r="I97" s="168">
        <v>0</v>
      </c>
      <c r="J97" s="168"/>
      <c r="K97" s="168"/>
      <c r="L97" s="168"/>
      <c r="M97" s="194">
        <v>0</v>
      </c>
      <c r="N97" s="168">
        <v>0</v>
      </c>
      <c r="O97" s="168">
        <f t="shared" si="8"/>
        <v>0</v>
      </c>
      <c r="Q97" s="169">
        <v>0</v>
      </c>
      <c r="R97" s="169">
        <v>0</v>
      </c>
      <c r="S97" s="169"/>
      <c r="T97" s="169"/>
      <c r="U97" s="169"/>
      <c r="V97" s="169">
        <v>0</v>
      </c>
      <c r="W97" s="169">
        <v>0</v>
      </c>
      <c r="X97" s="169">
        <f t="shared" si="9"/>
        <v>0</v>
      </c>
      <c r="Z97" s="202">
        <v>0</v>
      </c>
      <c r="AA97" s="202">
        <v>0</v>
      </c>
      <c r="AB97" s="202"/>
      <c r="AC97" s="202"/>
      <c r="AD97" s="202"/>
      <c r="AE97" s="207">
        <v>0</v>
      </c>
      <c r="AF97" s="202">
        <v>0</v>
      </c>
      <c r="AG97" s="202">
        <f t="shared" si="10"/>
        <v>0</v>
      </c>
      <c r="AI97" s="200">
        <v>0</v>
      </c>
      <c r="AJ97" s="200">
        <v>0</v>
      </c>
      <c r="AK97" s="200"/>
      <c r="AL97" s="200">
        <f>IFERROR(VLOOKUP(B97,[2]rptBudgetaryBudgetCrossOrganiza!$A$5236:$O$5854,13,FALSE),"0")</f>
        <v>0</v>
      </c>
      <c r="AM97" s="200"/>
      <c r="AN97" s="200"/>
      <c r="AO97" s="200"/>
      <c r="AP97" s="200"/>
      <c r="AQ97" s="200">
        <f t="shared" si="11"/>
        <v>0</v>
      </c>
      <c r="AS97" s="169"/>
      <c r="AT97" s="169"/>
      <c r="AU97" s="169"/>
      <c r="AV97" s="169"/>
      <c r="AW97" s="169"/>
      <c r="AX97" s="169"/>
      <c r="AY97" s="169"/>
      <c r="AZ97" s="169">
        <f t="shared" si="12"/>
        <v>0</v>
      </c>
    </row>
    <row r="98" spans="1:52" hidden="1" x14ac:dyDescent="0.2">
      <c r="A98" s="220">
        <v>9</v>
      </c>
      <c r="B98" s="170" t="s">
        <v>357</v>
      </c>
      <c r="C98" s="221">
        <v>40</v>
      </c>
      <c r="D98" s="221">
        <v>70</v>
      </c>
      <c r="E98" s="214">
        <v>570</v>
      </c>
      <c r="F98" s="170" t="str">
        <f t="shared" si="13"/>
        <v>6400.04</v>
      </c>
      <c r="G98" s="170" t="s">
        <v>204</v>
      </c>
      <c r="H98" s="168">
        <v>6000</v>
      </c>
      <c r="I98" s="168">
        <v>6000</v>
      </c>
      <c r="J98" s="168"/>
      <c r="K98" s="168"/>
      <c r="L98" s="168"/>
      <c r="M98" s="194">
        <v>0</v>
      </c>
      <c r="N98" s="168">
        <v>0</v>
      </c>
      <c r="O98" s="168">
        <f t="shared" si="8"/>
        <v>-6000</v>
      </c>
      <c r="Q98" s="169">
        <v>6000</v>
      </c>
      <c r="R98" s="169">
        <v>0</v>
      </c>
      <c r="S98" s="169"/>
      <c r="T98" s="169"/>
      <c r="U98" s="169"/>
      <c r="V98" s="169">
        <v>48.26</v>
      </c>
      <c r="W98" s="169">
        <v>48.26</v>
      </c>
      <c r="X98" s="169">
        <f t="shared" si="9"/>
        <v>48.26</v>
      </c>
      <c r="Z98" s="202">
        <v>6000</v>
      </c>
      <c r="AA98" s="202">
        <v>6000</v>
      </c>
      <c r="AB98" s="202"/>
      <c r="AC98" s="202"/>
      <c r="AD98" s="202"/>
      <c r="AE98" s="207">
        <v>3706.49</v>
      </c>
      <c r="AF98" s="202">
        <v>3706.49</v>
      </c>
      <c r="AG98" s="202">
        <f t="shared" si="10"/>
        <v>-2293.5100000000002</v>
      </c>
      <c r="AI98" s="200">
        <v>6000</v>
      </c>
      <c r="AJ98" s="200">
        <v>6000</v>
      </c>
      <c r="AK98" s="200">
        <v>6000</v>
      </c>
      <c r="AL98" s="200">
        <f>IFERROR(VLOOKUP(B98,[2]rptBudgetaryBudgetCrossOrganiza!$A$5236:$O$5854,13,FALSE),"0")</f>
        <v>0</v>
      </c>
      <c r="AM98" s="200"/>
      <c r="AN98" s="200"/>
      <c r="AO98" s="200"/>
      <c r="AP98" s="200"/>
      <c r="AQ98" s="200">
        <f t="shared" si="11"/>
        <v>-6000</v>
      </c>
      <c r="AS98" s="169"/>
      <c r="AT98" s="169"/>
      <c r="AU98" s="169"/>
      <c r="AV98" s="169"/>
      <c r="AW98" s="169"/>
      <c r="AX98" s="169"/>
      <c r="AY98" s="169"/>
      <c r="AZ98" s="169">
        <f t="shared" si="12"/>
        <v>0</v>
      </c>
    </row>
    <row r="99" spans="1:52" hidden="1" x14ac:dyDescent="0.2">
      <c r="A99" s="220">
        <v>9</v>
      </c>
      <c r="B99" s="170" t="s">
        <v>358</v>
      </c>
      <c r="C99" s="221">
        <v>40</v>
      </c>
      <c r="D99" s="221">
        <v>70</v>
      </c>
      <c r="E99" s="214">
        <v>570</v>
      </c>
      <c r="F99" s="170" t="str">
        <f t="shared" si="13"/>
        <v>6400.05</v>
      </c>
      <c r="G99" s="170" t="s">
        <v>205</v>
      </c>
      <c r="H99" s="168">
        <v>0</v>
      </c>
      <c r="I99" s="168">
        <v>0</v>
      </c>
      <c r="J99" s="168"/>
      <c r="K99" s="168"/>
      <c r="L99" s="168"/>
      <c r="M99" s="194">
        <v>0</v>
      </c>
      <c r="N99" s="168">
        <v>0</v>
      </c>
      <c r="O99" s="168">
        <f t="shared" si="8"/>
        <v>0</v>
      </c>
      <c r="Q99" s="169">
        <v>0</v>
      </c>
      <c r="R99" s="169">
        <v>0</v>
      </c>
      <c r="S99" s="169"/>
      <c r="T99" s="169"/>
      <c r="U99" s="169"/>
      <c r="V99" s="169">
        <v>0</v>
      </c>
      <c r="W99" s="169">
        <v>0</v>
      </c>
      <c r="X99" s="169">
        <f t="shared" si="9"/>
        <v>0</v>
      </c>
      <c r="Z99" s="202">
        <v>0</v>
      </c>
      <c r="AA99" s="202">
        <v>0</v>
      </c>
      <c r="AB99" s="202"/>
      <c r="AC99" s="202"/>
      <c r="AD99" s="202"/>
      <c r="AE99" s="207">
        <v>0</v>
      </c>
      <c r="AF99" s="202">
        <v>0</v>
      </c>
      <c r="AG99" s="202">
        <f t="shared" si="10"/>
        <v>0</v>
      </c>
      <c r="AI99" s="200">
        <v>0</v>
      </c>
      <c r="AJ99" s="200">
        <v>0</v>
      </c>
      <c r="AK99" s="200"/>
      <c r="AL99" s="200">
        <f>IFERROR(VLOOKUP(B99,[2]rptBudgetaryBudgetCrossOrganiza!$A$5236:$O$5854,13,FALSE),"0")</f>
        <v>0</v>
      </c>
      <c r="AM99" s="200"/>
      <c r="AN99" s="200"/>
      <c r="AO99" s="200"/>
      <c r="AP99" s="200"/>
      <c r="AQ99" s="200">
        <f t="shared" si="11"/>
        <v>0</v>
      </c>
      <c r="AS99" s="169"/>
      <c r="AT99" s="169"/>
      <c r="AU99" s="169"/>
      <c r="AV99" s="169"/>
      <c r="AW99" s="169"/>
      <c r="AX99" s="169"/>
      <c r="AY99" s="169"/>
      <c r="AZ99" s="169">
        <f t="shared" si="12"/>
        <v>0</v>
      </c>
    </row>
    <row r="100" spans="1:52" hidden="1" x14ac:dyDescent="0.2">
      <c r="A100" s="220">
        <v>9</v>
      </c>
      <c r="B100" s="170" t="s">
        <v>359</v>
      </c>
      <c r="C100" s="221">
        <v>40</v>
      </c>
      <c r="D100" s="221">
        <v>70</v>
      </c>
      <c r="E100" s="214">
        <v>570</v>
      </c>
      <c r="F100" s="170" t="str">
        <f t="shared" si="13"/>
        <v>6400.06</v>
      </c>
      <c r="G100" s="170" t="s">
        <v>382</v>
      </c>
      <c r="H100" s="168">
        <v>0</v>
      </c>
      <c r="I100" s="168">
        <v>0</v>
      </c>
      <c r="J100" s="168"/>
      <c r="K100" s="168"/>
      <c r="L100" s="168"/>
      <c r="M100" s="194">
        <v>0</v>
      </c>
      <c r="N100" s="168">
        <v>0</v>
      </c>
      <c r="O100" s="168">
        <f t="shared" si="8"/>
        <v>0</v>
      </c>
      <c r="Q100" s="169">
        <v>0</v>
      </c>
      <c r="R100" s="169">
        <v>0</v>
      </c>
      <c r="S100" s="169"/>
      <c r="T100" s="169"/>
      <c r="U100" s="169"/>
      <c r="V100" s="169">
        <v>0</v>
      </c>
      <c r="W100" s="169">
        <v>0</v>
      </c>
      <c r="X100" s="169">
        <f t="shared" si="9"/>
        <v>0</v>
      </c>
      <c r="Z100" s="202">
        <v>0</v>
      </c>
      <c r="AA100" s="202">
        <v>0</v>
      </c>
      <c r="AB100" s="202"/>
      <c r="AC100" s="202"/>
      <c r="AD100" s="202"/>
      <c r="AE100" s="207">
        <v>0</v>
      </c>
      <c r="AF100" s="202">
        <v>0</v>
      </c>
      <c r="AG100" s="202">
        <f t="shared" si="10"/>
        <v>0</v>
      </c>
      <c r="AI100" s="200">
        <v>0</v>
      </c>
      <c r="AJ100" s="200">
        <v>0</v>
      </c>
      <c r="AK100" s="200"/>
      <c r="AL100" s="200">
        <f>IFERROR(VLOOKUP(B100,[2]rptBudgetaryBudgetCrossOrganiza!$A$5236:$O$5854,13,FALSE),"0")</f>
        <v>0</v>
      </c>
      <c r="AM100" s="200"/>
      <c r="AN100" s="200"/>
      <c r="AO100" s="200"/>
      <c r="AP100" s="200"/>
      <c r="AQ100" s="200">
        <f t="shared" si="11"/>
        <v>0</v>
      </c>
      <c r="AS100" s="169"/>
      <c r="AT100" s="169"/>
      <c r="AU100" s="169"/>
      <c r="AV100" s="169"/>
      <c r="AW100" s="169"/>
      <c r="AX100" s="169"/>
      <c r="AY100" s="169"/>
      <c r="AZ100" s="169">
        <f t="shared" si="12"/>
        <v>0</v>
      </c>
    </row>
    <row r="101" spans="1:52" hidden="1" x14ac:dyDescent="0.2">
      <c r="A101" s="220">
        <v>9</v>
      </c>
      <c r="B101" s="170" t="s">
        <v>360</v>
      </c>
      <c r="C101" s="221">
        <v>40</v>
      </c>
      <c r="D101" s="221">
        <v>70</v>
      </c>
      <c r="E101" s="214">
        <v>570</v>
      </c>
      <c r="F101" s="170" t="str">
        <f t="shared" si="13"/>
        <v>6400.07</v>
      </c>
      <c r="G101" s="170" t="s">
        <v>383</v>
      </c>
      <c r="H101" s="168">
        <v>0</v>
      </c>
      <c r="I101" s="168">
        <v>0</v>
      </c>
      <c r="J101" s="168"/>
      <c r="K101" s="168"/>
      <c r="L101" s="168"/>
      <c r="M101" s="194">
        <v>0</v>
      </c>
      <c r="N101" s="168">
        <v>0</v>
      </c>
      <c r="O101" s="168">
        <f t="shared" si="8"/>
        <v>0</v>
      </c>
      <c r="Q101" s="169">
        <v>0</v>
      </c>
      <c r="R101" s="169">
        <v>0</v>
      </c>
      <c r="S101" s="169"/>
      <c r="T101" s="169"/>
      <c r="U101" s="169"/>
      <c r="V101" s="169">
        <v>0</v>
      </c>
      <c r="W101" s="169">
        <v>0</v>
      </c>
      <c r="X101" s="169">
        <f t="shared" si="9"/>
        <v>0</v>
      </c>
      <c r="Z101" s="202">
        <v>0</v>
      </c>
      <c r="AA101" s="202">
        <v>0</v>
      </c>
      <c r="AB101" s="202"/>
      <c r="AC101" s="202"/>
      <c r="AD101" s="202"/>
      <c r="AE101" s="207">
        <v>0</v>
      </c>
      <c r="AF101" s="202">
        <v>0</v>
      </c>
      <c r="AG101" s="202">
        <f t="shared" si="10"/>
        <v>0</v>
      </c>
      <c r="AI101" s="200">
        <v>0</v>
      </c>
      <c r="AJ101" s="200">
        <v>0</v>
      </c>
      <c r="AK101" s="200"/>
      <c r="AL101" s="200">
        <f>IFERROR(VLOOKUP(B101,[2]rptBudgetaryBudgetCrossOrganiza!$A$5236:$O$5854,13,FALSE),"0")</f>
        <v>0</v>
      </c>
      <c r="AM101" s="200"/>
      <c r="AN101" s="200"/>
      <c r="AO101" s="200"/>
      <c r="AP101" s="200"/>
      <c r="AQ101" s="200">
        <f t="shared" si="11"/>
        <v>0</v>
      </c>
      <c r="AS101" s="169"/>
      <c r="AT101" s="169"/>
      <c r="AU101" s="169"/>
      <c r="AV101" s="169"/>
      <c r="AW101" s="169"/>
      <c r="AX101" s="169"/>
      <c r="AY101" s="169"/>
      <c r="AZ101" s="169">
        <f t="shared" si="12"/>
        <v>0</v>
      </c>
    </row>
    <row r="102" spans="1:52" hidden="1" x14ac:dyDescent="0.2">
      <c r="A102" s="220">
        <v>9</v>
      </c>
      <c r="B102" s="170" t="s">
        <v>361</v>
      </c>
      <c r="C102" s="221">
        <v>40</v>
      </c>
      <c r="D102" s="221">
        <v>70</v>
      </c>
      <c r="E102" s="214">
        <v>570</v>
      </c>
      <c r="F102" s="170" t="str">
        <f t="shared" si="13"/>
        <v>6400.10</v>
      </c>
      <c r="G102" s="170" t="s">
        <v>384</v>
      </c>
      <c r="H102" s="168">
        <v>75000</v>
      </c>
      <c r="I102" s="168">
        <v>75000</v>
      </c>
      <c r="J102" s="168"/>
      <c r="K102" s="168"/>
      <c r="L102" s="168"/>
      <c r="M102" s="194">
        <v>67208.31</v>
      </c>
      <c r="N102" s="168">
        <v>67208.31</v>
      </c>
      <c r="O102" s="168">
        <f t="shared" si="8"/>
        <v>-7791.6900000000023</v>
      </c>
      <c r="Q102" s="169">
        <v>75000</v>
      </c>
      <c r="R102" s="169">
        <v>75000</v>
      </c>
      <c r="S102" s="169"/>
      <c r="T102" s="169"/>
      <c r="U102" s="169"/>
      <c r="V102" s="169">
        <v>61920.98</v>
      </c>
      <c r="W102" s="169">
        <v>61920.98</v>
      </c>
      <c r="X102" s="169">
        <f t="shared" si="9"/>
        <v>-13079.019999999997</v>
      </c>
      <c r="Z102" s="202">
        <v>75000</v>
      </c>
      <c r="AA102" s="202">
        <v>60000</v>
      </c>
      <c r="AB102" s="202"/>
      <c r="AC102" s="202"/>
      <c r="AD102" s="202"/>
      <c r="AE102" s="207">
        <v>25371.58</v>
      </c>
      <c r="AF102" s="202">
        <v>25371.58</v>
      </c>
      <c r="AG102" s="202">
        <f t="shared" si="10"/>
        <v>-34628.42</v>
      </c>
      <c r="AI102" s="200">
        <v>75000</v>
      </c>
      <c r="AJ102" s="200">
        <v>75000</v>
      </c>
      <c r="AK102" s="200">
        <v>75000</v>
      </c>
      <c r="AL102" s="200">
        <f>IFERROR(VLOOKUP(B102,[2]rptBudgetaryBudgetCrossOrganiza!$A$5236:$O$5854,13,FALSE),"0")</f>
        <v>7900.37</v>
      </c>
      <c r="AM102" s="200"/>
      <c r="AN102" s="200"/>
      <c r="AO102" s="200"/>
      <c r="AP102" s="200"/>
      <c r="AQ102" s="200">
        <f t="shared" si="11"/>
        <v>-75000</v>
      </c>
      <c r="AS102" s="169"/>
      <c r="AT102" s="169"/>
      <c r="AU102" s="169"/>
      <c r="AV102" s="169"/>
      <c r="AW102" s="169"/>
      <c r="AX102" s="169"/>
      <c r="AY102" s="169"/>
      <c r="AZ102" s="169">
        <f t="shared" si="12"/>
        <v>0</v>
      </c>
    </row>
    <row r="103" spans="1:52" hidden="1" x14ac:dyDescent="0.2">
      <c r="A103" s="220">
        <v>9</v>
      </c>
      <c r="B103" s="170" t="s">
        <v>362</v>
      </c>
      <c r="C103" s="221">
        <v>40</v>
      </c>
      <c r="D103" s="221">
        <v>70</v>
      </c>
      <c r="E103" s="214">
        <v>570</v>
      </c>
      <c r="F103" s="170" t="str">
        <f t="shared" si="13"/>
        <v>6400.18</v>
      </c>
      <c r="G103" s="170" t="s">
        <v>385</v>
      </c>
      <c r="H103" s="168">
        <v>0</v>
      </c>
      <c r="I103" s="168">
        <v>0</v>
      </c>
      <c r="J103" s="168"/>
      <c r="K103" s="168"/>
      <c r="L103" s="168"/>
      <c r="M103" s="194">
        <v>0</v>
      </c>
      <c r="N103" s="168">
        <v>0</v>
      </c>
      <c r="O103" s="168">
        <f t="shared" si="8"/>
        <v>0</v>
      </c>
      <c r="Q103" s="169">
        <v>0</v>
      </c>
      <c r="R103" s="169">
        <v>0</v>
      </c>
      <c r="S103" s="169"/>
      <c r="T103" s="169"/>
      <c r="U103" s="169"/>
      <c r="V103" s="169">
        <v>0</v>
      </c>
      <c r="W103" s="169">
        <v>0</v>
      </c>
      <c r="X103" s="169">
        <f t="shared" si="9"/>
        <v>0</v>
      </c>
      <c r="Z103" s="202">
        <v>0</v>
      </c>
      <c r="AA103" s="202">
        <v>0</v>
      </c>
      <c r="AB103" s="202"/>
      <c r="AC103" s="202"/>
      <c r="AD103" s="202"/>
      <c r="AE103" s="207">
        <v>0</v>
      </c>
      <c r="AF103" s="202">
        <v>0</v>
      </c>
      <c r="AG103" s="202">
        <f t="shared" si="10"/>
        <v>0</v>
      </c>
      <c r="AI103" s="200">
        <v>0</v>
      </c>
      <c r="AJ103" s="200">
        <v>0</v>
      </c>
      <c r="AK103" s="200"/>
      <c r="AL103" s="200">
        <f>IFERROR(VLOOKUP(B103,[2]rptBudgetaryBudgetCrossOrganiza!$A$5236:$O$5854,13,FALSE),"0")</f>
        <v>0</v>
      </c>
      <c r="AM103" s="200"/>
      <c r="AN103" s="200"/>
      <c r="AO103" s="200"/>
      <c r="AP103" s="200"/>
      <c r="AQ103" s="200">
        <f t="shared" si="11"/>
        <v>0</v>
      </c>
      <c r="AS103" s="169"/>
      <c r="AT103" s="169"/>
      <c r="AU103" s="169"/>
      <c r="AV103" s="169"/>
      <c r="AW103" s="169"/>
      <c r="AX103" s="169"/>
      <c r="AY103" s="169"/>
      <c r="AZ103" s="169">
        <f t="shared" si="12"/>
        <v>0</v>
      </c>
    </row>
    <row r="104" spans="1:52" hidden="1" x14ac:dyDescent="0.2">
      <c r="A104" s="220">
        <v>9</v>
      </c>
      <c r="B104" s="170" t="s">
        <v>363</v>
      </c>
      <c r="C104" s="221">
        <v>40</v>
      </c>
      <c r="D104" s="221">
        <v>70</v>
      </c>
      <c r="E104" s="214">
        <v>570</v>
      </c>
      <c r="F104" s="170" t="str">
        <f t="shared" si="13"/>
        <v>6400.21</v>
      </c>
      <c r="G104" s="170" t="s">
        <v>386</v>
      </c>
      <c r="H104" s="168">
        <v>20000</v>
      </c>
      <c r="I104" s="168">
        <v>20000</v>
      </c>
      <c r="J104" s="168"/>
      <c r="K104" s="168"/>
      <c r="L104" s="168"/>
      <c r="M104" s="194">
        <v>19340</v>
      </c>
      <c r="N104" s="168">
        <v>19340</v>
      </c>
      <c r="O104" s="168">
        <f t="shared" si="8"/>
        <v>-660</v>
      </c>
      <c r="Q104" s="169">
        <v>25000</v>
      </c>
      <c r="R104" s="169">
        <v>25000</v>
      </c>
      <c r="S104" s="169"/>
      <c r="T104" s="169"/>
      <c r="U104" s="169"/>
      <c r="V104" s="169">
        <v>21434</v>
      </c>
      <c r="W104" s="169">
        <v>21434</v>
      </c>
      <c r="X104" s="169">
        <f t="shared" si="9"/>
        <v>-3566</v>
      </c>
      <c r="Z104" s="202">
        <v>35000</v>
      </c>
      <c r="AA104" s="202">
        <v>35000</v>
      </c>
      <c r="AB104" s="202"/>
      <c r="AC104" s="202"/>
      <c r="AD104" s="202"/>
      <c r="AE104" s="207">
        <v>9875.9500000000007</v>
      </c>
      <c r="AF104" s="202">
        <v>9875.9500000000007</v>
      </c>
      <c r="AG104" s="202">
        <f t="shared" si="10"/>
        <v>-25124.05</v>
      </c>
      <c r="AI104" s="200">
        <v>35000</v>
      </c>
      <c r="AJ104" s="200">
        <v>35000</v>
      </c>
      <c r="AK104" s="200">
        <v>35000</v>
      </c>
      <c r="AL104" s="200">
        <f>IFERROR(VLOOKUP(B104,[2]rptBudgetaryBudgetCrossOrganiza!$A$5236:$O$5854,13,FALSE),"0")</f>
        <v>7345</v>
      </c>
      <c r="AM104" s="200"/>
      <c r="AN104" s="200"/>
      <c r="AO104" s="200"/>
      <c r="AP104" s="200"/>
      <c r="AQ104" s="200">
        <f t="shared" si="11"/>
        <v>-35000</v>
      </c>
      <c r="AS104" s="169"/>
      <c r="AT104" s="169"/>
      <c r="AU104" s="169"/>
      <c r="AV104" s="169"/>
      <c r="AW104" s="169"/>
      <c r="AX104" s="169"/>
      <c r="AY104" s="169"/>
      <c r="AZ104" s="169">
        <f t="shared" si="12"/>
        <v>0</v>
      </c>
    </row>
    <row r="105" spans="1:52" hidden="1" x14ac:dyDescent="0.2">
      <c r="A105" s="220">
        <v>9</v>
      </c>
      <c r="B105" s="170" t="s">
        <v>364</v>
      </c>
      <c r="C105" s="221">
        <v>40</v>
      </c>
      <c r="D105" s="221">
        <v>70</v>
      </c>
      <c r="E105" s="214">
        <v>570</v>
      </c>
      <c r="F105" s="170" t="str">
        <f t="shared" si="13"/>
        <v>6410.02</v>
      </c>
      <c r="G105" s="170" t="s">
        <v>387</v>
      </c>
      <c r="H105" s="168">
        <v>0</v>
      </c>
      <c r="I105" s="168">
        <v>0</v>
      </c>
      <c r="J105" s="168"/>
      <c r="K105" s="168"/>
      <c r="L105" s="168"/>
      <c r="M105" s="194">
        <v>0</v>
      </c>
      <c r="N105" s="168">
        <v>0</v>
      </c>
      <c r="O105" s="168">
        <f t="shared" si="8"/>
        <v>0</v>
      </c>
      <c r="Q105" s="169">
        <v>0</v>
      </c>
      <c r="R105" s="169">
        <v>0</v>
      </c>
      <c r="S105" s="169"/>
      <c r="T105" s="169"/>
      <c r="U105" s="169"/>
      <c r="V105" s="169">
        <v>0</v>
      </c>
      <c r="W105" s="169">
        <v>0</v>
      </c>
      <c r="X105" s="169">
        <f t="shared" si="9"/>
        <v>0</v>
      </c>
      <c r="Z105" s="202">
        <v>0</v>
      </c>
      <c r="AA105" s="202">
        <v>0</v>
      </c>
      <c r="AB105" s="202"/>
      <c r="AC105" s="202"/>
      <c r="AD105" s="202"/>
      <c r="AE105" s="207">
        <v>0</v>
      </c>
      <c r="AF105" s="202">
        <v>0</v>
      </c>
      <c r="AG105" s="202">
        <f t="shared" si="10"/>
        <v>0</v>
      </c>
      <c r="AI105" s="200">
        <v>0</v>
      </c>
      <c r="AJ105" s="200">
        <v>0</v>
      </c>
      <c r="AK105" s="200"/>
      <c r="AL105" s="200">
        <f>IFERROR(VLOOKUP(B105,[2]rptBudgetaryBudgetCrossOrganiza!$A$5236:$O$5854,13,FALSE),"0")</f>
        <v>0</v>
      </c>
      <c r="AM105" s="200"/>
      <c r="AN105" s="200"/>
      <c r="AO105" s="200"/>
      <c r="AP105" s="200"/>
      <c r="AQ105" s="200">
        <f t="shared" si="11"/>
        <v>0</v>
      </c>
      <c r="AS105" s="169"/>
      <c r="AT105" s="169"/>
      <c r="AU105" s="169"/>
      <c r="AV105" s="169"/>
      <c r="AW105" s="169"/>
      <c r="AX105" s="169"/>
      <c r="AY105" s="169"/>
      <c r="AZ105" s="169">
        <f t="shared" si="12"/>
        <v>0</v>
      </c>
    </row>
    <row r="106" spans="1:52" hidden="1" x14ac:dyDescent="0.2">
      <c r="A106" s="220">
        <v>9</v>
      </c>
      <c r="B106" s="170" t="s">
        <v>365</v>
      </c>
      <c r="C106" s="221">
        <v>40</v>
      </c>
      <c r="D106" s="221">
        <v>70</v>
      </c>
      <c r="E106" s="214">
        <v>570</v>
      </c>
      <c r="F106" s="170" t="str">
        <f t="shared" si="13"/>
        <v>6410.07</v>
      </c>
      <c r="G106" s="170" t="s">
        <v>260</v>
      </c>
      <c r="H106" s="168">
        <v>0</v>
      </c>
      <c r="I106" s="168">
        <v>0</v>
      </c>
      <c r="J106" s="168"/>
      <c r="K106" s="168"/>
      <c r="L106" s="168"/>
      <c r="M106" s="194">
        <v>0</v>
      </c>
      <c r="N106" s="168">
        <v>0</v>
      </c>
      <c r="O106" s="168">
        <f t="shared" si="8"/>
        <v>0</v>
      </c>
      <c r="Q106" s="169">
        <v>0</v>
      </c>
      <c r="R106" s="169">
        <v>0</v>
      </c>
      <c r="S106" s="169"/>
      <c r="T106" s="169"/>
      <c r="U106" s="169"/>
      <c r="V106" s="169">
        <v>0</v>
      </c>
      <c r="W106" s="169">
        <v>0</v>
      </c>
      <c r="X106" s="169">
        <f t="shared" si="9"/>
        <v>0</v>
      </c>
      <c r="Z106" s="202">
        <v>0</v>
      </c>
      <c r="AA106" s="202">
        <v>0</v>
      </c>
      <c r="AB106" s="202"/>
      <c r="AC106" s="202"/>
      <c r="AD106" s="202"/>
      <c r="AE106" s="207">
        <v>0</v>
      </c>
      <c r="AF106" s="202">
        <v>0</v>
      </c>
      <c r="AG106" s="202">
        <f t="shared" si="10"/>
        <v>0</v>
      </c>
      <c r="AI106" s="200">
        <v>0</v>
      </c>
      <c r="AJ106" s="200">
        <v>0</v>
      </c>
      <c r="AK106" s="200"/>
      <c r="AL106" s="200">
        <f>IFERROR(VLOOKUP(B106,[2]rptBudgetaryBudgetCrossOrganiza!$A$5236:$O$5854,13,FALSE),"0")</f>
        <v>0</v>
      </c>
      <c r="AM106" s="200"/>
      <c r="AN106" s="200"/>
      <c r="AO106" s="200"/>
      <c r="AP106" s="200"/>
      <c r="AQ106" s="200">
        <f t="shared" si="11"/>
        <v>0</v>
      </c>
      <c r="AS106" s="169"/>
      <c r="AT106" s="169"/>
      <c r="AU106" s="169"/>
      <c r="AV106" s="169"/>
      <c r="AW106" s="169"/>
      <c r="AX106" s="169"/>
      <c r="AY106" s="169"/>
      <c r="AZ106" s="169">
        <f t="shared" si="12"/>
        <v>0</v>
      </c>
    </row>
    <row r="107" spans="1:52" hidden="1" x14ac:dyDescent="0.2">
      <c r="A107" s="220">
        <v>9</v>
      </c>
      <c r="B107" s="170" t="s">
        <v>366</v>
      </c>
      <c r="C107" s="221">
        <v>40</v>
      </c>
      <c r="D107" s="221">
        <v>70</v>
      </c>
      <c r="E107" s="214">
        <v>570</v>
      </c>
      <c r="F107" s="170" t="str">
        <f t="shared" si="13"/>
        <v>6410.08</v>
      </c>
      <c r="G107" s="170" t="s">
        <v>388</v>
      </c>
      <c r="H107" s="168">
        <v>0</v>
      </c>
      <c r="I107" s="168">
        <v>0</v>
      </c>
      <c r="J107" s="168"/>
      <c r="K107" s="168"/>
      <c r="L107" s="168"/>
      <c r="M107" s="194">
        <v>0</v>
      </c>
      <c r="N107" s="168">
        <v>0</v>
      </c>
      <c r="O107" s="168">
        <f t="shared" si="8"/>
        <v>0</v>
      </c>
      <c r="Q107" s="169">
        <v>0</v>
      </c>
      <c r="R107" s="169">
        <v>0</v>
      </c>
      <c r="S107" s="169"/>
      <c r="T107" s="169"/>
      <c r="U107" s="169"/>
      <c r="V107" s="169">
        <v>0</v>
      </c>
      <c r="W107" s="169">
        <v>0</v>
      </c>
      <c r="X107" s="169">
        <f t="shared" si="9"/>
        <v>0</v>
      </c>
      <c r="Z107" s="202">
        <v>0</v>
      </c>
      <c r="AA107" s="202">
        <v>0</v>
      </c>
      <c r="AB107" s="202"/>
      <c r="AC107" s="202"/>
      <c r="AD107" s="202"/>
      <c r="AE107" s="207">
        <v>0</v>
      </c>
      <c r="AF107" s="202">
        <v>0</v>
      </c>
      <c r="AG107" s="202">
        <f t="shared" si="10"/>
        <v>0</v>
      </c>
      <c r="AI107" s="200">
        <v>0</v>
      </c>
      <c r="AJ107" s="200">
        <v>0</v>
      </c>
      <c r="AK107" s="200"/>
      <c r="AL107" s="200">
        <f>IFERROR(VLOOKUP(B107,[2]rptBudgetaryBudgetCrossOrganiza!$A$5236:$O$5854,13,FALSE),"0")</f>
        <v>0</v>
      </c>
      <c r="AM107" s="200"/>
      <c r="AN107" s="200"/>
      <c r="AO107" s="200"/>
      <c r="AP107" s="200"/>
      <c r="AQ107" s="200">
        <f t="shared" si="11"/>
        <v>0</v>
      </c>
      <c r="AS107" s="169"/>
      <c r="AT107" s="169"/>
      <c r="AU107" s="169"/>
      <c r="AV107" s="169"/>
      <c r="AW107" s="169"/>
      <c r="AX107" s="169"/>
      <c r="AY107" s="169"/>
      <c r="AZ107" s="169">
        <f t="shared" si="12"/>
        <v>0</v>
      </c>
    </row>
    <row r="108" spans="1:52" hidden="1" x14ac:dyDescent="0.2">
      <c r="A108" s="220">
        <v>4</v>
      </c>
      <c r="B108" s="170" t="s">
        <v>367</v>
      </c>
      <c r="C108" s="221">
        <v>40</v>
      </c>
      <c r="D108" s="221">
        <v>70</v>
      </c>
      <c r="E108" s="214">
        <v>570</v>
      </c>
      <c r="F108" s="170" t="str">
        <f t="shared" si="13"/>
        <v>6500.04</v>
      </c>
      <c r="G108" s="170" t="s">
        <v>206</v>
      </c>
      <c r="H108" s="168">
        <v>19580</v>
      </c>
      <c r="I108" s="168">
        <v>19580</v>
      </c>
      <c r="J108" s="168"/>
      <c r="K108" s="168"/>
      <c r="L108" s="168"/>
      <c r="M108" s="194">
        <v>19580</v>
      </c>
      <c r="N108" s="168">
        <v>19580</v>
      </c>
      <c r="O108" s="168">
        <f t="shared" si="8"/>
        <v>0</v>
      </c>
      <c r="Q108" s="169">
        <v>27010</v>
      </c>
      <c r="R108" s="169">
        <v>27010</v>
      </c>
      <c r="S108" s="169"/>
      <c r="T108" s="169"/>
      <c r="U108" s="169"/>
      <c r="V108" s="169">
        <v>27010</v>
      </c>
      <c r="W108" s="169">
        <v>27010</v>
      </c>
      <c r="X108" s="169">
        <f t="shared" si="9"/>
        <v>0</v>
      </c>
      <c r="Z108" s="202">
        <v>34110</v>
      </c>
      <c r="AA108" s="202">
        <v>34110</v>
      </c>
      <c r="AB108" s="202"/>
      <c r="AC108" s="202"/>
      <c r="AD108" s="202"/>
      <c r="AE108" s="207">
        <v>14212.5</v>
      </c>
      <c r="AF108" s="202">
        <v>14212.5</v>
      </c>
      <c r="AG108" s="202">
        <f t="shared" si="10"/>
        <v>-19897.5</v>
      </c>
      <c r="AI108" s="200">
        <v>34110</v>
      </c>
      <c r="AJ108" s="200">
        <v>34110</v>
      </c>
      <c r="AK108" s="200">
        <v>34110</v>
      </c>
      <c r="AL108" s="200">
        <f>IFERROR(VLOOKUP(B108,[2]rptBudgetaryBudgetCrossOrganiza!$A$5236:$O$5854,13,FALSE),"0")</f>
        <v>0</v>
      </c>
      <c r="AM108" s="200"/>
      <c r="AN108" s="200"/>
      <c r="AO108" s="200"/>
      <c r="AP108" s="200"/>
      <c r="AQ108" s="200">
        <f t="shared" si="11"/>
        <v>-34110</v>
      </c>
      <c r="AS108" s="169"/>
      <c r="AT108" s="169"/>
      <c r="AU108" s="169"/>
      <c r="AV108" s="169"/>
      <c r="AW108" s="169"/>
      <c r="AX108" s="169"/>
      <c r="AY108" s="169"/>
      <c r="AZ108" s="169">
        <f t="shared" si="12"/>
        <v>0</v>
      </c>
    </row>
    <row r="109" spans="1:52" hidden="1" x14ac:dyDescent="0.2">
      <c r="A109" s="220">
        <v>6</v>
      </c>
      <c r="B109" s="170" t="s">
        <v>368</v>
      </c>
      <c r="C109" s="221">
        <v>40</v>
      </c>
      <c r="D109" s="221">
        <v>70</v>
      </c>
      <c r="E109" s="214">
        <v>570</v>
      </c>
      <c r="F109" s="170" t="str">
        <f t="shared" si="13"/>
        <v>6600.04</v>
      </c>
      <c r="G109" s="170" t="s">
        <v>207</v>
      </c>
      <c r="H109" s="168">
        <v>0</v>
      </c>
      <c r="I109" s="168">
        <v>0</v>
      </c>
      <c r="J109" s="168"/>
      <c r="K109" s="168"/>
      <c r="L109" s="168"/>
      <c r="M109" s="194">
        <v>0</v>
      </c>
      <c r="N109" s="168">
        <v>0</v>
      </c>
      <c r="O109" s="168">
        <f t="shared" si="8"/>
        <v>0</v>
      </c>
      <c r="Q109" s="169">
        <v>0</v>
      </c>
      <c r="R109" s="169">
        <v>1500</v>
      </c>
      <c r="S109" s="169"/>
      <c r="T109" s="169"/>
      <c r="U109" s="169"/>
      <c r="V109" s="169">
        <v>1327.05</v>
      </c>
      <c r="W109" s="169">
        <v>1327.05</v>
      </c>
      <c r="X109" s="169">
        <f t="shared" si="9"/>
        <v>-172.95000000000005</v>
      </c>
      <c r="Z109" s="202">
        <v>0</v>
      </c>
      <c r="AA109" s="202">
        <v>0</v>
      </c>
      <c r="AB109" s="202"/>
      <c r="AC109" s="202"/>
      <c r="AD109" s="202"/>
      <c r="AE109" s="207">
        <v>0</v>
      </c>
      <c r="AF109" s="202">
        <v>0</v>
      </c>
      <c r="AG109" s="202">
        <f t="shared" si="10"/>
        <v>0</v>
      </c>
      <c r="AI109" s="200">
        <v>0</v>
      </c>
      <c r="AJ109" s="200">
        <v>0</v>
      </c>
      <c r="AK109" s="200"/>
      <c r="AL109" s="200">
        <f>IFERROR(VLOOKUP(B109,[2]rptBudgetaryBudgetCrossOrganiza!$A$5236:$O$5854,13,FALSE),"0")</f>
        <v>0</v>
      </c>
      <c r="AM109" s="200"/>
      <c r="AN109" s="200"/>
      <c r="AO109" s="200"/>
      <c r="AP109" s="200"/>
      <c r="AQ109" s="200">
        <f t="shared" si="11"/>
        <v>0</v>
      </c>
      <c r="AS109" s="169"/>
      <c r="AT109" s="169"/>
      <c r="AU109" s="169"/>
      <c r="AV109" s="169"/>
      <c r="AW109" s="169"/>
      <c r="AX109" s="169"/>
      <c r="AY109" s="169"/>
      <c r="AZ109" s="169">
        <f t="shared" si="12"/>
        <v>0</v>
      </c>
    </row>
    <row r="110" spans="1:52" hidden="1" x14ac:dyDescent="0.2">
      <c r="A110" s="220">
        <v>6</v>
      </c>
      <c r="B110" s="170" t="s">
        <v>369</v>
      </c>
      <c r="C110" s="221">
        <v>40</v>
      </c>
      <c r="D110" s="221">
        <v>70</v>
      </c>
      <c r="E110" s="214">
        <v>570</v>
      </c>
      <c r="F110" s="170" t="str">
        <f t="shared" si="13"/>
        <v>6600.07</v>
      </c>
      <c r="G110" s="170" t="s">
        <v>208</v>
      </c>
      <c r="H110" s="168">
        <v>0</v>
      </c>
      <c r="I110" s="168">
        <v>1300</v>
      </c>
      <c r="J110" s="168"/>
      <c r="K110" s="168"/>
      <c r="L110" s="168"/>
      <c r="M110" s="194">
        <v>0</v>
      </c>
      <c r="N110" s="168">
        <v>0</v>
      </c>
      <c r="O110" s="168">
        <f t="shared" si="8"/>
        <v>-1300</v>
      </c>
      <c r="Q110" s="169">
        <v>950</v>
      </c>
      <c r="R110" s="169">
        <v>950</v>
      </c>
      <c r="S110" s="169"/>
      <c r="T110" s="169"/>
      <c r="U110" s="169"/>
      <c r="V110" s="169">
        <v>825.3</v>
      </c>
      <c r="W110" s="169">
        <v>825.3</v>
      </c>
      <c r="X110" s="169">
        <f t="shared" si="9"/>
        <v>-124.70000000000005</v>
      </c>
      <c r="Z110" s="202">
        <v>950</v>
      </c>
      <c r="AA110" s="202">
        <v>950</v>
      </c>
      <c r="AB110" s="202"/>
      <c r="AC110" s="202"/>
      <c r="AD110" s="202"/>
      <c r="AE110" s="207">
        <v>170</v>
      </c>
      <c r="AF110" s="202">
        <v>170</v>
      </c>
      <c r="AG110" s="202">
        <f t="shared" si="10"/>
        <v>-780</v>
      </c>
      <c r="AI110" s="200">
        <v>950</v>
      </c>
      <c r="AJ110" s="200">
        <v>950</v>
      </c>
      <c r="AK110" s="200">
        <v>350</v>
      </c>
      <c r="AL110" s="200">
        <f>IFERROR(VLOOKUP(B110,[2]rptBudgetaryBudgetCrossOrganiza!$A$5236:$O$5854,13,FALSE),"0")</f>
        <v>12.07</v>
      </c>
      <c r="AM110" s="200"/>
      <c r="AN110" s="200"/>
      <c r="AO110" s="200"/>
      <c r="AP110" s="200"/>
      <c r="AQ110" s="200">
        <f t="shared" si="11"/>
        <v>-950</v>
      </c>
      <c r="AS110" s="169"/>
      <c r="AT110" s="169"/>
      <c r="AU110" s="169"/>
      <c r="AV110" s="169"/>
      <c r="AW110" s="169"/>
      <c r="AX110" s="169"/>
      <c r="AY110" s="169"/>
      <c r="AZ110" s="169">
        <f t="shared" si="12"/>
        <v>0</v>
      </c>
    </row>
    <row r="111" spans="1:52" hidden="1" x14ac:dyDescent="0.2">
      <c r="A111" s="220">
        <v>6</v>
      </c>
      <c r="B111" s="170" t="s">
        <v>370</v>
      </c>
      <c r="C111" s="221">
        <v>40</v>
      </c>
      <c r="D111" s="221">
        <v>70</v>
      </c>
      <c r="E111" s="214">
        <v>570</v>
      </c>
      <c r="F111" s="170" t="str">
        <f t="shared" si="13"/>
        <v>6600.26</v>
      </c>
      <c r="G111" s="170" t="s">
        <v>209</v>
      </c>
      <c r="H111" s="168">
        <v>27860</v>
      </c>
      <c r="I111" s="168">
        <v>27860</v>
      </c>
      <c r="J111" s="168"/>
      <c r="K111" s="168"/>
      <c r="L111" s="168"/>
      <c r="M111" s="194">
        <v>27860</v>
      </c>
      <c r="N111" s="168">
        <v>27860</v>
      </c>
      <c r="O111" s="168">
        <f t="shared" si="8"/>
        <v>0</v>
      </c>
      <c r="Q111" s="169">
        <v>34990</v>
      </c>
      <c r="R111" s="169">
        <v>34990</v>
      </c>
      <c r="S111" s="169"/>
      <c r="T111" s="169"/>
      <c r="U111" s="169"/>
      <c r="V111" s="169">
        <v>34990</v>
      </c>
      <c r="W111" s="169">
        <v>34990</v>
      </c>
      <c r="X111" s="169">
        <f t="shared" si="9"/>
        <v>0</v>
      </c>
      <c r="Z111" s="202">
        <v>34270</v>
      </c>
      <c r="AA111" s="202">
        <v>34270</v>
      </c>
      <c r="AB111" s="202"/>
      <c r="AC111" s="202"/>
      <c r="AD111" s="202"/>
      <c r="AE111" s="207">
        <v>14279.15</v>
      </c>
      <c r="AF111" s="202">
        <v>14279.15</v>
      </c>
      <c r="AG111" s="202">
        <f t="shared" si="10"/>
        <v>-19990.849999999999</v>
      </c>
      <c r="AI111" s="200">
        <v>34270</v>
      </c>
      <c r="AJ111" s="200">
        <v>34270</v>
      </c>
      <c r="AK111" s="200">
        <v>34270</v>
      </c>
      <c r="AL111" s="200">
        <f>IFERROR(VLOOKUP(B111,[2]rptBudgetaryBudgetCrossOrganiza!$A$5236:$O$5854,13,FALSE),"0")</f>
        <v>0</v>
      </c>
      <c r="AM111" s="200"/>
      <c r="AN111" s="200"/>
      <c r="AO111" s="200"/>
      <c r="AP111" s="200"/>
      <c r="AQ111" s="200">
        <f t="shared" si="11"/>
        <v>-34270</v>
      </c>
      <c r="AS111" s="169"/>
      <c r="AT111" s="169"/>
      <c r="AU111" s="169"/>
      <c r="AV111" s="169"/>
      <c r="AW111" s="169"/>
      <c r="AX111" s="169"/>
      <c r="AY111" s="169"/>
      <c r="AZ111" s="169">
        <f t="shared" si="12"/>
        <v>0</v>
      </c>
    </row>
    <row r="112" spans="1:52" hidden="1" x14ac:dyDescent="0.2">
      <c r="A112" s="220">
        <v>6</v>
      </c>
      <c r="B112" s="170" t="s">
        <v>371</v>
      </c>
      <c r="C112" s="221">
        <v>40</v>
      </c>
      <c r="D112" s="221">
        <v>70</v>
      </c>
      <c r="E112" s="214">
        <v>570</v>
      </c>
      <c r="F112" s="170" t="str">
        <f t="shared" si="13"/>
        <v>6600.28</v>
      </c>
      <c r="G112" s="170" t="s">
        <v>210</v>
      </c>
      <c r="H112" s="168">
        <v>15000</v>
      </c>
      <c r="I112" s="168">
        <v>15000</v>
      </c>
      <c r="J112" s="168"/>
      <c r="K112" s="168"/>
      <c r="L112" s="168"/>
      <c r="M112" s="194">
        <v>0</v>
      </c>
      <c r="N112" s="168">
        <v>0</v>
      </c>
      <c r="O112" s="168">
        <f t="shared" si="8"/>
        <v>-15000</v>
      </c>
      <c r="Q112" s="169">
        <v>0</v>
      </c>
      <c r="R112" s="169">
        <v>0</v>
      </c>
      <c r="S112" s="169"/>
      <c r="T112" s="169"/>
      <c r="U112" s="169"/>
      <c r="V112" s="169">
        <v>0</v>
      </c>
      <c r="W112" s="169">
        <v>0</v>
      </c>
      <c r="X112" s="169">
        <f t="shared" si="9"/>
        <v>0</v>
      </c>
      <c r="Z112" s="202">
        <v>0</v>
      </c>
      <c r="AA112" s="202">
        <v>0</v>
      </c>
      <c r="AB112" s="202"/>
      <c r="AC112" s="202"/>
      <c r="AD112" s="202"/>
      <c r="AE112" s="207">
        <v>0</v>
      </c>
      <c r="AF112" s="202">
        <v>0</v>
      </c>
      <c r="AG112" s="202">
        <f t="shared" si="10"/>
        <v>0</v>
      </c>
      <c r="AI112" s="200">
        <v>0</v>
      </c>
      <c r="AJ112" s="200">
        <v>0</v>
      </c>
      <c r="AK112" s="200"/>
      <c r="AL112" s="200">
        <f>IFERROR(VLOOKUP(B112,[2]rptBudgetaryBudgetCrossOrganiza!$A$5236:$O$5854,13,FALSE),"0")</f>
        <v>0</v>
      </c>
      <c r="AM112" s="200"/>
      <c r="AN112" s="200"/>
      <c r="AO112" s="200"/>
      <c r="AP112" s="200"/>
      <c r="AQ112" s="200">
        <f t="shared" si="11"/>
        <v>0</v>
      </c>
      <c r="AS112" s="169"/>
      <c r="AT112" s="169"/>
      <c r="AU112" s="169"/>
      <c r="AV112" s="169"/>
      <c r="AW112" s="169"/>
      <c r="AX112" s="169"/>
      <c r="AY112" s="169"/>
      <c r="AZ112" s="169">
        <f t="shared" si="12"/>
        <v>0</v>
      </c>
    </row>
    <row r="113" spans="1:52" hidden="1" x14ac:dyDescent="0.2">
      <c r="A113" s="220">
        <v>6</v>
      </c>
      <c r="B113" s="170" t="s">
        <v>372</v>
      </c>
      <c r="C113" s="221">
        <v>40</v>
      </c>
      <c r="D113" s="221">
        <v>70</v>
      </c>
      <c r="E113" s="214">
        <v>570</v>
      </c>
      <c r="F113" s="170" t="str">
        <f t="shared" si="13"/>
        <v>6600.32</v>
      </c>
      <c r="G113" s="170" t="s">
        <v>213</v>
      </c>
      <c r="H113" s="168">
        <v>10000</v>
      </c>
      <c r="I113" s="168">
        <v>10000</v>
      </c>
      <c r="J113" s="168"/>
      <c r="K113" s="168"/>
      <c r="L113" s="168"/>
      <c r="M113" s="194">
        <v>0</v>
      </c>
      <c r="N113" s="168">
        <v>0</v>
      </c>
      <c r="O113" s="168">
        <f t="shared" si="8"/>
        <v>-10000</v>
      </c>
      <c r="Q113" s="169">
        <v>0</v>
      </c>
      <c r="R113" s="169">
        <v>0</v>
      </c>
      <c r="S113" s="169"/>
      <c r="T113" s="169"/>
      <c r="U113" s="169"/>
      <c r="V113" s="169">
        <v>0</v>
      </c>
      <c r="W113" s="169">
        <v>0</v>
      </c>
      <c r="X113" s="169">
        <f t="shared" si="9"/>
        <v>0</v>
      </c>
      <c r="Z113" s="202">
        <v>0</v>
      </c>
      <c r="AA113" s="202">
        <v>0</v>
      </c>
      <c r="AB113" s="202"/>
      <c r="AC113" s="202"/>
      <c r="AD113" s="202"/>
      <c r="AE113" s="207">
        <v>0</v>
      </c>
      <c r="AF113" s="202">
        <v>0</v>
      </c>
      <c r="AG113" s="202">
        <f t="shared" si="10"/>
        <v>0</v>
      </c>
      <c r="AI113" s="200">
        <v>0</v>
      </c>
      <c r="AJ113" s="200">
        <v>0</v>
      </c>
      <c r="AK113" s="200"/>
      <c r="AL113" s="200">
        <f>IFERROR(VLOOKUP(B113,[2]rptBudgetaryBudgetCrossOrganiza!$A$5236:$O$5854,13,FALSE),"0")</f>
        <v>0</v>
      </c>
      <c r="AM113" s="200"/>
      <c r="AN113" s="200"/>
      <c r="AO113" s="200"/>
      <c r="AP113" s="200"/>
      <c r="AQ113" s="200">
        <f t="shared" si="11"/>
        <v>0</v>
      </c>
      <c r="AS113" s="169"/>
      <c r="AT113" s="169"/>
      <c r="AU113" s="169"/>
      <c r="AV113" s="169"/>
      <c r="AW113" s="169"/>
      <c r="AX113" s="169"/>
      <c r="AY113" s="169"/>
      <c r="AZ113" s="169">
        <f t="shared" si="12"/>
        <v>0</v>
      </c>
    </row>
    <row r="114" spans="1:52" hidden="1" x14ac:dyDescent="0.2">
      <c r="A114" s="220">
        <v>6</v>
      </c>
      <c r="B114" s="170" t="s">
        <v>373</v>
      </c>
      <c r="C114" s="221">
        <v>40</v>
      </c>
      <c r="D114" s="221">
        <v>70</v>
      </c>
      <c r="E114" s="214">
        <v>570</v>
      </c>
      <c r="F114" s="170" t="str">
        <f t="shared" si="13"/>
        <v>6600.36</v>
      </c>
      <c r="G114" s="170" t="s">
        <v>211</v>
      </c>
      <c r="H114" s="168">
        <v>18810</v>
      </c>
      <c r="I114" s="168">
        <v>18810</v>
      </c>
      <c r="J114" s="168"/>
      <c r="K114" s="168"/>
      <c r="L114" s="168"/>
      <c r="M114" s="194">
        <v>18810</v>
      </c>
      <c r="N114" s="168">
        <v>18810</v>
      </c>
      <c r="O114" s="168">
        <f t="shared" si="8"/>
        <v>0</v>
      </c>
      <c r="Q114" s="169">
        <v>25080</v>
      </c>
      <c r="R114" s="169">
        <v>25080</v>
      </c>
      <c r="S114" s="169"/>
      <c r="T114" s="169"/>
      <c r="U114" s="169"/>
      <c r="V114" s="169">
        <v>25080</v>
      </c>
      <c r="W114" s="169">
        <v>25080</v>
      </c>
      <c r="X114" s="169">
        <f t="shared" si="9"/>
        <v>0</v>
      </c>
      <c r="Z114" s="202">
        <v>29200</v>
      </c>
      <c r="AA114" s="202">
        <v>29200</v>
      </c>
      <c r="AB114" s="202"/>
      <c r="AC114" s="202"/>
      <c r="AD114" s="202"/>
      <c r="AE114" s="207">
        <v>12166.65</v>
      </c>
      <c r="AF114" s="202">
        <v>12166.65</v>
      </c>
      <c r="AG114" s="202">
        <f t="shared" si="10"/>
        <v>-17033.349999999999</v>
      </c>
      <c r="AI114" s="200">
        <v>29200</v>
      </c>
      <c r="AJ114" s="200">
        <v>29200</v>
      </c>
      <c r="AK114" s="200">
        <v>29200</v>
      </c>
      <c r="AL114" s="200">
        <f>IFERROR(VLOOKUP(B114,[2]rptBudgetaryBudgetCrossOrganiza!$A$5236:$O$5854,13,FALSE),"0")</f>
        <v>0</v>
      </c>
      <c r="AM114" s="200"/>
      <c r="AN114" s="200"/>
      <c r="AO114" s="200"/>
      <c r="AP114" s="200"/>
      <c r="AQ114" s="200">
        <f t="shared" si="11"/>
        <v>-29200</v>
      </c>
      <c r="AS114" s="169"/>
      <c r="AT114" s="169"/>
      <c r="AU114" s="169"/>
      <c r="AV114" s="169"/>
      <c r="AW114" s="169"/>
      <c r="AX114" s="169"/>
      <c r="AY114" s="169"/>
      <c r="AZ114" s="169">
        <f t="shared" si="12"/>
        <v>0</v>
      </c>
    </row>
    <row r="115" spans="1:52" hidden="1" x14ac:dyDescent="0.2">
      <c r="A115" s="220">
        <v>7</v>
      </c>
      <c r="B115" s="170" t="s">
        <v>389</v>
      </c>
      <c r="C115" s="221">
        <v>40</v>
      </c>
      <c r="D115" s="221">
        <v>70</v>
      </c>
      <c r="E115" s="214">
        <v>570</v>
      </c>
      <c r="F115" s="170" t="str">
        <f t="shared" si="13"/>
        <v>7000.03</v>
      </c>
      <c r="G115" s="170" t="s">
        <v>163</v>
      </c>
      <c r="H115" s="168">
        <v>0</v>
      </c>
      <c r="I115" s="168">
        <v>0</v>
      </c>
      <c r="J115" s="168"/>
      <c r="K115" s="168"/>
      <c r="L115" s="168"/>
      <c r="M115" s="194">
        <v>0</v>
      </c>
      <c r="N115" s="168">
        <v>0</v>
      </c>
      <c r="O115" s="168">
        <f t="shared" si="8"/>
        <v>0</v>
      </c>
      <c r="Q115" s="169">
        <v>0</v>
      </c>
      <c r="R115" s="169">
        <v>24990</v>
      </c>
      <c r="S115" s="169"/>
      <c r="T115" s="169"/>
      <c r="U115" s="169"/>
      <c r="V115" s="169">
        <v>24291.3</v>
      </c>
      <c r="W115" s="169">
        <v>24291.3</v>
      </c>
      <c r="X115" s="169">
        <f t="shared" si="9"/>
        <v>-698.70000000000073</v>
      </c>
      <c r="Z115" s="202">
        <v>0</v>
      </c>
      <c r="AA115" s="202">
        <v>0</v>
      </c>
      <c r="AB115" s="202"/>
      <c r="AC115" s="202"/>
      <c r="AD115" s="202"/>
      <c r="AE115" s="207">
        <v>0</v>
      </c>
      <c r="AF115" s="202">
        <v>0</v>
      </c>
      <c r="AG115" s="202">
        <f t="shared" si="10"/>
        <v>0</v>
      </c>
      <c r="AI115" s="200">
        <v>0</v>
      </c>
      <c r="AJ115" s="200">
        <v>0</v>
      </c>
      <c r="AK115" s="200"/>
      <c r="AL115" s="200">
        <f>IFERROR(VLOOKUP(B115,[2]rptBudgetaryBudgetCrossOrganiza!$A$5236:$O$5854,13,FALSE),"0")</f>
        <v>0</v>
      </c>
      <c r="AM115" s="200"/>
      <c r="AN115" s="200"/>
      <c r="AO115" s="200"/>
      <c r="AP115" s="200"/>
      <c r="AQ115" s="200">
        <f t="shared" si="11"/>
        <v>0</v>
      </c>
      <c r="AS115" s="169"/>
      <c r="AT115" s="169"/>
      <c r="AU115" s="169"/>
      <c r="AV115" s="169"/>
      <c r="AW115" s="169"/>
      <c r="AX115" s="169"/>
      <c r="AY115" s="169"/>
      <c r="AZ115" s="169">
        <f t="shared" si="12"/>
        <v>0</v>
      </c>
    </row>
    <row r="116" spans="1:52" hidden="1" x14ac:dyDescent="0.2">
      <c r="A116" s="220">
        <v>4</v>
      </c>
      <c r="B116" s="170" t="s">
        <v>390</v>
      </c>
      <c r="C116" s="214">
        <v>40</v>
      </c>
      <c r="D116" s="214">
        <v>70</v>
      </c>
      <c r="E116" s="221">
        <v>580</v>
      </c>
      <c r="F116" s="170" t="str">
        <f t="shared" si="13"/>
        <v>5000.01</v>
      </c>
      <c r="G116" s="170" t="s">
        <v>165</v>
      </c>
      <c r="H116" s="168">
        <v>114230</v>
      </c>
      <c r="I116" s="168">
        <v>129593</v>
      </c>
      <c r="J116" s="168"/>
      <c r="K116" s="168"/>
      <c r="L116" s="168"/>
      <c r="M116" s="194">
        <v>111151.47</v>
      </c>
      <c r="N116" s="168">
        <v>111151.47</v>
      </c>
      <c r="O116" s="168">
        <f t="shared" si="8"/>
        <v>-18441.53</v>
      </c>
      <c r="Q116" s="169">
        <v>146160</v>
      </c>
      <c r="R116" s="169">
        <v>146160</v>
      </c>
      <c r="S116" s="169"/>
      <c r="T116" s="169"/>
      <c r="U116" s="169"/>
      <c r="V116" s="169">
        <v>124149.6</v>
      </c>
      <c r="W116" s="169">
        <v>124149.6</v>
      </c>
      <c r="X116" s="169">
        <f t="shared" si="9"/>
        <v>-22010.399999999994</v>
      </c>
      <c r="Z116" s="202">
        <v>177255</v>
      </c>
      <c r="AA116" s="202">
        <v>184024</v>
      </c>
      <c r="AB116" s="202"/>
      <c r="AC116" s="202"/>
      <c r="AD116" s="202"/>
      <c r="AE116" s="207">
        <v>144376.88</v>
      </c>
      <c r="AF116" s="202">
        <v>144376.88</v>
      </c>
      <c r="AG116" s="202">
        <f t="shared" si="10"/>
        <v>-39647.119999999995</v>
      </c>
      <c r="AI116" s="200">
        <v>182573</v>
      </c>
      <c r="AJ116" s="200">
        <v>182573</v>
      </c>
      <c r="AK116" s="200">
        <v>182573</v>
      </c>
      <c r="AL116" s="200">
        <f>IFERROR(VLOOKUP(B116,[2]rptBudgetaryBudgetCrossOrganiza!$A$5236:$O$5854,13,FALSE),"0")</f>
        <v>38956.199999999997</v>
      </c>
      <c r="AM116" s="200"/>
      <c r="AN116" s="200"/>
      <c r="AO116" s="200"/>
      <c r="AP116" s="200"/>
      <c r="AQ116" s="200">
        <f t="shared" si="11"/>
        <v>-182573</v>
      </c>
      <c r="AS116" s="169"/>
      <c r="AT116" s="169"/>
      <c r="AU116" s="169"/>
      <c r="AV116" s="169"/>
      <c r="AW116" s="169"/>
      <c r="AX116" s="169"/>
      <c r="AY116" s="169"/>
      <c r="AZ116" s="169">
        <f t="shared" si="12"/>
        <v>0</v>
      </c>
    </row>
    <row r="117" spans="1:52" hidden="1" x14ac:dyDescent="0.2">
      <c r="A117" s="220">
        <v>4</v>
      </c>
      <c r="B117" s="170" t="s">
        <v>391</v>
      </c>
      <c r="C117" s="214">
        <v>40</v>
      </c>
      <c r="D117" s="214">
        <v>70</v>
      </c>
      <c r="E117" s="221">
        <v>580</v>
      </c>
      <c r="F117" s="170" t="str">
        <f t="shared" si="13"/>
        <v>5000.02</v>
      </c>
      <c r="G117" s="170" t="s">
        <v>166</v>
      </c>
      <c r="H117" s="168">
        <v>0</v>
      </c>
      <c r="I117" s="168">
        <v>0</v>
      </c>
      <c r="J117" s="168"/>
      <c r="K117" s="168"/>
      <c r="L117" s="168"/>
      <c r="M117" s="194">
        <v>0</v>
      </c>
      <c r="N117" s="168">
        <v>0</v>
      </c>
      <c r="O117" s="168">
        <f t="shared" si="8"/>
        <v>0</v>
      </c>
      <c r="Q117" s="169">
        <v>0</v>
      </c>
      <c r="R117" s="169">
        <v>0</v>
      </c>
      <c r="S117" s="169"/>
      <c r="T117" s="169"/>
      <c r="U117" s="169"/>
      <c r="V117" s="169">
        <v>0</v>
      </c>
      <c r="W117" s="169">
        <v>0</v>
      </c>
      <c r="X117" s="169">
        <f t="shared" si="9"/>
        <v>0</v>
      </c>
      <c r="Z117" s="202">
        <v>0</v>
      </c>
      <c r="AA117" s="202">
        <v>0</v>
      </c>
      <c r="AB117" s="202"/>
      <c r="AC117" s="202"/>
      <c r="AD117" s="202"/>
      <c r="AE117" s="207">
        <v>0</v>
      </c>
      <c r="AF117" s="202">
        <v>0</v>
      </c>
      <c r="AG117" s="202">
        <f t="shared" si="10"/>
        <v>0</v>
      </c>
      <c r="AI117" s="200">
        <v>0</v>
      </c>
      <c r="AJ117" s="200">
        <v>0</v>
      </c>
      <c r="AK117" s="200"/>
      <c r="AL117" s="200">
        <f>IFERROR(VLOOKUP(B117,[2]rptBudgetaryBudgetCrossOrganiza!$A$5236:$O$5854,13,FALSE),"0")</f>
        <v>0</v>
      </c>
      <c r="AM117" s="200"/>
      <c r="AN117" s="200"/>
      <c r="AO117" s="200"/>
      <c r="AP117" s="200"/>
      <c r="AQ117" s="200">
        <f t="shared" si="11"/>
        <v>0</v>
      </c>
      <c r="AS117" s="169"/>
      <c r="AT117" s="169"/>
      <c r="AU117" s="169"/>
      <c r="AV117" s="169"/>
      <c r="AW117" s="169"/>
      <c r="AX117" s="169"/>
      <c r="AY117" s="169"/>
      <c r="AZ117" s="169">
        <f t="shared" si="12"/>
        <v>0</v>
      </c>
    </row>
    <row r="118" spans="1:52" hidden="1" x14ac:dyDescent="0.2">
      <c r="A118" s="220">
        <v>4</v>
      </c>
      <c r="B118" s="170" t="s">
        <v>392</v>
      </c>
      <c r="C118" s="214">
        <v>40</v>
      </c>
      <c r="D118" s="214">
        <v>70</v>
      </c>
      <c r="E118" s="221">
        <v>580</v>
      </c>
      <c r="F118" s="170" t="str">
        <f t="shared" si="13"/>
        <v>5000.03</v>
      </c>
      <c r="G118" s="170" t="s">
        <v>167</v>
      </c>
      <c r="H118" s="168">
        <v>2500</v>
      </c>
      <c r="I118" s="168">
        <v>2500</v>
      </c>
      <c r="J118" s="168"/>
      <c r="K118" s="168"/>
      <c r="L118" s="168"/>
      <c r="M118" s="194">
        <v>6576.97</v>
      </c>
      <c r="N118" s="168">
        <v>6576.97</v>
      </c>
      <c r="O118" s="168">
        <f t="shared" si="8"/>
        <v>4076.9700000000003</v>
      </c>
      <c r="Q118" s="169">
        <v>2500</v>
      </c>
      <c r="R118" s="169">
        <v>2500</v>
      </c>
      <c r="S118" s="169"/>
      <c r="T118" s="169"/>
      <c r="U118" s="169"/>
      <c r="V118" s="169">
        <v>9215.8700000000008</v>
      </c>
      <c r="W118" s="169">
        <v>9215.8700000000008</v>
      </c>
      <c r="X118" s="169">
        <f t="shared" si="9"/>
        <v>6715.8700000000008</v>
      </c>
      <c r="Z118" s="202">
        <v>7500</v>
      </c>
      <c r="AA118" s="202">
        <v>7500</v>
      </c>
      <c r="AB118" s="202"/>
      <c r="AC118" s="202"/>
      <c r="AD118" s="202"/>
      <c r="AE118" s="207">
        <v>9825.77</v>
      </c>
      <c r="AF118" s="202">
        <v>9825.77</v>
      </c>
      <c r="AG118" s="202">
        <f t="shared" si="10"/>
        <v>2325.7700000000004</v>
      </c>
      <c r="AI118" s="200">
        <v>7725</v>
      </c>
      <c r="AJ118" s="200">
        <v>7725</v>
      </c>
      <c r="AK118" s="200">
        <v>7725</v>
      </c>
      <c r="AL118" s="200">
        <f>IFERROR(VLOOKUP(B118,[2]rptBudgetaryBudgetCrossOrganiza!$A$5236:$O$5854,13,FALSE),"0")</f>
        <v>455.43</v>
      </c>
      <c r="AM118" s="200"/>
      <c r="AN118" s="200"/>
      <c r="AO118" s="200"/>
      <c r="AP118" s="200"/>
      <c r="AQ118" s="200">
        <f t="shared" si="11"/>
        <v>-7725</v>
      </c>
      <c r="AS118" s="169"/>
      <c r="AT118" s="169"/>
      <c r="AU118" s="169"/>
      <c r="AV118" s="169"/>
      <c r="AW118" s="169"/>
      <c r="AX118" s="169"/>
      <c r="AY118" s="169"/>
      <c r="AZ118" s="169">
        <f t="shared" si="12"/>
        <v>0</v>
      </c>
    </row>
    <row r="119" spans="1:52" hidden="1" x14ac:dyDescent="0.2">
      <c r="A119" s="220">
        <v>4</v>
      </c>
      <c r="B119" s="170" t="s">
        <v>393</v>
      </c>
      <c r="C119" s="214">
        <v>40</v>
      </c>
      <c r="D119" s="214">
        <v>70</v>
      </c>
      <c r="E119" s="221">
        <v>580</v>
      </c>
      <c r="F119" s="170" t="str">
        <f t="shared" si="13"/>
        <v>5000.04</v>
      </c>
      <c r="G119" s="170" t="s">
        <v>168</v>
      </c>
      <c r="H119" s="168">
        <v>0</v>
      </c>
      <c r="I119" s="168">
        <v>0</v>
      </c>
      <c r="J119" s="168"/>
      <c r="K119" s="168"/>
      <c r="L119" s="168"/>
      <c r="M119" s="194">
        <v>0</v>
      </c>
      <c r="N119" s="168">
        <v>0</v>
      </c>
      <c r="O119" s="168">
        <f t="shared" si="8"/>
        <v>0</v>
      </c>
      <c r="Q119" s="169">
        <v>0</v>
      </c>
      <c r="R119" s="169">
        <v>0</v>
      </c>
      <c r="S119" s="169"/>
      <c r="T119" s="169"/>
      <c r="U119" s="169"/>
      <c r="V119" s="169">
        <v>0</v>
      </c>
      <c r="W119" s="169">
        <v>0</v>
      </c>
      <c r="X119" s="169">
        <f t="shared" si="9"/>
        <v>0</v>
      </c>
      <c r="Z119" s="202">
        <v>0</v>
      </c>
      <c r="AA119" s="202">
        <v>0</v>
      </c>
      <c r="AB119" s="202"/>
      <c r="AC119" s="202"/>
      <c r="AD119" s="202"/>
      <c r="AE119" s="207">
        <v>81.010000000000005</v>
      </c>
      <c r="AF119" s="202">
        <v>81.010000000000005</v>
      </c>
      <c r="AG119" s="202">
        <f t="shared" si="10"/>
        <v>81.010000000000005</v>
      </c>
      <c r="AI119" s="200">
        <v>0</v>
      </c>
      <c r="AJ119" s="200">
        <v>0</v>
      </c>
      <c r="AK119" s="200"/>
      <c r="AL119" s="200">
        <f>IFERROR(VLOOKUP(B119,[2]rptBudgetaryBudgetCrossOrganiza!$A$5236:$O$5854,13,FALSE),"0")</f>
        <v>0</v>
      </c>
      <c r="AM119" s="200"/>
      <c r="AN119" s="200"/>
      <c r="AO119" s="200"/>
      <c r="AP119" s="200"/>
      <c r="AQ119" s="200">
        <f t="shared" si="11"/>
        <v>0</v>
      </c>
      <c r="AS119" s="169"/>
      <c r="AT119" s="169"/>
      <c r="AU119" s="169"/>
      <c r="AV119" s="169"/>
      <c r="AW119" s="169"/>
      <c r="AX119" s="169"/>
      <c r="AY119" s="169"/>
      <c r="AZ119" s="169">
        <f t="shared" si="12"/>
        <v>0</v>
      </c>
    </row>
    <row r="120" spans="1:52" x14ac:dyDescent="0.2">
      <c r="A120" s="220">
        <v>4</v>
      </c>
      <c r="B120" s="170" t="s">
        <v>394</v>
      </c>
      <c r="C120" s="214">
        <v>40</v>
      </c>
      <c r="D120" s="214">
        <v>70</v>
      </c>
      <c r="E120" s="221">
        <v>580</v>
      </c>
      <c r="F120" s="170" t="str">
        <f t="shared" si="13"/>
        <v>5000.06</v>
      </c>
      <c r="G120" s="170" t="s">
        <v>170</v>
      </c>
      <c r="H120" s="168">
        <v>150</v>
      </c>
      <c r="I120" s="168">
        <v>150</v>
      </c>
      <c r="J120" s="168"/>
      <c r="K120" s="168"/>
      <c r="L120" s="168"/>
      <c r="M120" s="194">
        <v>101.57</v>
      </c>
      <c r="N120" s="168">
        <v>101.57</v>
      </c>
      <c r="O120" s="168">
        <f t="shared" si="8"/>
        <v>-48.430000000000007</v>
      </c>
      <c r="Q120" s="169">
        <v>150</v>
      </c>
      <c r="R120" s="169">
        <v>150</v>
      </c>
      <c r="S120" s="169"/>
      <c r="T120" s="169"/>
      <c r="U120" s="169"/>
      <c r="V120" s="169">
        <v>131.97999999999999</v>
      </c>
      <c r="W120" s="169">
        <v>131.97999999999999</v>
      </c>
      <c r="X120" s="169">
        <f t="shared" si="9"/>
        <v>-18.02000000000001</v>
      </c>
      <c r="Z120" s="202">
        <v>150</v>
      </c>
      <c r="AA120" s="202">
        <v>150</v>
      </c>
      <c r="AB120" s="202"/>
      <c r="AC120" s="202"/>
      <c r="AD120" s="202"/>
      <c r="AE120" s="207">
        <v>2145.5300000000002</v>
      </c>
      <c r="AF120" s="202">
        <v>2145.5300000000002</v>
      </c>
      <c r="AG120" s="202">
        <f t="shared" si="10"/>
        <v>1995.5300000000002</v>
      </c>
      <c r="AI120" s="200">
        <v>150</v>
      </c>
      <c r="AJ120" s="200">
        <v>150</v>
      </c>
      <c r="AK120" s="229">
        <v>2150</v>
      </c>
      <c r="AL120" s="200">
        <f>IFERROR(VLOOKUP(B120,[2]rptBudgetaryBudgetCrossOrganiza!$A$5236:$O$5854,13,FALSE),"0")</f>
        <v>440.34</v>
      </c>
      <c r="AM120" s="200"/>
      <c r="AN120" s="200"/>
      <c r="AO120" s="200"/>
      <c r="AP120" s="200" t="s">
        <v>502</v>
      </c>
      <c r="AQ120" s="200" t="e">
        <f t="shared" si="11"/>
        <v>#VALUE!</v>
      </c>
      <c r="AS120" s="169"/>
      <c r="AT120" s="169"/>
      <c r="AU120" s="169"/>
      <c r="AV120" s="169"/>
      <c r="AW120" s="169"/>
      <c r="AX120" s="169"/>
      <c r="AY120" s="169"/>
      <c r="AZ120" s="169">
        <f t="shared" si="12"/>
        <v>0</v>
      </c>
    </row>
    <row r="121" spans="1:52" hidden="1" x14ac:dyDescent="0.2">
      <c r="A121" s="220">
        <v>4</v>
      </c>
      <c r="B121" s="170" t="s">
        <v>395</v>
      </c>
      <c r="C121" s="214">
        <v>40</v>
      </c>
      <c r="D121" s="214">
        <v>70</v>
      </c>
      <c r="E121" s="221">
        <v>580</v>
      </c>
      <c r="F121" s="170" t="str">
        <f t="shared" si="13"/>
        <v>5000.07</v>
      </c>
      <c r="G121" s="170" t="s">
        <v>171</v>
      </c>
      <c r="H121" s="168">
        <v>0</v>
      </c>
      <c r="I121" s="168">
        <v>0</v>
      </c>
      <c r="J121" s="168"/>
      <c r="K121" s="168"/>
      <c r="L121" s="168"/>
      <c r="M121" s="194">
        <v>0</v>
      </c>
      <c r="N121" s="168">
        <v>0</v>
      </c>
      <c r="O121" s="168">
        <f t="shared" si="8"/>
        <v>0</v>
      </c>
      <c r="Q121" s="169">
        <v>0</v>
      </c>
      <c r="R121" s="169">
        <v>0</v>
      </c>
      <c r="S121" s="169"/>
      <c r="T121" s="169"/>
      <c r="U121" s="169"/>
      <c r="V121" s="169">
        <v>0</v>
      </c>
      <c r="W121" s="169">
        <v>0</v>
      </c>
      <c r="X121" s="169">
        <f t="shared" si="9"/>
        <v>0</v>
      </c>
      <c r="Z121" s="202">
        <v>425</v>
      </c>
      <c r="AA121" s="202">
        <v>425</v>
      </c>
      <c r="AB121" s="202"/>
      <c r="AC121" s="202"/>
      <c r="AD121" s="202"/>
      <c r="AE121" s="207">
        <v>0</v>
      </c>
      <c r="AF121" s="202">
        <v>0</v>
      </c>
      <c r="AG121" s="202">
        <f t="shared" si="10"/>
        <v>-425</v>
      </c>
      <c r="AI121" s="200">
        <v>438</v>
      </c>
      <c r="AJ121" s="200">
        <v>438</v>
      </c>
      <c r="AK121" s="200">
        <v>438</v>
      </c>
      <c r="AL121" s="200">
        <f>IFERROR(VLOOKUP(B121,[2]rptBudgetaryBudgetCrossOrganiza!$A$5236:$O$5854,13,FALSE),"0")</f>
        <v>0</v>
      </c>
      <c r="AM121" s="200"/>
      <c r="AN121" s="200"/>
      <c r="AO121" s="200"/>
      <c r="AP121" s="200"/>
      <c r="AQ121" s="200">
        <f t="shared" si="11"/>
        <v>-438</v>
      </c>
      <c r="AS121" s="169"/>
      <c r="AT121" s="169"/>
      <c r="AU121" s="169"/>
      <c r="AV121" s="169"/>
      <c r="AW121" s="169"/>
      <c r="AX121" s="169"/>
      <c r="AY121" s="169"/>
      <c r="AZ121" s="169">
        <f t="shared" si="12"/>
        <v>0</v>
      </c>
    </row>
    <row r="122" spans="1:52" hidden="1" x14ac:dyDescent="0.2">
      <c r="A122" s="220">
        <v>4</v>
      </c>
      <c r="B122" s="170" t="s">
        <v>396</v>
      </c>
      <c r="C122" s="214">
        <v>40</v>
      </c>
      <c r="D122" s="214">
        <v>70</v>
      </c>
      <c r="E122" s="221">
        <v>580</v>
      </c>
      <c r="F122" s="170" t="str">
        <f t="shared" si="13"/>
        <v>5000.08</v>
      </c>
      <c r="G122" s="170" t="s">
        <v>172</v>
      </c>
      <c r="H122" s="168">
        <v>1312</v>
      </c>
      <c r="I122" s="168">
        <v>1312</v>
      </c>
      <c r="J122" s="168"/>
      <c r="K122" s="168"/>
      <c r="L122" s="168"/>
      <c r="M122" s="194">
        <v>1305.1300000000001</v>
      </c>
      <c r="N122" s="168">
        <v>1305.1300000000001</v>
      </c>
      <c r="O122" s="168">
        <f t="shared" si="8"/>
        <v>-6.8699999999998909</v>
      </c>
      <c r="Q122" s="169">
        <v>1690</v>
      </c>
      <c r="R122" s="169">
        <v>1690</v>
      </c>
      <c r="S122" s="169"/>
      <c r="T122" s="169"/>
      <c r="U122" s="169"/>
      <c r="V122" s="169">
        <v>1350.7</v>
      </c>
      <c r="W122" s="169">
        <v>1350.7</v>
      </c>
      <c r="X122" s="169">
        <f t="shared" si="9"/>
        <v>-339.29999999999995</v>
      </c>
      <c r="Z122" s="202">
        <v>1630</v>
      </c>
      <c r="AA122" s="202">
        <v>1630</v>
      </c>
      <c r="AB122" s="202"/>
      <c r="AC122" s="202"/>
      <c r="AD122" s="202"/>
      <c r="AE122" s="207">
        <v>1397.92</v>
      </c>
      <c r="AF122" s="202">
        <v>1397.92</v>
      </c>
      <c r="AG122" s="202">
        <f t="shared" si="10"/>
        <v>-232.07999999999993</v>
      </c>
      <c r="AI122" s="200">
        <v>1679</v>
      </c>
      <c r="AJ122" s="200">
        <v>1679</v>
      </c>
      <c r="AK122" s="200">
        <v>1679</v>
      </c>
      <c r="AL122" s="200">
        <f>IFERROR(VLOOKUP(B122,[2]rptBudgetaryBudgetCrossOrganiza!$A$5236:$O$5854,13,FALSE),"0")</f>
        <v>718.5</v>
      </c>
      <c r="AM122" s="200"/>
      <c r="AN122" s="200"/>
      <c r="AO122" s="200"/>
      <c r="AP122" s="200"/>
      <c r="AQ122" s="200">
        <f t="shared" si="11"/>
        <v>-1679</v>
      </c>
      <c r="AS122" s="169"/>
      <c r="AT122" s="169"/>
      <c r="AU122" s="169"/>
      <c r="AV122" s="169"/>
      <c r="AW122" s="169"/>
      <c r="AX122" s="169"/>
      <c r="AY122" s="169"/>
      <c r="AZ122" s="169">
        <f t="shared" si="12"/>
        <v>0</v>
      </c>
    </row>
    <row r="123" spans="1:52" hidden="1" x14ac:dyDescent="0.2">
      <c r="A123" s="220">
        <v>4</v>
      </c>
      <c r="B123" s="170" t="s">
        <v>397</v>
      </c>
      <c r="C123" s="214">
        <v>40</v>
      </c>
      <c r="D123" s="214">
        <v>70</v>
      </c>
      <c r="E123" s="221">
        <v>580</v>
      </c>
      <c r="F123" s="170" t="str">
        <f t="shared" si="13"/>
        <v>5000.10</v>
      </c>
      <c r="G123" s="170" t="s">
        <v>174</v>
      </c>
      <c r="H123" s="168">
        <v>0</v>
      </c>
      <c r="I123" s="168">
        <v>0</v>
      </c>
      <c r="J123" s="168"/>
      <c r="K123" s="168"/>
      <c r="L123" s="168"/>
      <c r="M123" s="194">
        <v>0</v>
      </c>
      <c r="N123" s="168">
        <v>0</v>
      </c>
      <c r="O123" s="168">
        <f t="shared" si="8"/>
        <v>0</v>
      </c>
      <c r="Q123" s="169">
        <v>0</v>
      </c>
      <c r="R123" s="169">
        <v>0</v>
      </c>
      <c r="S123" s="169"/>
      <c r="T123" s="169"/>
      <c r="U123" s="169"/>
      <c r="V123" s="169">
        <v>0</v>
      </c>
      <c r="W123" s="169">
        <v>0</v>
      </c>
      <c r="X123" s="169">
        <f t="shared" si="9"/>
        <v>0</v>
      </c>
      <c r="Z123" s="202">
        <v>0</v>
      </c>
      <c r="AA123" s="202">
        <v>0</v>
      </c>
      <c r="AB123" s="202"/>
      <c r="AC123" s="202"/>
      <c r="AD123" s="202"/>
      <c r="AE123" s="207">
        <v>0</v>
      </c>
      <c r="AF123" s="202">
        <v>0</v>
      </c>
      <c r="AG123" s="202">
        <f t="shared" si="10"/>
        <v>0</v>
      </c>
      <c r="AI123" s="200">
        <v>0</v>
      </c>
      <c r="AJ123" s="200">
        <v>0</v>
      </c>
      <c r="AK123" s="200"/>
      <c r="AL123" s="200">
        <f>IFERROR(VLOOKUP(B123,[2]rptBudgetaryBudgetCrossOrganiza!$A$5236:$O$5854,13,FALSE),"0")</f>
        <v>0</v>
      </c>
      <c r="AM123" s="200"/>
      <c r="AN123" s="200"/>
      <c r="AO123" s="200"/>
      <c r="AP123" s="200"/>
      <c r="AQ123" s="200">
        <f t="shared" si="11"/>
        <v>0</v>
      </c>
      <c r="AS123" s="169"/>
      <c r="AT123" s="169"/>
      <c r="AU123" s="169"/>
      <c r="AV123" s="169"/>
      <c r="AW123" s="169"/>
      <c r="AX123" s="169"/>
      <c r="AY123" s="169"/>
      <c r="AZ123" s="169">
        <f t="shared" si="12"/>
        <v>0</v>
      </c>
    </row>
    <row r="124" spans="1:52" hidden="1" x14ac:dyDescent="0.2">
      <c r="A124" s="220">
        <v>4</v>
      </c>
      <c r="B124" s="170" t="s">
        <v>398</v>
      </c>
      <c r="C124" s="214">
        <v>40</v>
      </c>
      <c r="D124" s="214">
        <v>70</v>
      </c>
      <c r="E124" s="221">
        <v>580</v>
      </c>
      <c r="F124" s="170" t="str">
        <f t="shared" si="13"/>
        <v>5000.11</v>
      </c>
      <c r="G124" s="170" t="s">
        <v>175</v>
      </c>
      <c r="H124" s="168">
        <v>0</v>
      </c>
      <c r="I124" s="168">
        <v>0</v>
      </c>
      <c r="J124" s="168"/>
      <c r="K124" s="168"/>
      <c r="L124" s="168"/>
      <c r="M124" s="194">
        <v>468.93</v>
      </c>
      <c r="N124" s="168">
        <v>468.93</v>
      </c>
      <c r="O124" s="168">
        <f t="shared" ref="O124:O184" si="14">N124-I124</f>
        <v>468.93</v>
      </c>
      <c r="Q124" s="169">
        <v>0</v>
      </c>
      <c r="R124" s="169">
        <v>0</v>
      </c>
      <c r="S124" s="169"/>
      <c r="T124" s="169"/>
      <c r="U124" s="169"/>
      <c r="V124" s="169">
        <v>1449.38</v>
      </c>
      <c r="W124" s="169">
        <v>1449.38</v>
      </c>
      <c r="X124" s="169">
        <f t="shared" si="9"/>
        <v>1449.38</v>
      </c>
      <c r="Z124" s="202">
        <v>0</v>
      </c>
      <c r="AA124" s="202">
        <v>0</v>
      </c>
      <c r="AB124" s="202"/>
      <c r="AC124" s="202"/>
      <c r="AD124" s="202"/>
      <c r="AE124" s="207">
        <v>0</v>
      </c>
      <c r="AF124" s="202">
        <v>0</v>
      </c>
      <c r="AG124" s="202">
        <f t="shared" si="10"/>
        <v>0</v>
      </c>
      <c r="AI124" s="200">
        <v>0</v>
      </c>
      <c r="AJ124" s="200">
        <v>0</v>
      </c>
      <c r="AK124" s="200"/>
      <c r="AL124" s="200">
        <f>IFERROR(VLOOKUP(B124,[2]rptBudgetaryBudgetCrossOrganiza!$A$5236:$O$5854,13,FALSE),"0")</f>
        <v>0</v>
      </c>
      <c r="AM124" s="200"/>
      <c r="AN124" s="200"/>
      <c r="AO124" s="200"/>
      <c r="AP124" s="200"/>
      <c r="AQ124" s="200">
        <f t="shared" si="11"/>
        <v>0</v>
      </c>
      <c r="AS124" s="169"/>
      <c r="AT124" s="169"/>
      <c r="AU124" s="169"/>
      <c r="AV124" s="169"/>
      <c r="AW124" s="169"/>
      <c r="AX124" s="169"/>
      <c r="AY124" s="169"/>
      <c r="AZ124" s="169">
        <f t="shared" si="12"/>
        <v>0</v>
      </c>
    </row>
    <row r="125" spans="1:52" hidden="1" x14ac:dyDescent="0.2">
      <c r="A125" s="220">
        <v>4</v>
      </c>
      <c r="B125" s="170" t="s">
        <v>399</v>
      </c>
      <c r="C125" s="214">
        <v>40</v>
      </c>
      <c r="D125" s="214">
        <v>70</v>
      </c>
      <c r="E125" s="221">
        <v>580</v>
      </c>
      <c r="F125" s="170" t="str">
        <f t="shared" si="13"/>
        <v>5000.12</v>
      </c>
      <c r="G125" s="170" t="s">
        <v>176</v>
      </c>
      <c r="H125" s="168">
        <v>0</v>
      </c>
      <c r="I125" s="168">
        <v>0</v>
      </c>
      <c r="J125" s="168"/>
      <c r="K125" s="168"/>
      <c r="L125" s="168"/>
      <c r="M125" s="194">
        <v>0</v>
      </c>
      <c r="N125" s="168">
        <v>0</v>
      </c>
      <c r="O125" s="168">
        <f t="shared" si="14"/>
        <v>0</v>
      </c>
      <c r="Q125" s="169">
        <v>0</v>
      </c>
      <c r="R125" s="169">
        <v>0</v>
      </c>
      <c r="S125" s="169"/>
      <c r="T125" s="169"/>
      <c r="U125" s="169"/>
      <c r="V125" s="169">
        <v>0</v>
      </c>
      <c r="W125" s="169">
        <v>0</v>
      </c>
      <c r="X125" s="169">
        <f t="shared" ref="X125:X206" si="15">W125-R125</f>
        <v>0</v>
      </c>
      <c r="Z125" s="202">
        <v>0</v>
      </c>
      <c r="AA125" s="202">
        <v>0</v>
      </c>
      <c r="AB125" s="202"/>
      <c r="AC125" s="202"/>
      <c r="AD125" s="202"/>
      <c r="AE125" s="207">
        <v>0</v>
      </c>
      <c r="AF125" s="202">
        <v>0</v>
      </c>
      <c r="AG125" s="202">
        <f t="shared" ref="AG125:AG206" si="16">AF125-AA125</f>
        <v>0</v>
      </c>
      <c r="AI125" s="200">
        <v>0</v>
      </c>
      <c r="AJ125" s="200">
        <v>0</v>
      </c>
      <c r="AK125" s="200"/>
      <c r="AL125" s="200">
        <f>IFERROR(VLOOKUP(B125,[2]rptBudgetaryBudgetCrossOrganiza!$A$5236:$O$5854,13,FALSE),"0")</f>
        <v>0</v>
      </c>
      <c r="AM125" s="200"/>
      <c r="AN125" s="200"/>
      <c r="AO125" s="200"/>
      <c r="AP125" s="200"/>
      <c r="AQ125" s="200">
        <f t="shared" si="11"/>
        <v>0</v>
      </c>
      <c r="AS125" s="169"/>
      <c r="AT125" s="169"/>
      <c r="AU125" s="169"/>
      <c r="AV125" s="169"/>
      <c r="AW125" s="169"/>
      <c r="AX125" s="169"/>
      <c r="AY125" s="169"/>
      <c r="AZ125" s="169">
        <f t="shared" si="12"/>
        <v>0</v>
      </c>
    </row>
    <row r="126" spans="1:52" hidden="1" x14ac:dyDescent="0.2">
      <c r="A126" s="220">
        <v>4</v>
      </c>
      <c r="B126" s="170" t="s">
        <v>400</v>
      </c>
      <c r="C126" s="214">
        <v>40</v>
      </c>
      <c r="D126" s="214">
        <v>70</v>
      </c>
      <c r="E126" s="221">
        <v>580</v>
      </c>
      <c r="F126" s="170" t="str">
        <f t="shared" si="13"/>
        <v>5100.00</v>
      </c>
      <c r="G126" s="170" t="s">
        <v>178</v>
      </c>
      <c r="H126" s="168">
        <v>19185</v>
      </c>
      <c r="I126" s="168">
        <v>21671</v>
      </c>
      <c r="J126" s="168"/>
      <c r="K126" s="168"/>
      <c r="L126" s="168"/>
      <c r="M126" s="194">
        <v>19064.599999999999</v>
      </c>
      <c r="N126" s="168">
        <v>19064.599999999999</v>
      </c>
      <c r="O126" s="168">
        <f t="shared" si="14"/>
        <v>-2606.4000000000015</v>
      </c>
      <c r="Q126" s="169">
        <v>27080</v>
      </c>
      <c r="R126" s="169">
        <v>27080</v>
      </c>
      <c r="S126" s="169"/>
      <c r="T126" s="169"/>
      <c r="U126" s="169"/>
      <c r="V126" s="169">
        <v>23245.57</v>
      </c>
      <c r="W126" s="169">
        <v>23245.57</v>
      </c>
      <c r="X126" s="169">
        <f t="shared" si="15"/>
        <v>-3834.4300000000003</v>
      </c>
      <c r="Z126" s="202">
        <v>32160</v>
      </c>
      <c r="AA126" s="202">
        <v>32160</v>
      </c>
      <c r="AB126" s="202"/>
      <c r="AC126" s="202"/>
      <c r="AD126" s="202"/>
      <c r="AE126" s="207">
        <v>29127.49</v>
      </c>
      <c r="AF126" s="202">
        <v>29127.49</v>
      </c>
      <c r="AG126" s="202">
        <f t="shared" si="16"/>
        <v>-3032.5099999999984</v>
      </c>
      <c r="AI126" s="200">
        <v>32160</v>
      </c>
      <c r="AJ126" s="200">
        <v>32160</v>
      </c>
      <c r="AK126" s="200">
        <v>32160</v>
      </c>
      <c r="AL126" s="200">
        <f>IFERROR(VLOOKUP(B126,[2]rptBudgetaryBudgetCrossOrganiza!$A$5236:$O$5854,13,FALSE),"0")</f>
        <v>8017.39</v>
      </c>
      <c r="AM126" s="200"/>
      <c r="AN126" s="200"/>
      <c r="AO126" s="200"/>
      <c r="AP126" s="200"/>
      <c r="AQ126" s="200">
        <f t="shared" si="11"/>
        <v>-32160</v>
      </c>
      <c r="AS126" s="169"/>
      <c r="AT126" s="169"/>
      <c r="AU126" s="169"/>
      <c r="AV126" s="169"/>
      <c r="AW126" s="169"/>
      <c r="AX126" s="169"/>
      <c r="AY126" s="169"/>
      <c r="AZ126" s="169">
        <f t="shared" si="12"/>
        <v>0</v>
      </c>
    </row>
    <row r="127" spans="1:52" hidden="1" x14ac:dyDescent="0.2">
      <c r="A127" s="220">
        <v>4</v>
      </c>
      <c r="B127" s="170" t="s">
        <v>401</v>
      </c>
      <c r="C127" s="214">
        <v>40</v>
      </c>
      <c r="D127" s="214">
        <v>70</v>
      </c>
      <c r="E127" s="221">
        <v>580</v>
      </c>
      <c r="F127" s="170" t="str">
        <f t="shared" si="13"/>
        <v>5100.01</v>
      </c>
      <c r="G127" s="170" t="s">
        <v>179</v>
      </c>
      <c r="H127" s="168">
        <v>13720</v>
      </c>
      <c r="I127" s="168">
        <v>15404</v>
      </c>
      <c r="J127" s="168"/>
      <c r="K127" s="168"/>
      <c r="L127" s="168"/>
      <c r="M127" s="194">
        <v>13517.31</v>
      </c>
      <c r="N127" s="168">
        <v>13517.31</v>
      </c>
      <c r="O127" s="168">
        <f t="shared" si="14"/>
        <v>-1886.6900000000005</v>
      </c>
      <c r="Q127" s="169">
        <v>16830</v>
      </c>
      <c r="R127" s="169">
        <v>16830</v>
      </c>
      <c r="S127" s="169"/>
      <c r="T127" s="169"/>
      <c r="U127" s="169"/>
      <c r="V127" s="169">
        <v>15010.5</v>
      </c>
      <c r="W127" s="169">
        <v>15010.5</v>
      </c>
      <c r="X127" s="169">
        <f t="shared" si="15"/>
        <v>-1819.5</v>
      </c>
      <c r="Z127" s="202">
        <v>18015</v>
      </c>
      <c r="AA127" s="202">
        <v>18015</v>
      </c>
      <c r="AB127" s="202"/>
      <c r="AC127" s="202"/>
      <c r="AD127" s="202"/>
      <c r="AE127" s="207">
        <v>15990.04</v>
      </c>
      <c r="AF127" s="202">
        <v>15990.04</v>
      </c>
      <c r="AG127" s="202">
        <f t="shared" si="16"/>
        <v>-2024.9599999999991</v>
      </c>
      <c r="AI127" s="200">
        <v>18015</v>
      </c>
      <c r="AJ127" s="200">
        <v>18015</v>
      </c>
      <c r="AK127" s="200">
        <v>18015</v>
      </c>
      <c r="AL127" s="200">
        <f>IFERROR(VLOOKUP(B127,[2]rptBudgetaryBudgetCrossOrganiza!$A$5236:$O$5854,13,FALSE),"0")</f>
        <v>4445.6000000000004</v>
      </c>
      <c r="AM127" s="200"/>
      <c r="AN127" s="200"/>
      <c r="AO127" s="200"/>
      <c r="AP127" s="200"/>
      <c r="AQ127" s="200">
        <f t="shared" si="11"/>
        <v>-18015</v>
      </c>
      <c r="AS127" s="169"/>
      <c r="AT127" s="169"/>
      <c r="AU127" s="169"/>
      <c r="AV127" s="169"/>
      <c r="AW127" s="169"/>
      <c r="AX127" s="169"/>
      <c r="AY127" s="169"/>
      <c r="AZ127" s="169">
        <f t="shared" si="12"/>
        <v>0</v>
      </c>
    </row>
    <row r="128" spans="1:52" hidden="1" x14ac:dyDescent="0.2">
      <c r="A128" s="220">
        <v>4</v>
      </c>
      <c r="B128" s="170" t="s">
        <v>402</v>
      </c>
      <c r="C128" s="214">
        <v>40</v>
      </c>
      <c r="D128" s="214">
        <v>70</v>
      </c>
      <c r="E128" s="221">
        <v>580</v>
      </c>
      <c r="F128" s="170" t="str">
        <f t="shared" si="13"/>
        <v>5100.02</v>
      </c>
      <c r="G128" s="170" t="s">
        <v>180</v>
      </c>
      <c r="H128" s="168">
        <v>28666</v>
      </c>
      <c r="I128" s="168">
        <v>36091</v>
      </c>
      <c r="J128" s="168"/>
      <c r="K128" s="168"/>
      <c r="L128" s="168"/>
      <c r="M128" s="194">
        <v>23422.91</v>
      </c>
      <c r="N128" s="168">
        <v>23422.91</v>
      </c>
      <c r="O128" s="168">
        <f t="shared" si="14"/>
        <v>-12668.09</v>
      </c>
      <c r="Q128" s="169">
        <v>33600</v>
      </c>
      <c r="R128" s="169">
        <v>33600</v>
      </c>
      <c r="S128" s="169"/>
      <c r="T128" s="169"/>
      <c r="U128" s="169"/>
      <c r="V128" s="169">
        <v>24408.85</v>
      </c>
      <c r="W128" s="169">
        <v>24408.85</v>
      </c>
      <c r="X128" s="169">
        <f t="shared" si="15"/>
        <v>-9191.1500000000015</v>
      </c>
      <c r="Z128" s="202">
        <v>35660</v>
      </c>
      <c r="AA128" s="202">
        <v>35660</v>
      </c>
      <c r="AB128" s="202"/>
      <c r="AC128" s="202"/>
      <c r="AD128" s="202"/>
      <c r="AE128" s="207">
        <v>24828.74</v>
      </c>
      <c r="AF128" s="202">
        <v>24828.74</v>
      </c>
      <c r="AG128" s="202">
        <f t="shared" si="16"/>
        <v>-10831.259999999998</v>
      </c>
      <c r="AI128" s="200">
        <v>35660</v>
      </c>
      <c r="AJ128" s="200">
        <v>35660</v>
      </c>
      <c r="AK128" s="200">
        <v>35660</v>
      </c>
      <c r="AL128" s="200">
        <f>IFERROR(VLOOKUP(B128,[2]rptBudgetaryBudgetCrossOrganiza!$A$5236:$O$5854,13,FALSE),"0")</f>
        <v>6452.46</v>
      </c>
      <c r="AM128" s="200"/>
      <c r="AN128" s="200"/>
      <c r="AO128" s="200"/>
      <c r="AP128" s="200"/>
      <c r="AQ128" s="200">
        <f t="shared" si="11"/>
        <v>-35660</v>
      </c>
      <c r="AS128" s="169"/>
      <c r="AT128" s="169"/>
      <c r="AU128" s="169"/>
      <c r="AV128" s="169"/>
      <c r="AW128" s="169"/>
      <c r="AX128" s="169"/>
      <c r="AY128" s="169"/>
      <c r="AZ128" s="169">
        <f t="shared" si="12"/>
        <v>0</v>
      </c>
    </row>
    <row r="129" spans="1:52" hidden="1" x14ac:dyDescent="0.2">
      <c r="A129" s="220">
        <v>4</v>
      </c>
      <c r="B129" s="170" t="s">
        <v>403</v>
      </c>
      <c r="C129" s="214">
        <v>40</v>
      </c>
      <c r="D129" s="214">
        <v>70</v>
      </c>
      <c r="E129" s="221">
        <v>580</v>
      </c>
      <c r="F129" s="170" t="str">
        <f t="shared" si="13"/>
        <v>5100.03</v>
      </c>
      <c r="G129" s="170" t="s">
        <v>181</v>
      </c>
      <c r="H129" s="168">
        <v>2605</v>
      </c>
      <c r="I129" s="168">
        <v>3151</v>
      </c>
      <c r="J129" s="168"/>
      <c r="K129" s="168"/>
      <c r="L129" s="168"/>
      <c r="M129" s="194">
        <v>2537.7600000000002</v>
      </c>
      <c r="N129" s="168">
        <v>2537.7600000000002</v>
      </c>
      <c r="O129" s="168">
        <f t="shared" si="14"/>
        <v>-613.23999999999978</v>
      </c>
      <c r="Q129" s="169">
        <v>3275</v>
      </c>
      <c r="R129" s="169">
        <v>3275</v>
      </c>
      <c r="S129" s="169"/>
      <c r="T129" s="169"/>
      <c r="U129" s="169"/>
      <c r="V129" s="169">
        <v>2302.88</v>
      </c>
      <c r="W129" s="169">
        <v>2302.88</v>
      </c>
      <c r="X129" s="169">
        <f t="shared" si="15"/>
        <v>-972.11999999999989</v>
      </c>
      <c r="Z129" s="202">
        <v>3400</v>
      </c>
      <c r="AA129" s="202">
        <v>3400</v>
      </c>
      <c r="AB129" s="202"/>
      <c r="AC129" s="202"/>
      <c r="AD129" s="202"/>
      <c r="AE129" s="207">
        <v>2666.56</v>
      </c>
      <c r="AF129" s="202">
        <v>2666.56</v>
      </c>
      <c r="AG129" s="202">
        <f t="shared" si="16"/>
        <v>-733.44</v>
      </c>
      <c r="AI129" s="200">
        <v>3400</v>
      </c>
      <c r="AJ129" s="200">
        <v>3400</v>
      </c>
      <c r="AK129" s="200">
        <v>3400</v>
      </c>
      <c r="AL129" s="200">
        <f>IFERROR(VLOOKUP(B129,[2]rptBudgetaryBudgetCrossOrganiza!$A$5236:$O$5854,13,FALSE),"0")</f>
        <v>701.98</v>
      </c>
      <c r="AM129" s="200"/>
      <c r="AN129" s="200"/>
      <c r="AO129" s="200"/>
      <c r="AP129" s="200"/>
      <c r="AQ129" s="200">
        <f t="shared" si="11"/>
        <v>-3400</v>
      </c>
      <c r="AS129" s="169"/>
      <c r="AT129" s="169"/>
      <c r="AU129" s="169"/>
      <c r="AV129" s="169"/>
      <c r="AW129" s="169"/>
      <c r="AX129" s="169"/>
      <c r="AY129" s="169"/>
      <c r="AZ129" s="169">
        <f t="shared" si="12"/>
        <v>0</v>
      </c>
    </row>
    <row r="130" spans="1:52" hidden="1" x14ac:dyDescent="0.2">
      <c r="A130" s="220">
        <v>4</v>
      </c>
      <c r="B130" s="170" t="s">
        <v>404</v>
      </c>
      <c r="C130" s="214">
        <v>40</v>
      </c>
      <c r="D130" s="214">
        <v>70</v>
      </c>
      <c r="E130" s="221">
        <v>580</v>
      </c>
      <c r="F130" s="170" t="str">
        <f t="shared" si="13"/>
        <v>5100.04</v>
      </c>
      <c r="G130" s="170" t="s">
        <v>182</v>
      </c>
      <c r="H130" s="168">
        <v>414</v>
      </c>
      <c r="I130" s="168">
        <v>493</v>
      </c>
      <c r="J130" s="168"/>
      <c r="K130" s="168"/>
      <c r="L130" s="168"/>
      <c r="M130" s="194">
        <v>411.84</v>
      </c>
      <c r="N130" s="168">
        <v>411.84</v>
      </c>
      <c r="O130" s="168">
        <f t="shared" si="14"/>
        <v>-81.160000000000025</v>
      </c>
      <c r="Q130" s="169">
        <v>530</v>
      </c>
      <c r="R130" s="169">
        <v>530</v>
      </c>
      <c r="S130" s="169"/>
      <c r="T130" s="169"/>
      <c r="U130" s="169"/>
      <c r="V130" s="169">
        <v>425.79</v>
      </c>
      <c r="W130" s="169">
        <v>425.79</v>
      </c>
      <c r="X130" s="169">
        <f t="shared" si="15"/>
        <v>-104.20999999999998</v>
      </c>
      <c r="Z130" s="202">
        <v>560</v>
      </c>
      <c r="AA130" s="202">
        <v>560</v>
      </c>
      <c r="AB130" s="202"/>
      <c r="AC130" s="202"/>
      <c r="AD130" s="202"/>
      <c r="AE130" s="207">
        <v>449.04</v>
      </c>
      <c r="AF130" s="202">
        <v>449.04</v>
      </c>
      <c r="AG130" s="202">
        <f t="shared" si="16"/>
        <v>-110.95999999999998</v>
      </c>
      <c r="AI130" s="200">
        <v>560</v>
      </c>
      <c r="AJ130" s="200">
        <v>560</v>
      </c>
      <c r="AK130" s="200">
        <v>560</v>
      </c>
      <c r="AL130" s="200">
        <f>IFERROR(VLOOKUP(B130,[2]rptBudgetaryBudgetCrossOrganiza!$A$5236:$O$5854,13,FALSE),"0")</f>
        <v>118.21</v>
      </c>
      <c r="AM130" s="200"/>
      <c r="AN130" s="200"/>
      <c r="AO130" s="200"/>
      <c r="AP130" s="200"/>
      <c r="AQ130" s="200">
        <f t="shared" si="11"/>
        <v>-560</v>
      </c>
      <c r="AS130" s="169"/>
      <c r="AT130" s="169"/>
      <c r="AU130" s="169"/>
      <c r="AV130" s="169"/>
      <c r="AW130" s="169"/>
      <c r="AX130" s="169"/>
      <c r="AY130" s="169"/>
      <c r="AZ130" s="169">
        <f t="shared" si="12"/>
        <v>0</v>
      </c>
    </row>
    <row r="131" spans="1:52" hidden="1" x14ac:dyDescent="0.2">
      <c r="A131" s="220">
        <v>4</v>
      </c>
      <c r="B131" s="170" t="s">
        <v>405</v>
      </c>
      <c r="C131" s="214">
        <v>40</v>
      </c>
      <c r="D131" s="214">
        <v>70</v>
      </c>
      <c r="E131" s="221">
        <v>580</v>
      </c>
      <c r="F131" s="170" t="str">
        <f t="shared" si="13"/>
        <v>5100.05</v>
      </c>
      <c r="G131" s="170" t="s">
        <v>183</v>
      </c>
      <c r="H131" s="168">
        <v>205</v>
      </c>
      <c r="I131" s="168">
        <v>216</v>
      </c>
      <c r="J131" s="168"/>
      <c r="K131" s="168"/>
      <c r="L131" s="168"/>
      <c r="M131" s="194">
        <v>190.56</v>
      </c>
      <c r="N131" s="168">
        <v>190.56</v>
      </c>
      <c r="O131" s="168">
        <f t="shared" si="14"/>
        <v>-25.439999999999998</v>
      </c>
      <c r="Q131" s="169">
        <v>200</v>
      </c>
      <c r="R131" s="169">
        <v>200</v>
      </c>
      <c r="S131" s="169"/>
      <c r="T131" s="169"/>
      <c r="U131" s="169"/>
      <c r="V131" s="169">
        <v>198.3</v>
      </c>
      <c r="W131" s="169">
        <v>198.3</v>
      </c>
      <c r="X131" s="169">
        <f t="shared" si="15"/>
        <v>-1.6999999999999886</v>
      </c>
      <c r="Z131" s="202">
        <v>310</v>
      </c>
      <c r="AA131" s="202">
        <v>310</v>
      </c>
      <c r="AB131" s="202"/>
      <c r="AC131" s="202"/>
      <c r="AD131" s="202"/>
      <c r="AE131" s="207">
        <v>203.52</v>
      </c>
      <c r="AF131" s="202">
        <v>203.52</v>
      </c>
      <c r="AG131" s="202">
        <f t="shared" si="16"/>
        <v>-106.47999999999999</v>
      </c>
      <c r="AI131" s="200">
        <v>310</v>
      </c>
      <c r="AJ131" s="200">
        <v>310</v>
      </c>
      <c r="AK131" s="200">
        <v>310</v>
      </c>
      <c r="AL131" s="200">
        <f>IFERROR(VLOOKUP(B131,[2]rptBudgetaryBudgetCrossOrganiza!$A$5236:$O$5854,13,FALSE),"0")</f>
        <v>50.37</v>
      </c>
      <c r="AM131" s="200"/>
      <c r="AN131" s="200"/>
      <c r="AO131" s="200"/>
      <c r="AP131" s="200"/>
      <c r="AQ131" s="200">
        <f t="shared" si="11"/>
        <v>-310</v>
      </c>
      <c r="AS131" s="169"/>
      <c r="AT131" s="169"/>
      <c r="AU131" s="169"/>
      <c r="AV131" s="169"/>
      <c r="AW131" s="169"/>
      <c r="AX131" s="169"/>
      <c r="AY131" s="169"/>
      <c r="AZ131" s="169">
        <f t="shared" si="12"/>
        <v>0</v>
      </c>
    </row>
    <row r="132" spans="1:52" hidden="1" x14ac:dyDescent="0.2">
      <c r="A132" s="220">
        <v>4</v>
      </c>
      <c r="B132" s="170" t="s">
        <v>406</v>
      </c>
      <c r="C132" s="214">
        <v>40</v>
      </c>
      <c r="D132" s="214">
        <v>70</v>
      </c>
      <c r="E132" s="221">
        <v>580</v>
      </c>
      <c r="F132" s="170" t="str">
        <f t="shared" si="13"/>
        <v>5100.06</v>
      </c>
      <c r="G132" s="170" t="s">
        <v>184</v>
      </c>
      <c r="H132" s="168">
        <v>3370</v>
      </c>
      <c r="I132" s="168">
        <v>3370</v>
      </c>
      <c r="J132" s="168"/>
      <c r="K132" s="168"/>
      <c r="L132" s="168"/>
      <c r="M132" s="194">
        <v>3370</v>
      </c>
      <c r="N132" s="168">
        <v>3370</v>
      </c>
      <c r="O132" s="168">
        <f t="shared" si="14"/>
        <v>0</v>
      </c>
      <c r="Q132" s="169">
        <v>4090</v>
      </c>
      <c r="R132" s="169">
        <v>4090</v>
      </c>
      <c r="S132" s="169"/>
      <c r="T132" s="169"/>
      <c r="U132" s="169"/>
      <c r="V132" s="169">
        <v>2436.9299999999998</v>
      </c>
      <c r="W132" s="169">
        <v>2436.9299999999998</v>
      </c>
      <c r="X132" s="169">
        <f t="shared" si="15"/>
        <v>-1653.0700000000002</v>
      </c>
      <c r="Z132" s="202">
        <v>4920</v>
      </c>
      <c r="AA132" s="202">
        <v>4920</v>
      </c>
      <c r="AB132" s="202"/>
      <c r="AC132" s="202"/>
      <c r="AD132" s="202"/>
      <c r="AE132" s="207">
        <v>1640</v>
      </c>
      <c r="AF132" s="202">
        <v>1640</v>
      </c>
      <c r="AG132" s="202">
        <f t="shared" si="16"/>
        <v>-3280</v>
      </c>
      <c r="AI132" s="200">
        <v>4920</v>
      </c>
      <c r="AJ132" s="200">
        <v>4920</v>
      </c>
      <c r="AK132" s="200">
        <v>4920</v>
      </c>
      <c r="AL132" s="200">
        <f>IFERROR(VLOOKUP(B132,[2]rptBudgetaryBudgetCrossOrganiza!$A$5236:$O$5854,13,FALSE),"0")</f>
        <v>0</v>
      </c>
      <c r="AM132" s="200"/>
      <c r="AN132" s="200"/>
      <c r="AO132" s="200"/>
      <c r="AP132" s="200"/>
      <c r="AQ132" s="200">
        <f t="shared" ref="AQ132:AQ194" si="17">AP132-AJ132</f>
        <v>-4920</v>
      </c>
      <c r="AS132" s="169"/>
      <c r="AT132" s="169"/>
      <c r="AU132" s="169"/>
      <c r="AV132" s="169"/>
      <c r="AW132" s="169"/>
      <c r="AX132" s="169"/>
      <c r="AY132" s="169"/>
      <c r="AZ132" s="169">
        <f t="shared" ref="AZ132:AZ175" si="18">AY132-AT132</f>
        <v>0</v>
      </c>
    </row>
    <row r="133" spans="1:52" hidden="1" x14ac:dyDescent="0.2">
      <c r="A133" s="220">
        <v>4</v>
      </c>
      <c r="B133" s="170" t="s">
        <v>407</v>
      </c>
      <c r="C133" s="214">
        <v>40</v>
      </c>
      <c r="D133" s="214">
        <v>70</v>
      </c>
      <c r="E133" s="221">
        <v>580</v>
      </c>
      <c r="F133" s="170" t="str">
        <f t="shared" si="13"/>
        <v>5100.07</v>
      </c>
      <c r="G133" s="170" t="s">
        <v>185</v>
      </c>
      <c r="H133" s="168">
        <v>855</v>
      </c>
      <c r="I133" s="168">
        <v>1027</v>
      </c>
      <c r="J133" s="168"/>
      <c r="K133" s="168"/>
      <c r="L133" s="168"/>
      <c r="M133" s="194">
        <v>676.08</v>
      </c>
      <c r="N133" s="168">
        <v>676.08</v>
      </c>
      <c r="O133" s="168">
        <f t="shared" si="14"/>
        <v>-350.91999999999996</v>
      </c>
      <c r="Q133" s="169">
        <v>1030</v>
      </c>
      <c r="R133" s="169">
        <v>1030</v>
      </c>
      <c r="S133" s="169"/>
      <c r="T133" s="169"/>
      <c r="U133" s="169"/>
      <c r="V133" s="169">
        <v>731.24</v>
      </c>
      <c r="W133" s="169">
        <v>731.24</v>
      </c>
      <c r="X133" s="169">
        <f t="shared" si="15"/>
        <v>-298.76</v>
      </c>
      <c r="Z133" s="202">
        <v>1030</v>
      </c>
      <c r="AA133" s="202">
        <v>1030</v>
      </c>
      <c r="AB133" s="202"/>
      <c r="AC133" s="202"/>
      <c r="AD133" s="202"/>
      <c r="AE133" s="207">
        <v>781.5</v>
      </c>
      <c r="AF133" s="202">
        <v>781.5</v>
      </c>
      <c r="AG133" s="202">
        <f t="shared" si="16"/>
        <v>-248.5</v>
      </c>
      <c r="AI133" s="200">
        <v>1030</v>
      </c>
      <c r="AJ133" s="200">
        <v>1030</v>
      </c>
      <c r="AK133" s="200">
        <v>1030</v>
      </c>
      <c r="AL133" s="200">
        <f>IFERROR(VLOOKUP(B133,[2]rptBudgetaryBudgetCrossOrganiza!$A$5236:$O$5854,13,FALSE),"0")</f>
        <v>177.35</v>
      </c>
      <c r="AM133" s="200"/>
      <c r="AN133" s="200"/>
      <c r="AO133" s="200"/>
      <c r="AP133" s="200"/>
      <c r="AQ133" s="200">
        <f t="shared" si="17"/>
        <v>-1030</v>
      </c>
      <c r="AS133" s="169"/>
      <c r="AT133" s="169"/>
      <c r="AU133" s="169"/>
      <c r="AV133" s="169"/>
      <c r="AW133" s="169"/>
      <c r="AX133" s="169"/>
      <c r="AY133" s="169"/>
      <c r="AZ133" s="169">
        <f t="shared" si="18"/>
        <v>0</v>
      </c>
    </row>
    <row r="134" spans="1:52" hidden="1" x14ac:dyDescent="0.2">
      <c r="A134" s="220">
        <v>4</v>
      </c>
      <c r="B134" s="170" t="s">
        <v>408</v>
      </c>
      <c r="C134" s="214">
        <v>40</v>
      </c>
      <c r="D134" s="214">
        <v>70</v>
      </c>
      <c r="E134" s="221">
        <v>580</v>
      </c>
      <c r="F134" s="170" t="str">
        <f t="shared" si="13"/>
        <v>5100.08</v>
      </c>
      <c r="G134" s="170" t="s">
        <v>186</v>
      </c>
      <c r="H134" s="168">
        <v>4634</v>
      </c>
      <c r="I134" s="168">
        <v>5061</v>
      </c>
      <c r="J134" s="168"/>
      <c r="K134" s="168"/>
      <c r="L134" s="168"/>
      <c r="M134" s="194">
        <v>6832.38</v>
      </c>
      <c r="N134" s="168">
        <v>6832.38</v>
      </c>
      <c r="O134" s="168">
        <f t="shared" si="14"/>
        <v>1771.38</v>
      </c>
      <c r="Q134" s="169">
        <v>7885</v>
      </c>
      <c r="R134" s="169">
        <v>7885</v>
      </c>
      <c r="S134" s="169"/>
      <c r="T134" s="169"/>
      <c r="U134" s="169"/>
      <c r="V134" s="169">
        <v>7366.18</v>
      </c>
      <c r="W134" s="169">
        <v>7366.18</v>
      </c>
      <c r="X134" s="169">
        <f t="shared" si="15"/>
        <v>-518.81999999999971</v>
      </c>
      <c r="Z134" s="202">
        <v>7950</v>
      </c>
      <c r="AA134" s="202">
        <v>7950</v>
      </c>
      <c r="AB134" s="202"/>
      <c r="AC134" s="202"/>
      <c r="AD134" s="202"/>
      <c r="AE134" s="207">
        <v>8232.39</v>
      </c>
      <c r="AF134" s="202">
        <v>8232.39</v>
      </c>
      <c r="AG134" s="202">
        <f t="shared" si="16"/>
        <v>282.38999999999942</v>
      </c>
      <c r="AI134" s="200">
        <v>7950</v>
      </c>
      <c r="AJ134" s="200">
        <v>7950</v>
      </c>
      <c r="AK134" s="200">
        <v>7950</v>
      </c>
      <c r="AL134" s="200">
        <f>IFERROR(VLOOKUP(B134,[2]rptBudgetaryBudgetCrossOrganiza!$A$5236:$O$5854,13,FALSE),"0")</f>
        <v>2123.15</v>
      </c>
      <c r="AM134" s="200"/>
      <c r="AN134" s="200"/>
      <c r="AO134" s="200"/>
      <c r="AP134" s="200"/>
      <c r="AQ134" s="200">
        <f t="shared" si="17"/>
        <v>-7950</v>
      </c>
      <c r="AS134" s="169"/>
      <c r="AT134" s="169"/>
      <c r="AU134" s="169"/>
      <c r="AV134" s="169"/>
      <c r="AW134" s="169"/>
      <c r="AX134" s="169"/>
      <c r="AY134" s="169"/>
      <c r="AZ134" s="169">
        <f t="shared" si="18"/>
        <v>0</v>
      </c>
    </row>
    <row r="135" spans="1:52" hidden="1" x14ac:dyDescent="0.2">
      <c r="A135" s="220">
        <v>4</v>
      </c>
      <c r="B135" s="170" t="s">
        <v>409</v>
      </c>
      <c r="C135" s="214">
        <v>40</v>
      </c>
      <c r="D135" s="214">
        <v>70</v>
      </c>
      <c r="E135" s="221">
        <v>580</v>
      </c>
      <c r="F135" s="170" t="str">
        <f t="shared" si="13"/>
        <v>5100.09</v>
      </c>
      <c r="G135" s="170" t="s">
        <v>187</v>
      </c>
      <c r="H135" s="168">
        <v>0</v>
      </c>
      <c r="I135" s="168">
        <v>0</v>
      </c>
      <c r="J135" s="168"/>
      <c r="K135" s="168"/>
      <c r="L135" s="168"/>
      <c r="M135" s="194">
        <v>994.09</v>
      </c>
      <c r="N135" s="168">
        <v>994.09</v>
      </c>
      <c r="O135" s="168">
        <f t="shared" si="14"/>
        <v>994.09</v>
      </c>
      <c r="Q135" s="169">
        <v>0</v>
      </c>
      <c r="R135" s="169">
        <v>0</v>
      </c>
      <c r="S135" s="169"/>
      <c r="T135" s="169"/>
      <c r="U135" s="169"/>
      <c r="V135" s="169">
        <v>-355.87</v>
      </c>
      <c r="W135" s="169">
        <v>-355.87</v>
      </c>
      <c r="X135" s="169">
        <f t="shared" si="15"/>
        <v>-355.87</v>
      </c>
      <c r="Z135" s="202">
        <v>0</v>
      </c>
      <c r="AA135" s="202">
        <v>0</v>
      </c>
      <c r="AB135" s="202"/>
      <c r="AC135" s="202"/>
      <c r="AD135" s="202"/>
      <c r="AE135" s="207">
        <v>721.38</v>
      </c>
      <c r="AF135" s="202">
        <v>721.38</v>
      </c>
      <c r="AG135" s="202">
        <f>AF135-AA135</f>
        <v>721.38</v>
      </c>
      <c r="AI135" s="200">
        <v>0</v>
      </c>
      <c r="AJ135" s="200">
        <v>0</v>
      </c>
      <c r="AK135" s="200"/>
      <c r="AL135" s="200">
        <f>IFERROR(VLOOKUP(B135,[2]rptBudgetaryBudgetCrossOrganiza!$A$5236:$O$5854,13,FALSE),"0")</f>
        <v>-104.28</v>
      </c>
      <c r="AM135" s="200"/>
      <c r="AN135" s="200"/>
      <c r="AO135" s="200"/>
      <c r="AP135" s="200"/>
      <c r="AQ135" s="200">
        <f t="shared" si="17"/>
        <v>0</v>
      </c>
      <c r="AS135" s="169"/>
      <c r="AT135" s="169"/>
      <c r="AU135" s="169"/>
      <c r="AV135" s="169"/>
      <c r="AW135" s="169"/>
      <c r="AX135" s="169"/>
      <c r="AY135" s="169"/>
      <c r="AZ135" s="169">
        <f t="shared" si="18"/>
        <v>0</v>
      </c>
    </row>
    <row r="136" spans="1:52" hidden="1" x14ac:dyDescent="0.2">
      <c r="A136" s="220">
        <v>4</v>
      </c>
      <c r="B136" s="170" t="s">
        <v>410</v>
      </c>
      <c r="C136" s="214">
        <v>40</v>
      </c>
      <c r="D136" s="214">
        <v>70</v>
      </c>
      <c r="E136" s="221">
        <v>580</v>
      </c>
      <c r="F136" s="170" t="str">
        <f t="shared" si="13"/>
        <v>5100.10</v>
      </c>
      <c r="G136" s="170" t="s">
        <v>188</v>
      </c>
      <c r="H136" s="168">
        <v>0</v>
      </c>
      <c r="I136" s="168">
        <v>0</v>
      </c>
      <c r="J136" s="168"/>
      <c r="K136" s="168"/>
      <c r="L136" s="168"/>
      <c r="M136" s="194">
        <v>0</v>
      </c>
      <c r="N136" s="168">
        <v>0</v>
      </c>
      <c r="O136" s="168">
        <f t="shared" si="14"/>
        <v>0</v>
      </c>
      <c r="Q136" s="169">
        <v>0</v>
      </c>
      <c r="R136" s="169">
        <v>0</v>
      </c>
      <c r="S136" s="169"/>
      <c r="T136" s="169"/>
      <c r="U136" s="169"/>
      <c r="V136" s="169">
        <v>0</v>
      </c>
      <c r="W136" s="169">
        <v>0</v>
      </c>
      <c r="X136" s="169">
        <f t="shared" si="15"/>
        <v>0</v>
      </c>
      <c r="Z136" s="202">
        <v>0</v>
      </c>
      <c r="AA136" s="202">
        <v>0</v>
      </c>
      <c r="AB136" s="202"/>
      <c r="AC136" s="202"/>
      <c r="AD136" s="202"/>
      <c r="AE136" s="207">
        <v>1115</v>
      </c>
      <c r="AF136" s="202">
        <v>1115</v>
      </c>
      <c r="AG136" s="202">
        <f t="shared" si="16"/>
        <v>1115</v>
      </c>
      <c r="AI136" s="200">
        <v>0</v>
      </c>
      <c r="AJ136" s="200">
        <v>0</v>
      </c>
      <c r="AK136" s="200"/>
      <c r="AL136" s="200">
        <f>IFERROR(VLOOKUP(B136,[2]rptBudgetaryBudgetCrossOrganiza!$A$5236:$O$5854,13,FALSE),"0")</f>
        <v>0</v>
      </c>
      <c r="AM136" s="200"/>
      <c r="AN136" s="200"/>
      <c r="AO136" s="200"/>
      <c r="AP136" s="200"/>
      <c r="AQ136" s="200">
        <f t="shared" si="17"/>
        <v>0</v>
      </c>
      <c r="AS136" s="169"/>
      <c r="AT136" s="169"/>
      <c r="AU136" s="169"/>
      <c r="AV136" s="169"/>
      <c r="AW136" s="169"/>
      <c r="AX136" s="169"/>
      <c r="AY136" s="169"/>
      <c r="AZ136" s="169">
        <f t="shared" si="18"/>
        <v>0</v>
      </c>
    </row>
    <row r="137" spans="1:52" hidden="1" x14ac:dyDescent="0.2">
      <c r="A137" s="220">
        <v>4</v>
      </c>
      <c r="B137" s="170" t="s">
        <v>411</v>
      </c>
      <c r="C137" s="214">
        <v>40</v>
      </c>
      <c r="D137" s="214">
        <v>70</v>
      </c>
      <c r="E137" s="221">
        <v>580</v>
      </c>
      <c r="F137" s="170" t="str">
        <f t="shared" si="13"/>
        <v>5100.11</v>
      </c>
      <c r="G137" s="170" t="s">
        <v>189</v>
      </c>
      <c r="H137" s="168">
        <v>1480</v>
      </c>
      <c r="I137" s="168">
        <v>1692</v>
      </c>
      <c r="J137" s="168"/>
      <c r="K137" s="168"/>
      <c r="L137" s="168"/>
      <c r="M137" s="194">
        <v>1543.55</v>
      </c>
      <c r="N137" s="168">
        <v>1543.55</v>
      </c>
      <c r="O137" s="168">
        <f t="shared" si="14"/>
        <v>-148.45000000000005</v>
      </c>
      <c r="Q137" s="169">
        <v>2030</v>
      </c>
      <c r="R137" s="169">
        <v>2030</v>
      </c>
      <c r="S137" s="169"/>
      <c r="T137" s="169"/>
      <c r="U137" s="169"/>
      <c r="V137" s="169">
        <v>1759.73</v>
      </c>
      <c r="W137" s="169">
        <v>1759.73</v>
      </c>
      <c r="X137" s="169">
        <f t="shared" si="15"/>
        <v>-270.27</v>
      </c>
      <c r="Z137" s="202">
        <v>2785</v>
      </c>
      <c r="AA137" s="202">
        <v>2785</v>
      </c>
      <c r="AB137" s="202"/>
      <c r="AC137" s="202"/>
      <c r="AD137" s="202"/>
      <c r="AE137" s="207">
        <v>2105.0500000000002</v>
      </c>
      <c r="AF137" s="202">
        <v>2105.0500000000002</v>
      </c>
      <c r="AG137" s="202">
        <f t="shared" si="16"/>
        <v>-679.94999999999982</v>
      </c>
      <c r="AI137" s="200">
        <v>2785</v>
      </c>
      <c r="AJ137" s="200">
        <v>2785</v>
      </c>
      <c r="AK137" s="200">
        <v>2785</v>
      </c>
      <c r="AL137" s="200">
        <f>IFERROR(VLOOKUP(B137,[2]rptBudgetaryBudgetCrossOrganiza!$A$5236:$O$5854,13,FALSE),"0")</f>
        <v>534.80999999999995</v>
      </c>
      <c r="AM137" s="200"/>
      <c r="AN137" s="200"/>
      <c r="AO137" s="200"/>
      <c r="AP137" s="200"/>
      <c r="AQ137" s="200">
        <f t="shared" si="17"/>
        <v>-2785</v>
      </c>
      <c r="AS137" s="169"/>
      <c r="AT137" s="169"/>
      <c r="AU137" s="169"/>
      <c r="AV137" s="169"/>
      <c r="AW137" s="169"/>
      <c r="AX137" s="169"/>
      <c r="AY137" s="169"/>
      <c r="AZ137" s="169">
        <f t="shared" si="18"/>
        <v>0</v>
      </c>
    </row>
    <row r="138" spans="1:52" hidden="1" x14ac:dyDescent="0.2">
      <c r="A138" s="220">
        <v>4</v>
      </c>
      <c r="B138" s="170" t="s">
        <v>412</v>
      </c>
      <c r="C138" s="214">
        <v>40</v>
      </c>
      <c r="D138" s="214">
        <v>70</v>
      </c>
      <c r="E138" s="221">
        <v>580</v>
      </c>
      <c r="F138" s="170" t="str">
        <f t="shared" si="13"/>
        <v>5100.12</v>
      </c>
      <c r="G138" s="170" t="s">
        <v>190</v>
      </c>
      <c r="H138" s="168">
        <v>0</v>
      </c>
      <c r="I138" s="168">
        <v>0</v>
      </c>
      <c r="J138" s="168"/>
      <c r="K138" s="168"/>
      <c r="L138" s="168"/>
      <c r="M138" s="194">
        <v>0</v>
      </c>
      <c r="N138" s="168">
        <v>0</v>
      </c>
      <c r="O138" s="168">
        <f t="shared" si="14"/>
        <v>0</v>
      </c>
      <c r="Q138" s="169">
        <v>0</v>
      </c>
      <c r="R138" s="169">
        <v>0</v>
      </c>
      <c r="S138" s="169"/>
      <c r="T138" s="169"/>
      <c r="U138" s="169"/>
      <c r="V138" s="169">
        <v>0</v>
      </c>
      <c r="W138" s="169">
        <v>0</v>
      </c>
      <c r="X138" s="169">
        <f t="shared" si="15"/>
        <v>0</v>
      </c>
      <c r="Z138" s="202">
        <v>0</v>
      </c>
      <c r="AA138" s="202">
        <v>0</v>
      </c>
      <c r="AB138" s="202"/>
      <c r="AC138" s="202"/>
      <c r="AD138" s="202"/>
      <c r="AE138" s="207">
        <v>0</v>
      </c>
      <c r="AF138" s="202">
        <v>0</v>
      </c>
      <c r="AG138" s="202">
        <f t="shared" si="16"/>
        <v>0</v>
      </c>
      <c r="AI138" s="200">
        <v>0</v>
      </c>
      <c r="AJ138" s="200">
        <v>0</v>
      </c>
      <c r="AK138" s="200"/>
      <c r="AL138" s="200">
        <f>IFERROR(VLOOKUP(B138,[2]rptBudgetaryBudgetCrossOrganiza!$A$5236:$O$5854,13,FALSE),"0")</f>
        <v>0</v>
      </c>
      <c r="AM138" s="200"/>
      <c r="AN138" s="200"/>
      <c r="AO138" s="200"/>
      <c r="AP138" s="200"/>
      <c r="AQ138" s="200">
        <f t="shared" si="17"/>
        <v>0</v>
      </c>
      <c r="AS138" s="169"/>
      <c r="AT138" s="169"/>
      <c r="AU138" s="169"/>
      <c r="AV138" s="169"/>
      <c r="AW138" s="169"/>
      <c r="AX138" s="169"/>
      <c r="AY138" s="169"/>
      <c r="AZ138" s="169">
        <f t="shared" si="18"/>
        <v>0</v>
      </c>
    </row>
    <row r="139" spans="1:52" hidden="1" x14ac:dyDescent="0.2">
      <c r="A139" s="220">
        <v>4</v>
      </c>
      <c r="B139" s="170" t="s">
        <v>413</v>
      </c>
      <c r="C139" s="214">
        <v>40</v>
      </c>
      <c r="D139" s="214">
        <v>70</v>
      </c>
      <c r="E139" s="221">
        <v>580</v>
      </c>
      <c r="F139" s="170" t="str">
        <f t="shared" si="13"/>
        <v>5100.15</v>
      </c>
      <c r="G139" s="170" t="s">
        <v>193</v>
      </c>
      <c r="H139" s="168">
        <v>0</v>
      </c>
      <c r="I139" s="168">
        <v>0</v>
      </c>
      <c r="J139" s="168"/>
      <c r="K139" s="168"/>
      <c r="L139" s="168"/>
      <c r="M139" s="194">
        <v>0</v>
      </c>
      <c r="N139" s="168">
        <v>0</v>
      </c>
      <c r="O139" s="168">
        <f t="shared" si="14"/>
        <v>0</v>
      </c>
      <c r="Q139" s="169">
        <v>0</v>
      </c>
      <c r="R139" s="169">
        <v>0</v>
      </c>
      <c r="S139" s="169"/>
      <c r="T139" s="169"/>
      <c r="U139" s="169"/>
      <c r="V139" s="169">
        <v>0</v>
      </c>
      <c r="W139" s="169">
        <v>0</v>
      </c>
      <c r="X139" s="169">
        <f t="shared" si="15"/>
        <v>0</v>
      </c>
      <c r="Z139" s="202">
        <v>136</v>
      </c>
      <c r="AA139" s="202">
        <v>136</v>
      </c>
      <c r="AB139" s="202"/>
      <c r="AC139" s="202"/>
      <c r="AD139" s="202"/>
      <c r="AE139" s="207">
        <v>289.35000000000002</v>
      </c>
      <c r="AF139" s="202">
        <v>289.35000000000002</v>
      </c>
      <c r="AG139" s="202">
        <f t="shared" si="16"/>
        <v>153.35000000000002</v>
      </c>
      <c r="AI139" s="200">
        <v>136</v>
      </c>
      <c r="AJ139" s="200">
        <v>136</v>
      </c>
      <c r="AK139" s="200">
        <v>136</v>
      </c>
      <c r="AL139" s="200">
        <f>IFERROR(VLOOKUP(B139,[2]rptBudgetaryBudgetCrossOrganiza!$A$5236:$O$5854,13,FALSE),"0")</f>
        <v>66.78</v>
      </c>
      <c r="AM139" s="200"/>
      <c r="AN139" s="200"/>
      <c r="AO139" s="200"/>
      <c r="AP139" s="200"/>
      <c r="AQ139" s="200">
        <f t="shared" si="17"/>
        <v>-136</v>
      </c>
      <c r="AS139" s="169"/>
      <c r="AT139" s="169"/>
      <c r="AU139" s="169"/>
      <c r="AV139" s="169"/>
      <c r="AW139" s="169"/>
      <c r="AX139" s="169"/>
      <c r="AY139" s="169"/>
      <c r="AZ139" s="169">
        <f t="shared" si="18"/>
        <v>0</v>
      </c>
    </row>
    <row r="140" spans="1:52" hidden="1" x14ac:dyDescent="0.2">
      <c r="A140" s="220">
        <v>4</v>
      </c>
      <c r="B140" s="170" t="s">
        <v>414</v>
      </c>
      <c r="C140" s="214">
        <v>40</v>
      </c>
      <c r="D140" s="214">
        <v>70</v>
      </c>
      <c r="E140" s="221">
        <v>580</v>
      </c>
      <c r="F140" s="170" t="str">
        <f t="shared" si="13"/>
        <v>5100.17</v>
      </c>
      <c r="G140" s="170" t="s">
        <v>300</v>
      </c>
      <c r="H140" s="168">
        <v>0</v>
      </c>
      <c r="I140" s="168">
        <v>0</v>
      </c>
      <c r="J140" s="168"/>
      <c r="K140" s="168"/>
      <c r="L140" s="168"/>
      <c r="M140" s="194">
        <v>0</v>
      </c>
      <c r="N140" s="168">
        <v>0</v>
      </c>
      <c r="O140" s="168">
        <f t="shared" si="14"/>
        <v>0</v>
      </c>
      <c r="Q140" s="169">
        <v>0</v>
      </c>
      <c r="R140" s="169">
        <v>0</v>
      </c>
      <c r="S140" s="169"/>
      <c r="T140" s="169"/>
      <c r="U140" s="169"/>
      <c r="V140" s="169">
        <v>0</v>
      </c>
      <c r="W140" s="169">
        <v>0</v>
      </c>
      <c r="X140" s="169">
        <f t="shared" si="15"/>
        <v>0</v>
      </c>
      <c r="Z140" s="202">
        <v>0</v>
      </c>
      <c r="AA140" s="202">
        <v>0</v>
      </c>
      <c r="AB140" s="202"/>
      <c r="AC140" s="202"/>
      <c r="AD140" s="202"/>
      <c r="AE140" s="207">
        <v>0</v>
      </c>
      <c r="AF140" s="202">
        <v>0</v>
      </c>
      <c r="AG140" s="202">
        <f t="shared" si="16"/>
        <v>0</v>
      </c>
      <c r="AI140" s="200">
        <v>0</v>
      </c>
      <c r="AJ140" s="200">
        <v>0</v>
      </c>
      <c r="AK140" s="200"/>
      <c r="AL140" s="200">
        <f>IFERROR(VLOOKUP(B140,[2]rptBudgetaryBudgetCrossOrganiza!$A$5236:$O$5854,13,FALSE),"0")</f>
        <v>0</v>
      </c>
      <c r="AM140" s="200"/>
      <c r="AN140" s="200"/>
      <c r="AO140" s="200"/>
      <c r="AP140" s="200"/>
      <c r="AQ140" s="200">
        <f t="shared" si="17"/>
        <v>0</v>
      </c>
      <c r="AS140" s="169"/>
      <c r="AT140" s="169"/>
      <c r="AU140" s="169"/>
      <c r="AV140" s="169"/>
      <c r="AW140" s="169"/>
      <c r="AX140" s="169"/>
      <c r="AY140" s="169"/>
      <c r="AZ140" s="169">
        <f t="shared" si="18"/>
        <v>0</v>
      </c>
    </row>
    <row r="141" spans="1:52" hidden="1" x14ac:dyDescent="0.2">
      <c r="A141" s="220">
        <v>5</v>
      </c>
      <c r="B141" s="170" t="s">
        <v>415</v>
      </c>
      <c r="C141" s="214">
        <v>40</v>
      </c>
      <c r="D141" s="214">
        <v>70</v>
      </c>
      <c r="E141" s="221">
        <v>580</v>
      </c>
      <c r="F141" s="170" t="str">
        <f t="shared" si="13"/>
        <v>6000.09</v>
      </c>
      <c r="G141" s="170" t="s">
        <v>196</v>
      </c>
      <c r="H141" s="168">
        <v>0</v>
      </c>
      <c r="I141" s="168">
        <v>0</v>
      </c>
      <c r="J141" s="168"/>
      <c r="K141" s="168"/>
      <c r="L141" s="168"/>
      <c r="M141" s="194">
        <v>0</v>
      </c>
      <c r="N141" s="168">
        <v>0</v>
      </c>
      <c r="O141" s="168">
        <f t="shared" si="14"/>
        <v>0</v>
      </c>
      <c r="Q141" s="169">
        <v>0</v>
      </c>
      <c r="R141" s="169">
        <v>0</v>
      </c>
      <c r="S141" s="169"/>
      <c r="T141" s="169"/>
      <c r="U141" s="169"/>
      <c r="V141" s="169">
        <v>0</v>
      </c>
      <c r="W141" s="169">
        <v>0</v>
      </c>
      <c r="X141" s="169">
        <f t="shared" si="15"/>
        <v>0</v>
      </c>
      <c r="Z141" s="202">
        <v>0</v>
      </c>
      <c r="AA141" s="202">
        <v>0</v>
      </c>
      <c r="AB141" s="202"/>
      <c r="AC141" s="202"/>
      <c r="AD141" s="202"/>
      <c r="AE141" s="207">
        <v>0</v>
      </c>
      <c r="AF141" s="202">
        <v>0</v>
      </c>
      <c r="AG141" s="202">
        <f t="shared" si="16"/>
        <v>0</v>
      </c>
      <c r="AI141" s="200">
        <v>0</v>
      </c>
      <c r="AJ141" s="200">
        <v>0</v>
      </c>
      <c r="AK141" s="200"/>
      <c r="AL141" s="200">
        <f>IFERROR(VLOOKUP(B141,[2]rptBudgetaryBudgetCrossOrganiza!$A$5236:$O$5854,13,FALSE),"0")</f>
        <v>0</v>
      </c>
      <c r="AM141" s="200"/>
      <c r="AN141" s="200"/>
      <c r="AO141" s="200"/>
      <c r="AP141" s="200"/>
      <c r="AQ141" s="200">
        <f t="shared" si="17"/>
        <v>0</v>
      </c>
      <c r="AS141" s="169"/>
      <c r="AT141" s="169"/>
      <c r="AU141" s="169"/>
      <c r="AV141" s="169"/>
      <c r="AW141" s="169"/>
      <c r="AX141" s="169"/>
      <c r="AY141" s="169"/>
      <c r="AZ141" s="169">
        <f t="shared" si="18"/>
        <v>0</v>
      </c>
    </row>
    <row r="142" spans="1:52" hidden="1" x14ac:dyDescent="0.2">
      <c r="A142" s="220">
        <v>6</v>
      </c>
      <c r="B142" s="170" t="s">
        <v>416</v>
      </c>
      <c r="C142" s="214">
        <v>40</v>
      </c>
      <c r="D142" s="214">
        <v>70</v>
      </c>
      <c r="E142" s="221">
        <v>580</v>
      </c>
      <c r="F142" s="170" t="str">
        <f t="shared" si="13"/>
        <v>6200.03</v>
      </c>
      <c r="G142" s="170" t="s">
        <v>200</v>
      </c>
      <c r="H142" s="168">
        <v>0</v>
      </c>
      <c r="I142" s="168">
        <v>0</v>
      </c>
      <c r="J142" s="168"/>
      <c r="K142" s="168"/>
      <c r="L142" s="168"/>
      <c r="M142" s="194">
        <v>0</v>
      </c>
      <c r="N142" s="168">
        <v>0</v>
      </c>
      <c r="O142" s="168">
        <f t="shared" si="14"/>
        <v>0</v>
      </c>
      <c r="Q142" s="169">
        <v>0</v>
      </c>
      <c r="R142" s="169">
        <v>0</v>
      </c>
      <c r="S142" s="169"/>
      <c r="T142" s="169"/>
      <c r="U142" s="169"/>
      <c r="V142" s="169">
        <v>0</v>
      </c>
      <c r="W142" s="169">
        <v>0</v>
      </c>
      <c r="X142" s="169">
        <f t="shared" si="15"/>
        <v>0</v>
      </c>
      <c r="Z142" s="202">
        <v>0</v>
      </c>
      <c r="AA142" s="202">
        <v>0</v>
      </c>
      <c r="AB142" s="202"/>
      <c r="AC142" s="202"/>
      <c r="AD142" s="202"/>
      <c r="AE142" s="207">
        <v>0</v>
      </c>
      <c r="AF142" s="202">
        <v>0</v>
      </c>
      <c r="AG142" s="202">
        <f t="shared" si="16"/>
        <v>0</v>
      </c>
      <c r="AI142" s="200">
        <v>0</v>
      </c>
      <c r="AJ142" s="200">
        <v>0</v>
      </c>
      <c r="AK142" s="200"/>
      <c r="AL142" s="200">
        <f>IFERROR(VLOOKUP(B142,[2]rptBudgetaryBudgetCrossOrganiza!$A$5236:$O$5854,13,FALSE),"0")</f>
        <v>0</v>
      </c>
      <c r="AM142" s="200"/>
      <c r="AN142" s="200"/>
      <c r="AO142" s="200"/>
      <c r="AP142" s="200"/>
      <c r="AQ142" s="200">
        <f t="shared" si="17"/>
        <v>0</v>
      </c>
      <c r="AS142" s="169"/>
      <c r="AT142" s="169"/>
      <c r="AU142" s="169"/>
      <c r="AV142" s="169"/>
      <c r="AW142" s="169"/>
      <c r="AX142" s="169"/>
      <c r="AY142" s="169"/>
      <c r="AZ142" s="169">
        <f t="shared" si="18"/>
        <v>0</v>
      </c>
    </row>
    <row r="143" spans="1:52" hidden="1" x14ac:dyDescent="0.2">
      <c r="A143" s="220">
        <v>6</v>
      </c>
      <c r="B143" s="170" t="s">
        <v>417</v>
      </c>
      <c r="C143" s="214">
        <v>40</v>
      </c>
      <c r="D143" s="214">
        <v>70</v>
      </c>
      <c r="E143" s="221">
        <v>580</v>
      </c>
      <c r="F143" s="170" t="str">
        <f t="shared" si="13"/>
        <v>6280.03</v>
      </c>
      <c r="G143" s="170" t="s">
        <v>483</v>
      </c>
      <c r="H143" s="168">
        <v>0</v>
      </c>
      <c r="I143" s="168">
        <v>0</v>
      </c>
      <c r="J143" s="168"/>
      <c r="K143" s="168"/>
      <c r="L143" s="168"/>
      <c r="M143" s="194">
        <v>0</v>
      </c>
      <c r="N143" s="168">
        <v>0</v>
      </c>
      <c r="O143" s="168">
        <f t="shared" si="14"/>
        <v>0</v>
      </c>
      <c r="Q143" s="169">
        <v>0</v>
      </c>
      <c r="R143" s="169">
        <v>0</v>
      </c>
      <c r="S143" s="169"/>
      <c r="T143" s="169"/>
      <c r="U143" s="169"/>
      <c r="V143" s="169">
        <v>0</v>
      </c>
      <c r="W143" s="169">
        <v>0</v>
      </c>
      <c r="X143" s="169">
        <f t="shared" si="15"/>
        <v>0</v>
      </c>
      <c r="Z143" s="202">
        <v>0</v>
      </c>
      <c r="AA143" s="202">
        <v>0</v>
      </c>
      <c r="AB143" s="202"/>
      <c r="AC143" s="202"/>
      <c r="AD143" s="202"/>
      <c r="AE143" s="207">
        <v>0</v>
      </c>
      <c r="AF143" s="202">
        <v>0</v>
      </c>
      <c r="AG143" s="202">
        <f t="shared" si="16"/>
        <v>0</v>
      </c>
      <c r="AI143" s="200">
        <v>0</v>
      </c>
      <c r="AJ143" s="200">
        <v>0</v>
      </c>
      <c r="AK143" s="200"/>
      <c r="AL143" s="200">
        <f>IFERROR(VLOOKUP(B143,[2]rptBudgetaryBudgetCrossOrganiza!$A$5236:$O$5854,13,FALSE),"0")</f>
        <v>0</v>
      </c>
      <c r="AM143" s="200"/>
      <c r="AN143" s="200"/>
      <c r="AO143" s="200"/>
      <c r="AP143" s="200"/>
      <c r="AQ143" s="200">
        <f t="shared" si="17"/>
        <v>0</v>
      </c>
      <c r="AS143" s="169"/>
      <c r="AT143" s="169"/>
      <c r="AU143" s="169"/>
      <c r="AV143" s="169"/>
      <c r="AW143" s="169"/>
      <c r="AX143" s="169"/>
      <c r="AY143" s="169"/>
      <c r="AZ143" s="169">
        <f t="shared" si="18"/>
        <v>0</v>
      </c>
    </row>
    <row r="144" spans="1:52" hidden="1" x14ac:dyDescent="0.2">
      <c r="A144" s="220">
        <v>6</v>
      </c>
      <c r="B144" s="170" t="s">
        <v>418</v>
      </c>
      <c r="C144" s="214">
        <v>40</v>
      </c>
      <c r="D144" s="214">
        <v>70</v>
      </c>
      <c r="E144" s="221">
        <v>580</v>
      </c>
      <c r="F144" s="170" t="str">
        <f t="shared" si="13"/>
        <v>6280.04</v>
      </c>
      <c r="G144" s="170" t="s">
        <v>484</v>
      </c>
      <c r="H144" s="168">
        <v>5000</v>
      </c>
      <c r="I144" s="168">
        <v>5000</v>
      </c>
      <c r="J144" s="168"/>
      <c r="K144" s="168"/>
      <c r="L144" s="168"/>
      <c r="M144" s="194">
        <v>2212.0500000000002</v>
      </c>
      <c r="N144" s="168">
        <v>2212.0500000000002</v>
      </c>
      <c r="O144" s="168">
        <f t="shared" si="14"/>
        <v>-2787.95</v>
      </c>
      <c r="Q144" s="169">
        <v>5000</v>
      </c>
      <c r="R144" s="169">
        <v>5000</v>
      </c>
      <c r="S144" s="169"/>
      <c r="T144" s="169"/>
      <c r="U144" s="169"/>
      <c r="V144" s="169">
        <v>1984.58</v>
      </c>
      <c r="W144" s="169">
        <v>1984.58</v>
      </c>
      <c r="X144" s="169">
        <f t="shared" si="15"/>
        <v>-3015.42</v>
      </c>
      <c r="Z144" s="202">
        <v>5000</v>
      </c>
      <c r="AA144" s="202">
        <v>5000</v>
      </c>
      <c r="AB144" s="202"/>
      <c r="AC144" s="202"/>
      <c r="AD144" s="202"/>
      <c r="AE144" s="207">
        <v>3850.13</v>
      </c>
      <c r="AF144" s="202">
        <v>3850.13</v>
      </c>
      <c r="AG144" s="202">
        <f t="shared" si="16"/>
        <v>-1149.8699999999999</v>
      </c>
      <c r="AI144" s="200">
        <v>5000</v>
      </c>
      <c r="AJ144" s="200">
        <v>5000</v>
      </c>
      <c r="AK144" s="200">
        <v>5000</v>
      </c>
      <c r="AL144" s="200">
        <f>IFERROR(VLOOKUP(B144,[2]rptBudgetaryBudgetCrossOrganiza!$A$5236:$O$5854,13,FALSE),"0")</f>
        <v>1716.41</v>
      </c>
      <c r="AM144" s="200"/>
      <c r="AN144" s="200"/>
      <c r="AO144" s="200"/>
      <c r="AP144" s="200"/>
      <c r="AQ144" s="200">
        <f t="shared" si="17"/>
        <v>-5000</v>
      </c>
      <c r="AS144" s="169"/>
      <c r="AT144" s="169"/>
      <c r="AU144" s="169"/>
      <c r="AV144" s="169"/>
      <c r="AW144" s="169"/>
      <c r="AX144" s="169"/>
      <c r="AY144" s="169"/>
      <c r="AZ144" s="169">
        <f t="shared" si="18"/>
        <v>0</v>
      </c>
    </row>
    <row r="145" spans="1:52" hidden="1" x14ac:dyDescent="0.2">
      <c r="A145" s="220">
        <v>9</v>
      </c>
      <c r="B145" s="170" t="s">
        <v>419</v>
      </c>
      <c r="C145" s="214">
        <v>40</v>
      </c>
      <c r="D145" s="214">
        <v>70</v>
      </c>
      <c r="E145" s="221">
        <v>580</v>
      </c>
      <c r="F145" s="170" t="str">
        <f t="shared" si="13"/>
        <v>6400.22</v>
      </c>
      <c r="G145" s="170" t="s">
        <v>485</v>
      </c>
      <c r="H145" s="168">
        <v>15000</v>
      </c>
      <c r="I145" s="168">
        <v>15000</v>
      </c>
      <c r="J145" s="168"/>
      <c r="K145" s="168"/>
      <c r="L145" s="168"/>
      <c r="M145" s="194">
        <v>13399.44</v>
      </c>
      <c r="N145" s="168">
        <v>13399.44</v>
      </c>
      <c r="O145" s="168">
        <f t="shared" si="14"/>
        <v>-1600.5599999999995</v>
      </c>
      <c r="Q145" s="169">
        <v>20000</v>
      </c>
      <c r="R145" s="169">
        <v>20000</v>
      </c>
      <c r="S145" s="169"/>
      <c r="T145" s="169"/>
      <c r="U145" s="169"/>
      <c r="V145" s="169">
        <v>15722.45</v>
      </c>
      <c r="W145" s="169">
        <v>15722.45</v>
      </c>
      <c r="X145" s="169">
        <f t="shared" si="15"/>
        <v>-4277.5499999999993</v>
      </c>
      <c r="Z145" s="202">
        <v>25000</v>
      </c>
      <c r="AA145" s="202">
        <v>25000</v>
      </c>
      <c r="AB145" s="202"/>
      <c r="AC145" s="202"/>
      <c r="AD145" s="202"/>
      <c r="AE145" s="207">
        <v>18581.509999999998</v>
      </c>
      <c r="AF145" s="202">
        <v>18581.509999999998</v>
      </c>
      <c r="AG145" s="202">
        <f t="shared" si="16"/>
        <v>-6418.4900000000016</v>
      </c>
      <c r="AI145" s="200">
        <v>25000</v>
      </c>
      <c r="AJ145" s="200">
        <v>25000</v>
      </c>
      <c r="AK145" s="200">
        <v>25000</v>
      </c>
      <c r="AL145" s="200">
        <f>IFERROR(VLOOKUP(B145,[2]rptBudgetaryBudgetCrossOrganiza!$A$5236:$O$5854,13,FALSE),"0")</f>
        <v>3429.17</v>
      </c>
      <c r="AM145" s="200"/>
      <c r="AN145" s="200"/>
      <c r="AO145" s="200"/>
      <c r="AP145" s="200"/>
      <c r="AQ145" s="200">
        <f t="shared" si="17"/>
        <v>-25000</v>
      </c>
      <c r="AS145" s="169"/>
      <c r="AT145" s="169"/>
      <c r="AU145" s="169"/>
      <c r="AV145" s="169"/>
      <c r="AW145" s="169"/>
      <c r="AX145" s="169"/>
      <c r="AY145" s="169"/>
      <c r="AZ145" s="169">
        <f t="shared" si="18"/>
        <v>0</v>
      </c>
    </row>
    <row r="146" spans="1:52" hidden="1" x14ac:dyDescent="0.2">
      <c r="A146" s="220">
        <v>9</v>
      </c>
      <c r="B146" s="170" t="s">
        <v>420</v>
      </c>
      <c r="C146" s="214">
        <v>40</v>
      </c>
      <c r="D146" s="214">
        <v>70</v>
      </c>
      <c r="E146" s="221">
        <v>580</v>
      </c>
      <c r="F146" s="170" t="str">
        <f t="shared" si="13"/>
        <v>6410.05</v>
      </c>
      <c r="G146" s="170" t="s">
        <v>259</v>
      </c>
      <c r="H146" s="168">
        <v>0</v>
      </c>
      <c r="I146" s="168">
        <v>0</v>
      </c>
      <c r="J146" s="168"/>
      <c r="K146" s="168"/>
      <c r="L146" s="168"/>
      <c r="M146" s="194">
        <v>0</v>
      </c>
      <c r="N146" s="168">
        <v>0</v>
      </c>
      <c r="O146" s="168">
        <f t="shared" si="14"/>
        <v>0</v>
      </c>
      <c r="Q146" s="169">
        <v>0</v>
      </c>
      <c r="R146" s="169">
        <v>0</v>
      </c>
      <c r="S146" s="169"/>
      <c r="T146" s="169"/>
      <c r="U146" s="169"/>
      <c r="V146" s="169">
        <v>0</v>
      </c>
      <c r="W146" s="169">
        <v>0</v>
      </c>
      <c r="X146" s="169">
        <f t="shared" si="15"/>
        <v>0</v>
      </c>
      <c r="Z146" s="202">
        <v>0</v>
      </c>
      <c r="AA146" s="202">
        <v>0</v>
      </c>
      <c r="AB146" s="202"/>
      <c r="AC146" s="202"/>
      <c r="AD146" s="202"/>
      <c r="AE146" s="207">
        <v>0</v>
      </c>
      <c r="AF146" s="202">
        <v>0</v>
      </c>
      <c r="AG146" s="202">
        <f t="shared" si="16"/>
        <v>0</v>
      </c>
      <c r="AI146" s="200">
        <v>0</v>
      </c>
      <c r="AJ146" s="200">
        <v>0</v>
      </c>
      <c r="AK146" s="200"/>
      <c r="AL146" s="200">
        <f>IFERROR(VLOOKUP(B146,[2]rptBudgetaryBudgetCrossOrganiza!$A$5236:$O$5854,13,FALSE),"0")</f>
        <v>0</v>
      </c>
      <c r="AM146" s="200"/>
      <c r="AN146" s="200"/>
      <c r="AO146" s="200"/>
      <c r="AP146" s="200"/>
      <c r="AQ146" s="200">
        <f t="shared" si="17"/>
        <v>0</v>
      </c>
      <c r="AS146" s="169"/>
      <c r="AT146" s="169"/>
      <c r="AU146" s="169"/>
      <c r="AV146" s="169"/>
      <c r="AW146" s="169"/>
      <c r="AX146" s="169"/>
      <c r="AY146" s="169"/>
      <c r="AZ146" s="169">
        <f t="shared" si="18"/>
        <v>0</v>
      </c>
    </row>
    <row r="147" spans="1:52" hidden="1" x14ac:dyDescent="0.2">
      <c r="A147" s="220">
        <v>7</v>
      </c>
      <c r="B147" s="170" t="s">
        <v>421</v>
      </c>
      <c r="C147" s="214">
        <v>40</v>
      </c>
      <c r="D147" s="214">
        <v>70</v>
      </c>
      <c r="E147" s="221">
        <v>580</v>
      </c>
      <c r="F147" s="170" t="str">
        <f t="shared" ref="F147:F206" si="19">RIGHT(B147,7)</f>
        <v>7000.03</v>
      </c>
      <c r="G147" s="170" t="s">
        <v>163</v>
      </c>
      <c r="H147" s="168">
        <v>0</v>
      </c>
      <c r="I147" s="168">
        <v>0</v>
      </c>
      <c r="J147" s="168"/>
      <c r="K147" s="168"/>
      <c r="L147" s="168"/>
      <c r="M147" s="194">
        <v>0</v>
      </c>
      <c r="N147" s="168">
        <v>0</v>
      </c>
      <c r="O147" s="168">
        <f t="shared" si="14"/>
        <v>0</v>
      </c>
      <c r="Q147" s="169">
        <v>0</v>
      </c>
      <c r="R147" s="169">
        <v>0</v>
      </c>
      <c r="S147" s="169"/>
      <c r="T147" s="169"/>
      <c r="U147" s="169"/>
      <c r="V147" s="169">
        <v>0</v>
      </c>
      <c r="W147" s="169">
        <v>0</v>
      </c>
      <c r="X147" s="169">
        <f t="shared" si="15"/>
        <v>0</v>
      </c>
      <c r="Z147" s="202">
        <v>0</v>
      </c>
      <c r="AA147" s="202">
        <v>0</v>
      </c>
      <c r="AB147" s="202"/>
      <c r="AC147" s="202"/>
      <c r="AD147" s="202"/>
      <c r="AE147" s="207">
        <v>0</v>
      </c>
      <c r="AF147" s="202">
        <v>0</v>
      </c>
      <c r="AG147" s="202">
        <f t="shared" si="16"/>
        <v>0</v>
      </c>
      <c r="AI147" s="200">
        <v>0</v>
      </c>
      <c r="AJ147" s="200">
        <v>0</v>
      </c>
      <c r="AK147" s="200"/>
      <c r="AL147" s="200">
        <f>IFERROR(VLOOKUP(B147,[2]rptBudgetaryBudgetCrossOrganiza!$A$5236:$O$5854,13,FALSE),"0")</f>
        <v>0</v>
      </c>
      <c r="AM147" s="200"/>
      <c r="AN147" s="200"/>
      <c r="AO147" s="200"/>
      <c r="AP147" s="200"/>
      <c r="AQ147" s="200">
        <f t="shared" si="17"/>
        <v>0</v>
      </c>
      <c r="AS147" s="169"/>
      <c r="AT147" s="169"/>
      <c r="AU147" s="169"/>
      <c r="AV147" s="169"/>
      <c r="AW147" s="169"/>
      <c r="AX147" s="169"/>
      <c r="AY147" s="169"/>
      <c r="AZ147" s="169">
        <f t="shared" si="18"/>
        <v>0</v>
      </c>
    </row>
    <row r="148" spans="1:52" hidden="1" x14ac:dyDescent="0.2">
      <c r="A148" s="220">
        <v>7</v>
      </c>
      <c r="B148" s="170" t="s">
        <v>422</v>
      </c>
      <c r="C148" s="214">
        <v>40</v>
      </c>
      <c r="D148" s="214">
        <v>70</v>
      </c>
      <c r="E148" s="221">
        <v>580</v>
      </c>
      <c r="F148" s="170" t="str">
        <f t="shared" si="19"/>
        <v>7000.99</v>
      </c>
      <c r="G148" s="170" t="s">
        <v>164</v>
      </c>
      <c r="H148" s="168">
        <v>0</v>
      </c>
      <c r="I148" s="168">
        <v>0</v>
      </c>
      <c r="J148" s="168"/>
      <c r="K148" s="168"/>
      <c r="L148" s="168"/>
      <c r="M148" s="194">
        <v>0</v>
      </c>
      <c r="N148" s="168">
        <v>0</v>
      </c>
      <c r="O148" s="168">
        <f t="shared" si="14"/>
        <v>0</v>
      </c>
      <c r="Q148" s="169">
        <v>0</v>
      </c>
      <c r="R148" s="169">
        <v>0</v>
      </c>
      <c r="S148" s="169"/>
      <c r="T148" s="169"/>
      <c r="U148" s="169"/>
      <c r="V148" s="169">
        <v>0</v>
      </c>
      <c r="W148" s="169">
        <v>0</v>
      </c>
      <c r="X148" s="169">
        <f t="shared" si="15"/>
        <v>0</v>
      </c>
      <c r="Z148" s="202">
        <v>0</v>
      </c>
      <c r="AA148" s="202">
        <v>0</v>
      </c>
      <c r="AB148" s="202"/>
      <c r="AC148" s="202"/>
      <c r="AD148" s="202"/>
      <c r="AE148" s="207">
        <v>0</v>
      </c>
      <c r="AF148" s="202">
        <v>0</v>
      </c>
      <c r="AG148" s="202">
        <f t="shared" si="16"/>
        <v>0</v>
      </c>
      <c r="AI148" s="200">
        <v>0</v>
      </c>
      <c r="AJ148" s="200">
        <v>0</v>
      </c>
      <c r="AK148" s="200"/>
      <c r="AL148" s="200">
        <f>IFERROR(VLOOKUP(B148,[2]rptBudgetaryBudgetCrossOrganiza!$A$5236:$O$5854,13,FALSE),"0")</f>
        <v>0</v>
      </c>
      <c r="AM148" s="200"/>
      <c r="AN148" s="200"/>
      <c r="AO148" s="200"/>
      <c r="AP148" s="200"/>
      <c r="AQ148" s="200">
        <f t="shared" si="17"/>
        <v>0</v>
      </c>
      <c r="AS148" s="169"/>
      <c r="AT148" s="169"/>
      <c r="AU148" s="169"/>
      <c r="AV148" s="169"/>
      <c r="AW148" s="169"/>
      <c r="AX148" s="169"/>
      <c r="AY148" s="169"/>
      <c r="AZ148" s="169">
        <f t="shared" si="18"/>
        <v>0</v>
      </c>
    </row>
    <row r="149" spans="1:52" hidden="1" x14ac:dyDescent="0.2">
      <c r="A149" s="220">
        <v>4</v>
      </c>
      <c r="B149" s="170" t="s">
        <v>424</v>
      </c>
      <c r="C149" s="214">
        <v>40</v>
      </c>
      <c r="D149" s="214">
        <v>70</v>
      </c>
      <c r="E149" s="221">
        <v>590</v>
      </c>
      <c r="F149" s="170" t="str">
        <f t="shared" si="19"/>
        <v>5000.01</v>
      </c>
      <c r="G149" s="170" t="s">
        <v>165</v>
      </c>
      <c r="H149" s="168">
        <v>7495</v>
      </c>
      <c r="I149" s="168">
        <v>7795</v>
      </c>
      <c r="J149" s="168"/>
      <c r="K149" s="168"/>
      <c r="L149" s="168"/>
      <c r="M149" s="194">
        <v>7157.64</v>
      </c>
      <c r="N149" s="168">
        <v>7157.64</v>
      </c>
      <c r="O149" s="168">
        <f t="shared" si="14"/>
        <v>-637.35999999999967</v>
      </c>
      <c r="Q149" s="169">
        <v>11810</v>
      </c>
      <c r="R149" s="169">
        <v>11810</v>
      </c>
      <c r="S149" s="169"/>
      <c r="T149" s="169"/>
      <c r="U149" s="169"/>
      <c r="V149" s="169">
        <v>6684.56</v>
      </c>
      <c r="W149" s="169">
        <v>6684.56</v>
      </c>
      <c r="X149" s="169">
        <f t="shared" si="15"/>
        <v>-5125.4399999999996</v>
      </c>
      <c r="Z149" s="202">
        <v>17395</v>
      </c>
      <c r="AA149" s="202">
        <v>17764</v>
      </c>
      <c r="AB149" s="202"/>
      <c r="AC149" s="202"/>
      <c r="AD149" s="202"/>
      <c r="AE149" s="207">
        <v>8251.42</v>
      </c>
      <c r="AF149" s="202">
        <v>8251.42</v>
      </c>
      <c r="AG149" s="202">
        <f t="shared" si="16"/>
        <v>-9512.58</v>
      </c>
      <c r="AI149" s="200">
        <v>17917</v>
      </c>
      <c r="AJ149" s="200">
        <v>17917</v>
      </c>
      <c r="AK149" s="200">
        <v>17917</v>
      </c>
      <c r="AL149" s="200">
        <f>IFERROR(VLOOKUP(B149,[2]rptBudgetaryBudgetCrossOrganiza!$A$5236:$O$5854,13,FALSE),"0")</f>
        <v>2432.63</v>
      </c>
      <c r="AM149" s="200"/>
      <c r="AN149" s="200"/>
      <c r="AO149" s="200"/>
      <c r="AP149" s="200"/>
      <c r="AQ149" s="200">
        <f t="shared" si="17"/>
        <v>-17917</v>
      </c>
      <c r="AS149" s="169"/>
      <c r="AT149" s="169"/>
      <c r="AU149" s="169"/>
      <c r="AV149" s="169"/>
      <c r="AW149" s="169"/>
      <c r="AX149" s="169"/>
      <c r="AY149" s="169"/>
      <c r="AZ149" s="169">
        <f t="shared" si="18"/>
        <v>0</v>
      </c>
    </row>
    <row r="150" spans="1:52" hidden="1" x14ac:dyDescent="0.2">
      <c r="A150" s="220">
        <v>4</v>
      </c>
      <c r="B150" s="170" t="s">
        <v>425</v>
      </c>
      <c r="C150" s="214">
        <v>40</v>
      </c>
      <c r="D150" s="214">
        <v>70</v>
      </c>
      <c r="E150" s="221">
        <v>590</v>
      </c>
      <c r="F150" s="170" t="str">
        <f t="shared" si="19"/>
        <v>5000.02</v>
      </c>
      <c r="G150" s="170" t="s">
        <v>166</v>
      </c>
      <c r="H150" s="168">
        <v>0</v>
      </c>
      <c r="I150" s="168">
        <v>0</v>
      </c>
      <c r="J150" s="168"/>
      <c r="K150" s="168"/>
      <c r="L150" s="168"/>
      <c r="M150" s="194">
        <v>0</v>
      </c>
      <c r="N150" s="168">
        <v>0</v>
      </c>
      <c r="O150" s="168">
        <f t="shared" si="14"/>
        <v>0</v>
      </c>
      <c r="Q150" s="169">
        <v>0</v>
      </c>
      <c r="R150" s="169">
        <v>0</v>
      </c>
      <c r="S150" s="169"/>
      <c r="T150" s="169"/>
      <c r="U150" s="169"/>
      <c r="V150" s="169">
        <v>0</v>
      </c>
      <c r="W150" s="169">
        <v>0</v>
      </c>
      <c r="X150" s="169">
        <f t="shared" si="15"/>
        <v>0</v>
      </c>
      <c r="Z150" s="202">
        <v>0</v>
      </c>
      <c r="AA150" s="202">
        <v>0</v>
      </c>
      <c r="AB150" s="202"/>
      <c r="AC150" s="202"/>
      <c r="AD150" s="202"/>
      <c r="AE150" s="207">
        <v>0</v>
      </c>
      <c r="AF150" s="202">
        <v>0</v>
      </c>
      <c r="AG150" s="202">
        <f t="shared" si="16"/>
        <v>0</v>
      </c>
      <c r="AI150" s="200">
        <v>0</v>
      </c>
      <c r="AJ150" s="200">
        <v>0</v>
      </c>
      <c r="AK150" s="200"/>
      <c r="AL150" s="200">
        <f>IFERROR(VLOOKUP(B150,[2]rptBudgetaryBudgetCrossOrganiza!$A$5236:$O$5854,13,FALSE),"0")</f>
        <v>0</v>
      </c>
      <c r="AM150" s="200"/>
      <c r="AN150" s="200"/>
      <c r="AO150" s="200"/>
      <c r="AP150" s="200"/>
      <c r="AQ150" s="200">
        <f t="shared" si="17"/>
        <v>0</v>
      </c>
      <c r="AS150" s="169"/>
      <c r="AT150" s="169"/>
      <c r="AU150" s="169"/>
      <c r="AV150" s="169"/>
      <c r="AW150" s="169"/>
      <c r="AX150" s="169"/>
      <c r="AY150" s="169"/>
      <c r="AZ150" s="169">
        <f t="shared" si="18"/>
        <v>0</v>
      </c>
    </row>
    <row r="151" spans="1:52" hidden="1" x14ac:dyDescent="0.2">
      <c r="A151" s="220">
        <v>4</v>
      </c>
      <c r="B151" s="170" t="s">
        <v>426</v>
      </c>
      <c r="C151" s="214">
        <v>40</v>
      </c>
      <c r="D151" s="214">
        <v>70</v>
      </c>
      <c r="E151" s="221">
        <v>590</v>
      </c>
      <c r="F151" s="170" t="str">
        <f t="shared" si="19"/>
        <v>5000.03</v>
      </c>
      <c r="G151" s="170" t="s">
        <v>167</v>
      </c>
      <c r="H151" s="168">
        <v>750</v>
      </c>
      <c r="I151" s="168">
        <v>750</v>
      </c>
      <c r="J151" s="168"/>
      <c r="K151" s="168"/>
      <c r="L151" s="168"/>
      <c r="M151" s="194">
        <v>1150.69</v>
      </c>
      <c r="N151" s="168">
        <v>1150.69</v>
      </c>
      <c r="O151" s="168">
        <f t="shared" si="14"/>
        <v>400.69000000000005</v>
      </c>
      <c r="Q151" s="169">
        <v>750</v>
      </c>
      <c r="R151" s="169">
        <v>750</v>
      </c>
      <c r="S151" s="169"/>
      <c r="T151" s="169"/>
      <c r="U151" s="169"/>
      <c r="V151" s="169">
        <v>1233.57</v>
      </c>
      <c r="W151" s="169">
        <v>1233.57</v>
      </c>
      <c r="X151" s="169">
        <f t="shared" si="15"/>
        <v>483.56999999999994</v>
      </c>
      <c r="Z151" s="202">
        <v>1200</v>
      </c>
      <c r="AA151" s="202">
        <v>1200</v>
      </c>
      <c r="AB151" s="202"/>
      <c r="AC151" s="202"/>
      <c r="AD151" s="202"/>
      <c r="AE151" s="207">
        <v>2250.8200000000002</v>
      </c>
      <c r="AF151" s="202">
        <v>2250.8200000000002</v>
      </c>
      <c r="AG151" s="202">
        <f t="shared" si="16"/>
        <v>1050.8200000000002</v>
      </c>
      <c r="AI151" s="200">
        <v>1236</v>
      </c>
      <c r="AJ151" s="200">
        <v>1236</v>
      </c>
      <c r="AK151" s="200">
        <v>1236</v>
      </c>
      <c r="AL151" s="200">
        <f>IFERROR(VLOOKUP(B151,[2]rptBudgetaryBudgetCrossOrganiza!$A$5236:$O$5854,13,FALSE),"0")</f>
        <v>162.29</v>
      </c>
      <c r="AM151" s="200"/>
      <c r="AN151" s="200"/>
      <c r="AO151" s="200"/>
      <c r="AP151" s="200"/>
      <c r="AQ151" s="200">
        <f t="shared" si="17"/>
        <v>-1236</v>
      </c>
      <c r="AS151" s="169"/>
      <c r="AT151" s="169"/>
      <c r="AU151" s="169"/>
      <c r="AV151" s="169"/>
      <c r="AW151" s="169"/>
      <c r="AX151" s="169"/>
      <c r="AY151" s="169"/>
      <c r="AZ151" s="169">
        <f t="shared" si="18"/>
        <v>0</v>
      </c>
    </row>
    <row r="152" spans="1:52" hidden="1" x14ac:dyDescent="0.2">
      <c r="A152" s="220">
        <v>4</v>
      </c>
      <c r="B152" s="170" t="s">
        <v>427</v>
      </c>
      <c r="C152" s="214">
        <v>40</v>
      </c>
      <c r="D152" s="214">
        <v>70</v>
      </c>
      <c r="E152" s="221">
        <v>590</v>
      </c>
      <c r="F152" s="170" t="str">
        <f t="shared" si="19"/>
        <v>5000.04</v>
      </c>
      <c r="G152" s="170" t="s">
        <v>168</v>
      </c>
      <c r="H152" s="168">
        <v>0</v>
      </c>
      <c r="I152" s="168">
        <v>0</v>
      </c>
      <c r="J152" s="168"/>
      <c r="K152" s="168"/>
      <c r="L152" s="168"/>
      <c r="M152" s="194">
        <v>0</v>
      </c>
      <c r="N152" s="168">
        <v>0</v>
      </c>
      <c r="O152" s="168">
        <f t="shared" si="14"/>
        <v>0</v>
      </c>
      <c r="Q152" s="169">
        <v>0</v>
      </c>
      <c r="R152" s="169">
        <v>0</v>
      </c>
      <c r="S152" s="169"/>
      <c r="T152" s="169"/>
      <c r="U152" s="169"/>
      <c r="V152" s="169">
        <v>0</v>
      </c>
      <c r="W152" s="169">
        <v>0</v>
      </c>
      <c r="X152" s="169">
        <f t="shared" si="15"/>
        <v>0</v>
      </c>
      <c r="Z152" s="202">
        <v>0</v>
      </c>
      <c r="AA152" s="202">
        <v>0</v>
      </c>
      <c r="AB152" s="202"/>
      <c r="AC152" s="202"/>
      <c r="AD152" s="202"/>
      <c r="AE152" s="207">
        <v>0</v>
      </c>
      <c r="AF152" s="202">
        <v>0</v>
      </c>
      <c r="AG152" s="202">
        <f t="shared" si="16"/>
        <v>0</v>
      </c>
      <c r="AI152" s="200">
        <v>0</v>
      </c>
      <c r="AJ152" s="200">
        <v>0</v>
      </c>
      <c r="AK152" s="200"/>
      <c r="AL152" s="200">
        <f>IFERROR(VLOOKUP(B152,[2]rptBudgetaryBudgetCrossOrganiza!$A$5236:$O$5854,13,FALSE),"0")</f>
        <v>0</v>
      </c>
      <c r="AM152" s="200"/>
      <c r="AN152" s="200"/>
      <c r="AO152" s="200"/>
      <c r="AP152" s="200"/>
      <c r="AQ152" s="200">
        <f t="shared" si="17"/>
        <v>0</v>
      </c>
      <c r="AS152" s="169"/>
      <c r="AT152" s="169"/>
      <c r="AU152" s="169"/>
      <c r="AV152" s="169"/>
      <c r="AW152" s="169"/>
      <c r="AX152" s="169"/>
      <c r="AY152" s="169"/>
      <c r="AZ152" s="169">
        <f t="shared" si="18"/>
        <v>0</v>
      </c>
    </row>
    <row r="153" spans="1:52" hidden="1" x14ac:dyDescent="0.2">
      <c r="A153" s="220">
        <v>4</v>
      </c>
      <c r="B153" s="170" t="s">
        <v>428</v>
      </c>
      <c r="C153" s="214">
        <v>40</v>
      </c>
      <c r="D153" s="214">
        <v>70</v>
      </c>
      <c r="E153" s="221">
        <v>590</v>
      </c>
      <c r="F153" s="170" t="str">
        <f t="shared" si="19"/>
        <v>5000.06</v>
      </c>
      <c r="G153" s="170" t="s">
        <v>170</v>
      </c>
      <c r="H153" s="168">
        <v>0</v>
      </c>
      <c r="I153" s="168">
        <v>0</v>
      </c>
      <c r="J153" s="168"/>
      <c r="K153" s="168"/>
      <c r="L153" s="168"/>
      <c r="M153" s="194">
        <v>0</v>
      </c>
      <c r="N153" s="168">
        <v>0</v>
      </c>
      <c r="O153" s="168">
        <f t="shared" si="14"/>
        <v>0</v>
      </c>
      <c r="Q153" s="169">
        <v>0</v>
      </c>
      <c r="R153" s="169">
        <v>0</v>
      </c>
      <c r="S153" s="169"/>
      <c r="T153" s="169"/>
      <c r="U153" s="169"/>
      <c r="V153" s="169">
        <v>0</v>
      </c>
      <c r="W153" s="169">
        <v>0</v>
      </c>
      <c r="X153" s="169">
        <f t="shared" si="15"/>
        <v>0</v>
      </c>
      <c r="Z153" s="202">
        <v>0</v>
      </c>
      <c r="AA153" s="202">
        <v>0</v>
      </c>
      <c r="AB153" s="202"/>
      <c r="AC153" s="202"/>
      <c r="AD153" s="202"/>
      <c r="AE153" s="207">
        <v>429.94</v>
      </c>
      <c r="AF153" s="202">
        <v>429.94</v>
      </c>
      <c r="AG153" s="202">
        <f t="shared" si="16"/>
        <v>429.94</v>
      </c>
      <c r="AI153" s="200">
        <v>0</v>
      </c>
      <c r="AJ153" s="200">
        <v>0</v>
      </c>
      <c r="AK153" s="200"/>
      <c r="AL153" s="200">
        <f>IFERROR(VLOOKUP(B153,[2]rptBudgetaryBudgetCrossOrganiza!$A$5236:$O$5854,13,FALSE),"0")</f>
        <v>71.709999999999994</v>
      </c>
      <c r="AM153" s="200"/>
      <c r="AN153" s="200"/>
      <c r="AO153" s="200"/>
      <c r="AP153" s="200"/>
      <c r="AQ153" s="200">
        <f t="shared" si="17"/>
        <v>0</v>
      </c>
      <c r="AS153" s="169"/>
      <c r="AT153" s="169"/>
      <c r="AU153" s="169"/>
      <c r="AV153" s="169"/>
      <c r="AW153" s="169"/>
      <c r="AX153" s="169"/>
      <c r="AY153" s="169"/>
      <c r="AZ153" s="169">
        <f t="shared" si="18"/>
        <v>0</v>
      </c>
    </row>
    <row r="154" spans="1:52" hidden="1" x14ac:dyDescent="0.2">
      <c r="A154" s="220">
        <v>4</v>
      </c>
      <c r="B154" s="170" t="s">
        <v>429</v>
      </c>
      <c r="C154" s="214">
        <v>40</v>
      </c>
      <c r="D154" s="214">
        <v>70</v>
      </c>
      <c r="E154" s="221">
        <v>590</v>
      </c>
      <c r="F154" s="170" t="str">
        <f t="shared" si="19"/>
        <v>5000.07</v>
      </c>
      <c r="G154" s="170" t="s">
        <v>171</v>
      </c>
      <c r="H154" s="168">
        <v>0</v>
      </c>
      <c r="I154" s="168">
        <v>0</v>
      </c>
      <c r="J154" s="168"/>
      <c r="K154" s="168"/>
      <c r="L154" s="168"/>
      <c r="M154" s="194">
        <v>0</v>
      </c>
      <c r="N154" s="168">
        <v>0</v>
      </c>
      <c r="O154" s="168">
        <f t="shared" si="14"/>
        <v>0</v>
      </c>
      <c r="Q154" s="169">
        <v>0</v>
      </c>
      <c r="R154" s="169">
        <v>0</v>
      </c>
      <c r="S154" s="169"/>
      <c r="T154" s="169"/>
      <c r="U154" s="169"/>
      <c r="V154" s="169">
        <v>0</v>
      </c>
      <c r="W154" s="169">
        <v>0</v>
      </c>
      <c r="X154" s="169">
        <f t="shared" si="15"/>
        <v>0</v>
      </c>
      <c r="Z154" s="202">
        <v>170</v>
      </c>
      <c r="AA154" s="202">
        <v>170</v>
      </c>
      <c r="AB154" s="202"/>
      <c r="AC154" s="202"/>
      <c r="AD154" s="202"/>
      <c r="AE154" s="207">
        <v>0</v>
      </c>
      <c r="AF154" s="202">
        <v>0</v>
      </c>
      <c r="AG154" s="202">
        <f t="shared" si="16"/>
        <v>-170</v>
      </c>
      <c r="AI154" s="200">
        <v>438</v>
      </c>
      <c r="AJ154" s="200">
        <v>438</v>
      </c>
      <c r="AK154" s="200">
        <v>438</v>
      </c>
      <c r="AL154" s="200">
        <f>IFERROR(VLOOKUP(B154,[2]rptBudgetaryBudgetCrossOrganiza!$A$5236:$O$5854,13,FALSE),"0")</f>
        <v>0</v>
      </c>
      <c r="AM154" s="200"/>
      <c r="AN154" s="200"/>
      <c r="AO154" s="200"/>
      <c r="AP154" s="200"/>
      <c r="AQ154" s="200">
        <f t="shared" si="17"/>
        <v>-438</v>
      </c>
      <c r="AS154" s="169"/>
      <c r="AT154" s="169"/>
      <c r="AU154" s="169"/>
      <c r="AV154" s="169"/>
      <c r="AW154" s="169"/>
      <c r="AX154" s="169"/>
      <c r="AY154" s="169"/>
      <c r="AZ154" s="169">
        <f t="shared" si="18"/>
        <v>0</v>
      </c>
    </row>
    <row r="155" spans="1:52" hidden="1" x14ac:dyDescent="0.2">
      <c r="A155" s="220">
        <v>4</v>
      </c>
      <c r="B155" s="170" t="s">
        <v>430</v>
      </c>
      <c r="C155" s="214">
        <v>40</v>
      </c>
      <c r="D155" s="214">
        <v>70</v>
      </c>
      <c r="E155" s="221">
        <v>590</v>
      </c>
      <c r="F155" s="170" t="str">
        <f t="shared" si="19"/>
        <v>5000.08</v>
      </c>
      <c r="G155" s="170" t="s">
        <v>172</v>
      </c>
      <c r="H155" s="168">
        <v>122</v>
      </c>
      <c r="I155" s="168">
        <v>122</v>
      </c>
      <c r="J155" s="168"/>
      <c r="K155" s="168"/>
      <c r="L155" s="168"/>
      <c r="M155" s="194">
        <v>120.28</v>
      </c>
      <c r="N155" s="168">
        <v>120.28</v>
      </c>
      <c r="O155" s="168">
        <f t="shared" si="14"/>
        <v>-1.7199999999999989</v>
      </c>
      <c r="Q155" s="169">
        <v>130</v>
      </c>
      <c r="R155" s="169">
        <v>130</v>
      </c>
      <c r="S155" s="169"/>
      <c r="T155" s="169"/>
      <c r="U155" s="169"/>
      <c r="V155" s="169">
        <v>125.15</v>
      </c>
      <c r="W155" s="169">
        <v>125.15</v>
      </c>
      <c r="X155" s="169">
        <f t="shared" si="15"/>
        <v>-4.8499999999999943</v>
      </c>
      <c r="Z155" s="202">
        <v>230</v>
      </c>
      <c r="AA155" s="202">
        <v>230</v>
      </c>
      <c r="AB155" s="202"/>
      <c r="AC155" s="202"/>
      <c r="AD155" s="202"/>
      <c r="AE155" s="207">
        <v>129.63</v>
      </c>
      <c r="AF155" s="202">
        <v>129.63</v>
      </c>
      <c r="AG155" s="202">
        <f t="shared" si="16"/>
        <v>-100.37</v>
      </c>
      <c r="AI155" s="200">
        <v>237</v>
      </c>
      <c r="AJ155" s="200">
        <v>237</v>
      </c>
      <c r="AK155" s="200">
        <v>237</v>
      </c>
      <c r="AL155" s="200">
        <f>IFERROR(VLOOKUP(B155,[2]rptBudgetaryBudgetCrossOrganiza!$A$5236:$O$5854,13,FALSE),"0")</f>
        <v>0</v>
      </c>
      <c r="AM155" s="200"/>
      <c r="AN155" s="200"/>
      <c r="AO155" s="200"/>
      <c r="AP155" s="200"/>
      <c r="AQ155" s="200">
        <f t="shared" si="17"/>
        <v>-237</v>
      </c>
      <c r="AS155" s="169"/>
      <c r="AT155" s="169"/>
      <c r="AU155" s="169"/>
      <c r="AV155" s="169"/>
      <c r="AW155" s="169"/>
      <c r="AX155" s="169"/>
      <c r="AY155" s="169"/>
      <c r="AZ155" s="169">
        <f t="shared" si="18"/>
        <v>0</v>
      </c>
    </row>
    <row r="156" spans="1:52" hidden="1" x14ac:dyDescent="0.2">
      <c r="A156" s="220">
        <v>4</v>
      </c>
      <c r="B156" s="170" t="s">
        <v>431</v>
      </c>
      <c r="C156" s="214">
        <v>40</v>
      </c>
      <c r="D156" s="214">
        <v>70</v>
      </c>
      <c r="E156" s="221">
        <v>590</v>
      </c>
      <c r="F156" s="170" t="str">
        <f t="shared" si="19"/>
        <v>5000.10</v>
      </c>
      <c r="G156" s="170" t="s">
        <v>174</v>
      </c>
      <c r="H156" s="168">
        <v>0</v>
      </c>
      <c r="I156" s="168">
        <v>0</v>
      </c>
      <c r="J156" s="168"/>
      <c r="K156" s="168"/>
      <c r="L156" s="168"/>
      <c r="M156" s="194">
        <v>0</v>
      </c>
      <c r="N156" s="168">
        <v>0</v>
      </c>
      <c r="O156" s="168">
        <f t="shared" si="14"/>
        <v>0</v>
      </c>
      <c r="Q156" s="169">
        <v>0</v>
      </c>
      <c r="R156" s="169">
        <v>0</v>
      </c>
      <c r="S156" s="169"/>
      <c r="T156" s="169"/>
      <c r="U156" s="169"/>
      <c r="V156" s="169">
        <v>0</v>
      </c>
      <c r="W156" s="169">
        <v>0</v>
      </c>
      <c r="X156" s="169">
        <f t="shared" si="15"/>
        <v>0</v>
      </c>
      <c r="Z156" s="202">
        <v>0</v>
      </c>
      <c r="AA156" s="202">
        <v>0</v>
      </c>
      <c r="AB156" s="202"/>
      <c r="AC156" s="202"/>
      <c r="AD156" s="202"/>
      <c r="AE156" s="207">
        <v>0</v>
      </c>
      <c r="AF156" s="202">
        <v>0</v>
      </c>
      <c r="AG156" s="202">
        <f t="shared" si="16"/>
        <v>0</v>
      </c>
      <c r="AI156" s="200">
        <v>0</v>
      </c>
      <c r="AJ156" s="200">
        <v>0</v>
      </c>
      <c r="AK156" s="200"/>
      <c r="AL156" s="200">
        <f>IFERROR(VLOOKUP(B156,[2]rptBudgetaryBudgetCrossOrganiza!$A$5236:$O$5854,13,FALSE),"0")</f>
        <v>0</v>
      </c>
      <c r="AM156" s="200"/>
      <c r="AN156" s="200"/>
      <c r="AO156" s="200"/>
      <c r="AP156" s="200"/>
      <c r="AQ156" s="200">
        <f t="shared" si="17"/>
        <v>0</v>
      </c>
      <c r="AS156" s="169"/>
      <c r="AT156" s="169"/>
      <c r="AU156" s="169"/>
      <c r="AV156" s="169"/>
      <c r="AW156" s="169"/>
      <c r="AX156" s="169"/>
      <c r="AY156" s="169"/>
      <c r="AZ156" s="169">
        <f t="shared" si="18"/>
        <v>0</v>
      </c>
    </row>
    <row r="157" spans="1:52" hidden="1" x14ac:dyDescent="0.2">
      <c r="A157" s="220">
        <v>4</v>
      </c>
      <c r="B157" s="170" t="s">
        <v>432</v>
      </c>
      <c r="C157" s="214">
        <v>40</v>
      </c>
      <c r="D157" s="214">
        <v>70</v>
      </c>
      <c r="E157" s="221">
        <v>590</v>
      </c>
      <c r="F157" s="170" t="str">
        <f t="shared" si="19"/>
        <v>5000.11</v>
      </c>
      <c r="G157" s="170" t="s">
        <v>175</v>
      </c>
      <c r="H157" s="168">
        <v>0</v>
      </c>
      <c r="I157" s="168">
        <v>0</v>
      </c>
      <c r="J157" s="168"/>
      <c r="K157" s="168"/>
      <c r="L157" s="168"/>
      <c r="M157" s="194">
        <v>187.58</v>
      </c>
      <c r="N157" s="168">
        <v>187.58</v>
      </c>
      <c r="O157" s="168">
        <f t="shared" si="14"/>
        <v>187.58</v>
      </c>
      <c r="Q157" s="169">
        <v>0</v>
      </c>
      <c r="R157" s="169">
        <v>0</v>
      </c>
      <c r="S157" s="169"/>
      <c r="T157" s="169"/>
      <c r="U157" s="169"/>
      <c r="V157" s="169">
        <v>579.73</v>
      </c>
      <c r="W157" s="169">
        <v>579.73</v>
      </c>
      <c r="X157" s="169">
        <f t="shared" si="15"/>
        <v>579.73</v>
      </c>
      <c r="Z157" s="202">
        <v>0</v>
      </c>
      <c r="AA157" s="202">
        <v>0</v>
      </c>
      <c r="AB157" s="202"/>
      <c r="AC157" s="202"/>
      <c r="AD157" s="202"/>
      <c r="AE157" s="207">
        <v>0</v>
      </c>
      <c r="AF157" s="202">
        <v>0</v>
      </c>
      <c r="AG157" s="202">
        <f t="shared" si="16"/>
        <v>0</v>
      </c>
      <c r="AI157" s="200">
        <v>0</v>
      </c>
      <c r="AJ157" s="200">
        <v>0</v>
      </c>
      <c r="AK157" s="200"/>
      <c r="AL157" s="200">
        <f>IFERROR(VLOOKUP(B157,[2]rptBudgetaryBudgetCrossOrganiza!$A$5236:$O$5854,13,FALSE),"0")</f>
        <v>0</v>
      </c>
      <c r="AM157" s="200"/>
      <c r="AN157" s="200"/>
      <c r="AO157" s="200"/>
      <c r="AP157" s="200"/>
      <c r="AQ157" s="200">
        <f t="shared" si="17"/>
        <v>0</v>
      </c>
      <c r="AS157" s="169"/>
      <c r="AT157" s="169"/>
      <c r="AU157" s="169"/>
      <c r="AV157" s="169"/>
      <c r="AW157" s="169"/>
      <c r="AX157" s="169"/>
      <c r="AY157" s="169"/>
      <c r="AZ157" s="169">
        <f t="shared" si="18"/>
        <v>0</v>
      </c>
    </row>
    <row r="158" spans="1:52" hidden="1" x14ac:dyDescent="0.2">
      <c r="A158" s="220">
        <v>4</v>
      </c>
      <c r="B158" s="170" t="s">
        <v>433</v>
      </c>
      <c r="C158" s="214">
        <v>40</v>
      </c>
      <c r="D158" s="214">
        <v>70</v>
      </c>
      <c r="E158" s="221">
        <v>590</v>
      </c>
      <c r="F158" s="170" t="str">
        <f t="shared" si="19"/>
        <v>5000.12</v>
      </c>
      <c r="G158" s="170" t="s">
        <v>176</v>
      </c>
      <c r="H158" s="168">
        <v>0</v>
      </c>
      <c r="I158" s="168">
        <v>0</v>
      </c>
      <c r="J158" s="168"/>
      <c r="K158" s="168"/>
      <c r="L158" s="168"/>
      <c r="M158" s="194">
        <v>0</v>
      </c>
      <c r="N158" s="168">
        <v>0</v>
      </c>
      <c r="O158" s="168">
        <f t="shared" si="14"/>
        <v>0</v>
      </c>
      <c r="Q158" s="169">
        <v>0</v>
      </c>
      <c r="R158" s="169">
        <v>0</v>
      </c>
      <c r="S158" s="169"/>
      <c r="T158" s="169"/>
      <c r="U158" s="169"/>
      <c r="V158" s="169">
        <v>0</v>
      </c>
      <c r="W158" s="169">
        <v>0</v>
      </c>
      <c r="X158" s="169">
        <f t="shared" si="15"/>
        <v>0</v>
      </c>
      <c r="Z158" s="202">
        <v>0</v>
      </c>
      <c r="AA158" s="202">
        <v>0</v>
      </c>
      <c r="AB158" s="202"/>
      <c r="AC158" s="202"/>
      <c r="AD158" s="202"/>
      <c r="AE158" s="207">
        <v>0</v>
      </c>
      <c r="AF158" s="202">
        <v>0</v>
      </c>
      <c r="AG158" s="202">
        <f t="shared" si="16"/>
        <v>0</v>
      </c>
      <c r="AI158" s="200">
        <v>0</v>
      </c>
      <c r="AJ158" s="200">
        <v>0</v>
      </c>
      <c r="AK158" s="200"/>
      <c r="AL158" s="200">
        <f>IFERROR(VLOOKUP(B158,[2]rptBudgetaryBudgetCrossOrganiza!$A$5236:$O$5854,13,FALSE),"0")</f>
        <v>0</v>
      </c>
      <c r="AM158" s="200"/>
      <c r="AN158" s="200"/>
      <c r="AO158" s="200"/>
      <c r="AP158" s="200"/>
      <c r="AQ158" s="200">
        <f t="shared" si="17"/>
        <v>0</v>
      </c>
      <c r="AS158" s="169"/>
      <c r="AT158" s="169"/>
      <c r="AU158" s="169"/>
      <c r="AV158" s="169"/>
      <c r="AW158" s="169"/>
      <c r="AX158" s="169"/>
      <c r="AY158" s="169"/>
      <c r="AZ158" s="169">
        <f t="shared" si="18"/>
        <v>0</v>
      </c>
    </row>
    <row r="159" spans="1:52" hidden="1" x14ac:dyDescent="0.2">
      <c r="A159" s="220">
        <v>4</v>
      </c>
      <c r="B159" s="170" t="s">
        <v>434</v>
      </c>
      <c r="C159" s="214">
        <v>40</v>
      </c>
      <c r="D159" s="214">
        <v>70</v>
      </c>
      <c r="E159" s="221">
        <v>590</v>
      </c>
      <c r="F159" s="170" t="str">
        <f t="shared" si="19"/>
        <v>5100.00</v>
      </c>
      <c r="G159" s="170" t="s">
        <v>178</v>
      </c>
      <c r="H159" s="168">
        <v>1283</v>
      </c>
      <c r="I159" s="168">
        <v>1283</v>
      </c>
      <c r="J159" s="168"/>
      <c r="K159" s="168"/>
      <c r="L159" s="168"/>
      <c r="M159" s="194">
        <v>1279.8499999999999</v>
      </c>
      <c r="N159" s="168">
        <v>1279.8499999999999</v>
      </c>
      <c r="O159" s="168">
        <f t="shared" si="14"/>
        <v>-3.1500000000000909</v>
      </c>
      <c r="Q159" s="169">
        <v>2215</v>
      </c>
      <c r="R159" s="169">
        <v>2215</v>
      </c>
      <c r="S159" s="169"/>
      <c r="T159" s="169"/>
      <c r="U159" s="169"/>
      <c r="V159" s="169">
        <v>1369.2</v>
      </c>
      <c r="W159" s="169">
        <v>1369</v>
      </c>
      <c r="X159" s="169">
        <f t="shared" si="15"/>
        <v>-846</v>
      </c>
      <c r="Z159" s="202">
        <v>3420</v>
      </c>
      <c r="AA159" s="202">
        <v>3420</v>
      </c>
      <c r="AB159" s="202"/>
      <c r="AC159" s="202"/>
      <c r="AD159" s="202"/>
      <c r="AE159" s="207">
        <v>1741.93</v>
      </c>
      <c r="AF159" s="202">
        <v>1741.93</v>
      </c>
      <c r="AG159" s="202">
        <f t="shared" si="16"/>
        <v>-1678.07</v>
      </c>
      <c r="AI159" s="200">
        <v>3420</v>
      </c>
      <c r="AJ159" s="200">
        <v>3420</v>
      </c>
      <c r="AK159" s="200">
        <v>3420</v>
      </c>
      <c r="AL159" s="200">
        <f>IFERROR(VLOOKUP(B159,[2]rptBudgetaryBudgetCrossOrganiza!$A$5236:$O$5854,13,FALSE),"0")</f>
        <v>523.51</v>
      </c>
      <c r="AM159" s="200"/>
      <c r="AN159" s="200"/>
      <c r="AO159" s="200"/>
      <c r="AP159" s="200"/>
      <c r="AQ159" s="200">
        <f t="shared" si="17"/>
        <v>-3420</v>
      </c>
      <c r="AS159" s="169"/>
      <c r="AT159" s="169"/>
      <c r="AU159" s="169"/>
      <c r="AV159" s="169"/>
      <c r="AW159" s="169"/>
      <c r="AX159" s="169"/>
      <c r="AY159" s="169"/>
      <c r="AZ159" s="169">
        <f t="shared" si="18"/>
        <v>0</v>
      </c>
    </row>
    <row r="160" spans="1:52" hidden="1" x14ac:dyDescent="0.2">
      <c r="A160" s="220">
        <v>4</v>
      </c>
      <c r="B160" s="170" t="s">
        <v>435</v>
      </c>
      <c r="C160" s="214">
        <v>40</v>
      </c>
      <c r="D160" s="214">
        <v>70</v>
      </c>
      <c r="E160" s="221">
        <v>590</v>
      </c>
      <c r="F160" s="170" t="str">
        <f t="shared" si="19"/>
        <v>5100.01</v>
      </c>
      <c r="G160" s="170" t="s">
        <v>179</v>
      </c>
      <c r="H160" s="168">
        <v>944</v>
      </c>
      <c r="I160" s="168">
        <v>944</v>
      </c>
      <c r="J160" s="168"/>
      <c r="K160" s="168"/>
      <c r="L160" s="168"/>
      <c r="M160" s="194">
        <v>940.85</v>
      </c>
      <c r="N160" s="168">
        <v>940.85</v>
      </c>
      <c r="O160" s="168">
        <f t="shared" si="14"/>
        <v>-3.1499999999999773</v>
      </c>
      <c r="Q160" s="169">
        <v>1200</v>
      </c>
      <c r="R160" s="169">
        <v>1200</v>
      </c>
      <c r="S160" s="169"/>
      <c r="T160" s="169"/>
      <c r="U160" s="169"/>
      <c r="V160" s="169">
        <v>932.3</v>
      </c>
      <c r="W160" s="169">
        <v>932.3</v>
      </c>
      <c r="X160" s="169">
        <f t="shared" si="15"/>
        <v>-267.70000000000005</v>
      </c>
      <c r="Z160" s="202">
        <v>1520</v>
      </c>
      <c r="AA160" s="202">
        <v>1520</v>
      </c>
      <c r="AB160" s="202"/>
      <c r="AC160" s="202"/>
      <c r="AD160" s="202"/>
      <c r="AE160" s="207">
        <v>956.87</v>
      </c>
      <c r="AF160" s="202">
        <v>956.87</v>
      </c>
      <c r="AG160" s="202">
        <f t="shared" si="16"/>
        <v>-563.13</v>
      </c>
      <c r="AI160" s="200">
        <v>1520</v>
      </c>
      <c r="AJ160" s="200">
        <v>1520</v>
      </c>
      <c r="AK160" s="200">
        <v>1520</v>
      </c>
      <c r="AL160" s="200">
        <f>IFERROR(VLOOKUP(B160,[2]rptBudgetaryBudgetCrossOrganiza!$A$5236:$O$5854,13,FALSE),"0")</f>
        <v>269.75</v>
      </c>
      <c r="AM160" s="200"/>
      <c r="AN160" s="200"/>
      <c r="AO160" s="200"/>
      <c r="AP160" s="200"/>
      <c r="AQ160" s="200">
        <f t="shared" si="17"/>
        <v>-1520</v>
      </c>
      <c r="AS160" s="169"/>
      <c r="AT160" s="169"/>
      <c r="AU160" s="169"/>
      <c r="AV160" s="169"/>
      <c r="AW160" s="169"/>
      <c r="AX160" s="169"/>
      <c r="AY160" s="169"/>
      <c r="AZ160" s="169">
        <f t="shared" si="18"/>
        <v>0</v>
      </c>
    </row>
    <row r="161" spans="1:52" hidden="1" x14ac:dyDescent="0.2">
      <c r="A161" s="220">
        <v>4</v>
      </c>
      <c r="B161" s="170" t="s">
        <v>436</v>
      </c>
      <c r="C161" s="214">
        <v>40</v>
      </c>
      <c r="D161" s="214">
        <v>70</v>
      </c>
      <c r="E161" s="221">
        <v>590</v>
      </c>
      <c r="F161" s="170" t="str">
        <f t="shared" si="19"/>
        <v>5100.02</v>
      </c>
      <c r="G161" s="170" t="s">
        <v>180</v>
      </c>
      <c r="H161" s="168">
        <v>2100</v>
      </c>
      <c r="I161" s="168">
        <v>2100</v>
      </c>
      <c r="J161" s="168"/>
      <c r="K161" s="168"/>
      <c r="L161" s="168"/>
      <c r="M161" s="194">
        <v>0</v>
      </c>
      <c r="N161" s="168">
        <v>0</v>
      </c>
      <c r="O161" s="168">
        <f t="shared" si="14"/>
        <v>-2100</v>
      </c>
      <c r="Q161" s="169">
        <v>1095</v>
      </c>
      <c r="R161" s="169">
        <v>1095</v>
      </c>
      <c r="S161" s="169"/>
      <c r="T161" s="169"/>
      <c r="U161" s="169"/>
      <c r="V161" s="169">
        <v>0</v>
      </c>
      <c r="W161" s="169">
        <v>0</v>
      </c>
      <c r="X161" s="169">
        <f t="shared" si="15"/>
        <v>-1095</v>
      </c>
      <c r="Z161" s="202">
        <v>2135</v>
      </c>
      <c r="AA161" s="202">
        <v>2135</v>
      </c>
      <c r="AB161" s="202"/>
      <c r="AC161" s="202"/>
      <c r="AD161" s="202"/>
      <c r="AE161" s="207">
        <v>0</v>
      </c>
      <c r="AF161" s="202">
        <v>0</v>
      </c>
      <c r="AG161" s="202">
        <f t="shared" si="16"/>
        <v>-2135</v>
      </c>
      <c r="AI161" s="200">
        <v>2135</v>
      </c>
      <c r="AJ161" s="200">
        <v>2135</v>
      </c>
      <c r="AK161" s="200">
        <v>2135</v>
      </c>
      <c r="AL161" s="200">
        <f>IFERROR(VLOOKUP(B161,[2]rptBudgetaryBudgetCrossOrganiza!$A$5236:$O$5854,13,FALSE),"0")</f>
        <v>92.48</v>
      </c>
      <c r="AM161" s="200"/>
      <c r="AN161" s="200"/>
      <c r="AO161" s="200"/>
      <c r="AP161" s="200"/>
      <c r="AQ161" s="200">
        <f t="shared" si="17"/>
        <v>-2135</v>
      </c>
      <c r="AS161" s="169"/>
      <c r="AT161" s="169"/>
      <c r="AU161" s="169"/>
      <c r="AV161" s="169"/>
      <c r="AW161" s="169"/>
      <c r="AX161" s="169"/>
      <c r="AY161" s="169"/>
      <c r="AZ161" s="169">
        <f t="shared" si="18"/>
        <v>0</v>
      </c>
    </row>
    <row r="162" spans="1:52" hidden="1" x14ac:dyDescent="0.2">
      <c r="A162" s="220">
        <v>4</v>
      </c>
      <c r="B162" s="170" t="s">
        <v>437</v>
      </c>
      <c r="C162" s="214">
        <v>40</v>
      </c>
      <c r="D162" s="214">
        <v>70</v>
      </c>
      <c r="E162" s="221">
        <v>590</v>
      </c>
      <c r="F162" s="170" t="str">
        <f t="shared" si="19"/>
        <v>5100.03</v>
      </c>
      <c r="G162" s="170" t="s">
        <v>181</v>
      </c>
      <c r="H162" s="168">
        <v>155</v>
      </c>
      <c r="I162" s="168">
        <v>155</v>
      </c>
      <c r="J162" s="168"/>
      <c r="K162" s="168"/>
      <c r="L162" s="168"/>
      <c r="M162" s="194">
        <v>149.28</v>
      </c>
      <c r="N162" s="168">
        <v>149.28</v>
      </c>
      <c r="O162" s="168">
        <f t="shared" si="14"/>
        <v>-5.7199999999999989</v>
      </c>
      <c r="Q162" s="169">
        <v>230</v>
      </c>
      <c r="R162" s="169">
        <v>230</v>
      </c>
      <c r="S162" s="169"/>
      <c r="T162" s="169"/>
      <c r="U162" s="169"/>
      <c r="V162" s="169">
        <v>147.11000000000001</v>
      </c>
      <c r="W162" s="169">
        <v>147.11000000000001</v>
      </c>
      <c r="X162" s="169">
        <f t="shared" si="15"/>
        <v>-82.889999999999986</v>
      </c>
      <c r="Z162" s="202">
        <v>305</v>
      </c>
      <c r="AA162" s="202">
        <v>305</v>
      </c>
      <c r="AB162" s="202"/>
      <c r="AC162" s="202"/>
      <c r="AD162" s="202"/>
      <c r="AE162" s="207">
        <v>146.74</v>
      </c>
      <c r="AF162" s="202">
        <v>146.74</v>
      </c>
      <c r="AG162" s="202">
        <f t="shared" si="16"/>
        <v>-158.26</v>
      </c>
      <c r="AI162" s="200">
        <v>305</v>
      </c>
      <c r="AJ162" s="200">
        <v>305</v>
      </c>
      <c r="AK162" s="200">
        <v>305</v>
      </c>
      <c r="AL162" s="200">
        <f>IFERROR(VLOOKUP(B162,[2]rptBudgetaryBudgetCrossOrganiza!$A$5236:$O$5854,13,FALSE),"0")</f>
        <v>42.63</v>
      </c>
      <c r="AM162" s="200"/>
      <c r="AN162" s="200"/>
      <c r="AO162" s="200"/>
      <c r="AP162" s="200"/>
      <c r="AQ162" s="200">
        <f t="shared" si="17"/>
        <v>-305</v>
      </c>
      <c r="AS162" s="169"/>
      <c r="AT162" s="169"/>
      <c r="AU162" s="169"/>
      <c r="AV162" s="169"/>
      <c r="AW162" s="169"/>
      <c r="AX162" s="169"/>
      <c r="AY162" s="169"/>
      <c r="AZ162" s="169">
        <f t="shared" si="18"/>
        <v>0</v>
      </c>
    </row>
    <row r="163" spans="1:52" hidden="1" x14ac:dyDescent="0.2">
      <c r="A163" s="220">
        <v>4</v>
      </c>
      <c r="B163" s="170" t="s">
        <v>438</v>
      </c>
      <c r="C163" s="214">
        <v>40</v>
      </c>
      <c r="D163" s="214">
        <v>70</v>
      </c>
      <c r="E163" s="221">
        <v>590</v>
      </c>
      <c r="F163" s="170" t="str">
        <f t="shared" si="19"/>
        <v>5100.04</v>
      </c>
      <c r="G163" s="170" t="s">
        <v>182</v>
      </c>
      <c r="H163" s="168">
        <v>25</v>
      </c>
      <c r="I163" s="168">
        <v>25</v>
      </c>
      <c r="J163" s="168"/>
      <c r="K163" s="168"/>
      <c r="L163" s="168"/>
      <c r="M163" s="194">
        <v>23.76</v>
      </c>
      <c r="N163" s="168">
        <v>23.76</v>
      </c>
      <c r="O163" s="168">
        <f t="shared" si="14"/>
        <v>-1.2399999999999984</v>
      </c>
      <c r="Q163" s="169">
        <v>40</v>
      </c>
      <c r="R163" s="169">
        <v>40</v>
      </c>
      <c r="S163" s="169"/>
      <c r="T163" s="169"/>
      <c r="U163" s="169"/>
      <c r="V163" s="169">
        <v>23.76</v>
      </c>
      <c r="W163" s="169">
        <v>23.76</v>
      </c>
      <c r="X163" s="169">
        <f t="shared" si="15"/>
        <v>-16.239999999999998</v>
      </c>
      <c r="Z163" s="202">
        <v>50</v>
      </c>
      <c r="AA163" s="202">
        <v>50</v>
      </c>
      <c r="AB163" s="202"/>
      <c r="AC163" s="202"/>
      <c r="AD163" s="202"/>
      <c r="AE163" s="207">
        <v>23.76</v>
      </c>
      <c r="AF163" s="202">
        <v>23.76</v>
      </c>
      <c r="AG163" s="202">
        <f t="shared" si="16"/>
        <v>-26.24</v>
      </c>
      <c r="AI163" s="200">
        <v>50</v>
      </c>
      <c r="AJ163" s="200">
        <v>50</v>
      </c>
      <c r="AK163" s="200">
        <v>50</v>
      </c>
      <c r="AL163" s="200">
        <f>IFERROR(VLOOKUP(B163,[2]rptBudgetaryBudgetCrossOrganiza!$A$5236:$O$5854,13,FALSE),"0")</f>
        <v>6.93</v>
      </c>
      <c r="AM163" s="200"/>
      <c r="AN163" s="200"/>
      <c r="AO163" s="200"/>
      <c r="AP163" s="200"/>
      <c r="AQ163" s="200">
        <f t="shared" si="17"/>
        <v>-50</v>
      </c>
      <c r="AS163" s="169"/>
      <c r="AT163" s="169"/>
      <c r="AU163" s="169"/>
      <c r="AV163" s="169"/>
      <c r="AW163" s="169"/>
      <c r="AX163" s="169"/>
      <c r="AY163" s="169"/>
      <c r="AZ163" s="169">
        <f t="shared" si="18"/>
        <v>0</v>
      </c>
    </row>
    <row r="164" spans="1:52" hidden="1" x14ac:dyDescent="0.2">
      <c r="A164" s="220">
        <v>4</v>
      </c>
      <c r="B164" s="170" t="s">
        <v>439</v>
      </c>
      <c r="C164" s="214">
        <v>40</v>
      </c>
      <c r="D164" s="214">
        <v>70</v>
      </c>
      <c r="E164" s="221">
        <v>590</v>
      </c>
      <c r="F164" s="170" t="str">
        <f t="shared" si="19"/>
        <v>5100.05</v>
      </c>
      <c r="G164" s="170" t="s">
        <v>183</v>
      </c>
      <c r="H164" s="168">
        <v>20</v>
      </c>
      <c r="I164" s="168">
        <v>20</v>
      </c>
      <c r="J164" s="168"/>
      <c r="K164" s="168"/>
      <c r="L164" s="168"/>
      <c r="M164" s="194">
        <v>16.32</v>
      </c>
      <c r="N164" s="168">
        <v>16.32</v>
      </c>
      <c r="O164" s="168">
        <f t="shared" si="14"/>
        <v>-3.6799999999999997</v>
      </c>
      <c r="Q164" s="169">
        <v>20</v>
      </c>
      <c r="R164" s="169">
        <v>20</v>
      </c>
      <c r="S164" s="169"/>
      <c r="T164" s="169"/>
      <c r="U164" s="169"/>
      <c r="V164" s="169">
        <v>16.920000000000002</v>
      </c>
      <c r="W164" s="169">
        <v>16.920000000000002</v>
      </c>
      <c r="X164" s="169">
        <f t="shared" si="15"/>
        <v>-3.0799999999999983</v>
      </c>
      <c r="Z164" s="202">
        <v>60</v>
      </c>
      <c r="AA164" s="202">
        <v>60</v>
      </c>
      <c r="AB164" s="202"/>
      <c r="AC164" s="202"/>
      <c r="AD164" s="202"/>
      <c r="AE164" s="207">
        <v>16.920000000000002</v>
      </c>
      <c r="AF164" s="202">
        <v>16.920000000000002</v>
      </c>
      <c r="AG164" s="202">
        <f t="shared" si="16"/>
        <v>-43.08</v>
      </c>
      <c r="AI164" s="200">
        <v>60</v>
      </c>
      <c r="AJ164" s="200">
        <v>60</v>
      </c>
      <c r="AK164" s="200">
        <v>60</v>
      </c>
      <c r="AL164" s="200">
        <f>IFERROR(VLOOKUP(B164,[2]rptBudgetaryBudgetCrossOrganiza!$A$5236:$O$5854,13,FALSE),"0")</f>
        <v>4.1900000000000004</v>
      </c>
      <c r="AM164" s="200"/>
      <c r="AN164" s="200"/>
      <c r="AO164" s="200"/>
      <c r="AP164" s="200"/>
      <c r="AQ164" s="200">
        <f t="shared" si="17"/>
        <v>-60</v>
      </c>
      <c r="AS164" s="169"/>
      <c r="AT164" s="169"/>
      <c r="AU164" s="169"/>
      <c r="AV164" s="169"/>
      <c r="AW164" s="169"/>
      <c r="AX164" s="169"/>
      <c r="AY164" s="169"/>
      <c r="AZ164" s="169">
        <f t="shared" si="18"/>
        <v>0</v>
      </c>
    </row>
    <row r="165" spans="1:52" hidden="1" x14ac:dyDescent="0.2">
      <c r="A165" s="220">
        <v>4</v>
      </c>
      <c r="B165" s="170" t="s">
        <v>440</v>
      </c>
      <c r="C165" s="214">
        <v>40</v>
      </c>
      <c r="D165" s="214">
        <v>70</v>
      </c>
      <c r="E165" s="221">
        <v>590</v>
      </c>
      <c r="F165" s="170" t="str">
        <f t="shared" si="19"/>
        <v>5100.06</v>
      </c>
      <c r="G165" s="170" t="s">
        <v>184</v>
      </c>
      <c r="H165" s="168">
        <v>230</v>
      </c>
      <c r="I165" s="168">
        <v>230</v>
      </c>
      <c r="J165" s="168"/>
      <c r="K165" s="168"/>
      <c r="L165" s="168"/>
      <c r="M165" s="194">
        <v>230</v>
      </c>
      <c r="N165" s="168">
        <v>230</v>
      </c>
      <c r="O165" s="168">
        <f t="shared" si="14"/>
        <v>0</v>
      </c>
      <c r="Q165" s="169">
        <v>270</v>
      </c>
      <c r="R165" s="169">
        <v>270</v>
      </c>
      <c r="S165" s="169"/>
      <c r="T165" s="169"/>
      <c r="U165" s="169"/>
      <c r="V165" s="169">
        <v>-322.16000000000003</v>
      </c>
      <c r="W165" s="169">
        <v>-322.16000000000003</v>
      </c>
      <c r="X165" s="169">
        <f t="shared" si="15"/>
        <v>-592.16000000000008</v>
      </c>
      <c r="Z165" s="202">
        <v>380</v>
      </c>
      <c r="AA165" s="202">
        <v>380</v>
      </c>
      <c r="AB165" s="202"/>
      <c r="AC165" s="202"/>
      <c r="AD165" s="202"/>
      <c r="AE165" s="207">
        <v>126.68</v>
      </c>
      <c r="AF165" s="202">
        <v>126.68</v>
      </c>
      <c r="AG165" s="202">
        <f t="shared" si="16"/>
        <v>-253.32</v>
      </c>
      <c r="AI165" s="200">
        <v>380</v>
      </c>
      <c r="AJ165" s="200">
        <v>380</v>
      </c>
      <c r="AK165" s="200">
        <v>380</v>
      </c>
      <c r="AL165" s="200">
        <f>IFERROR(VLOOKUP(B165,[2]rptBudgetaryBudgetCrossOrganiza!$A$5236:$O$5854,13,FALSE),"0")</f>
        <v>0</v>
      </c>
      <c r="AM165" s="200"/>
      <c r="AN165" s="200"/>
      <c r="AO165" s="200"/>
      <c r="AP165" s="200"/>
      <c r="AQ165" s="200">
        <f t="shared" si="17"/>
        <v>-380</v>
      </c>
      <c r="AS165" s="169"/>
      <c r="AT165" s="169"/>
      <c r="AU165" s="169"/>
      <c r="AV165" s="169"/>
      <c r="AW165" s="169"/>
      <c r="AX165" s="169"/>
      <c r="AY165" s="169"/>
      <c r="AZ165" s="169">
        <f t="shared" si="18"/>
        <v>0</v>
      </c>
    </row>
    <row r="166" spans="1:52" hidden="1" x14ac:dyDescent="0.2">
      <c r="A166" s="220">
        <v>4</v>
      </c>
      <c r="B166" s="170" t="s">
        <v>441</v>
      </c>
      <c r="C166" s="214">
        <v>40</v>
      </c>
      <c r="D166" s="214">
        <v>70</v>
      </c>
      <c r="E166" s="221">
        <v>590</v>
      </c>
      <c r="F166" s="170" t="str">
        <f t="shared" si="19"/>
        <v>5100.07</v>
      </c>
      <c r="G166" s="170" t="s">
        <v>185</v>
      </c>
      <c r="H166" s="168">
        <v>60</v>
      </c>
      <c r="I166" s="168">
        <v>60</v>
      </c>
      <c r="J166" s="168"/>
      <c r="K166" s="168"/>
      <c r="L166" s="168"/>
      <c r="M166" s="194">
        <v>44.37</v>
      </c>
      <c r="N166" s="168">
        <v>44.37</v>
      </c>
      <c r="O166" s="168">
        <f t="shared" si="14"/>
        <v>-15.630000000000003</v>
      </c>
      <c r="Q166" s="169">
        <v>100</v>
      </c>
      <c r="R166" s="169">
        <v>100</v>
      </c>
      <c r="S166" s="169"/>
      <c r="T166" s="169"/>
      <c r="U166" s="169"/>
      <c r="V166" s="169">
        <v>43.08</v>
      </c>
      <c r="W166" s="169">
        <v>43.08</v>
      </c>
      <c r="X166" s="169">
        <f t="shared" si="15"/>
        <v>-56.92</v>
      </c>
      <c r="Z166" s="202">
        <v>130</v>
      </c>
      <c r="AA166" s="202">
        <v>130</v>
      </c>
      <c r="AB166" s="202"/>
      <c r="AC166" s="202"/>
      <c r="AD166" s="202"/>
      <c r="AE166" s="207">
        <v>43.62</v>
      </c>
      <c r="AF166" s="202">
        <v>43.62</v>
      </c>
      <c r="AG166" s="202">
        <f t="shared" si="16"/>
        <v>-86.38</v>
      </c>
      <c r="AI166" s="200">
        <v>130</v>
      </c>
      <c r="AJ166" s="200">
        <v>130</v>
      </c>
      <c r="AK166" s="200">
        <v>130</v>
      </c>
      <c r="AL166" s="200">
        <f>IFERROR(VLOOKUP(B166,[2]rptBudgetaryBudgetCrossOrganiza!$A$5236:$O$5854,13,FALSE),"0")</f>
        <v>10.92</v>
      </c>
      <c r="AM166" s="200"/>
      <c r="AN166" s="200"/>
      <c r="AO166" s="200"/>
      <c r="AP166" s="200"/>
      <c r="AQ166" s="200">
        <f t="shared" si="17"/>
        <v>-130</v>
      </c>
      <c r="AS166" s="169"/>
      <c r="AT166" s="169"/>
      <c r="AU166" s="169"/>
      <c r="AV166" s="169"/>
      <c r="AW166" s="169"/>
      <c r="AX166" s="169"/>
      <c r="AY166" s="169"/>
      <c r="AZ166" s="169">
        <f t="shared" si="18"/>
        <v>0</v>
      </c>
    </row>
    <row r="167" spans="1:52" hidden="1" x14ac:dyDescent="0.2">
      <c r="A167" s="220">
        <v>4</v>
      </c>
      <c r="B167" s="170" t="s">
        <v>442</v>
      </c>
      <c r="C167" s="214">
        <v>40</v>
      </c>
      <c r="D167" s="214">
        <v>70</v>
      </c>
      <c r="E167" s="221">
        <v>590</v>
      </c>
      <c r="F167" s="170" t="str">
        <f t="shared" si="19"/>
        <v>5100.08</v>
      </c>
      <c r="G167" s="170" t="s">
        <v>186</v>
      </c>
      <c r="H167" s="168">
        <v>760</v>
      </c>
      <c r="I167" s="168">
        <v>760</v>
      </c>
      <c r="J167" s="168"/>
      <c r="K167" s="168"/>
      <c r="L167" s="168"/>
      <c r="M167" s="194">
        <v>904.45</v>
      </c>
      <c r="N167" s="168">
        <v>904.45</v>
      </c>
      <c r="O167" s="168">
        <f t="shared" si="14"/>
        <v>144.45000000000005</v>
      </c>
      <c r="Q167" s="169">
        <v>920</v>
      </c>
      <c r="R167" s="169">
        <v>920</v>
      </c>
      <c r="S167" s="169"/>
      <c r="T167" s="169"/>
      <c r="U167" s="169"/>
      <c r="V167" s="169">
        <v>894.31</v>
      </c>
      <c r="W167" s="169">
        <v>894.31</v>
      </c>
      <c r="X167" s="169">
        <f t="shared" si="15"/>
        <v>-25.690000000000055</v>
      </c>
      <c r="Z167" s="202">
        <v>920</v>
      </c>
      <c r="AA167" s="202">
        <v>920</v>
      </c>
      <c r="AB167" s="202"/>
      <c r="AC167" s="202"/>
      <c r="AD167" s="202"/>
      <c r="AE167" s="207">
        <v>932.59</v>
      </c>
      <c r="AF167" s="202">
        <v>932.59</v>
      </c>
      <c r="AG167" s="202">
        <f t="shared" si="16"/>
        <v>12.590000000000032</v>
      </c>
      <c r="AI167" s="200">
        <v>920</v>
      </c>
      <c r="AJ167" s="200">
        <v>920</v>
      </c>
      <c r="AK167" s="200">
        <v>920</v>
      </c>
      <c r="AL167" s="200">
        <f>IFERROR(VLOOKUP(B167,[2]rptBudgetaryBudgetCrossOrganiza!$A$5236:$O$5854,13,FALSE),"0")</f>
        <v>226.9</v>
      </c>
      <c r="AM167" s="200"/>
      <c r="AN167" s="200"/>
      <c r="AO167" s="200"/>
      <c r="AP167" s="200"/>
      <c r="AQ167" s="200">
        <f t="shared" si="17"/>
        <v>-920</v>
      </c>
      <c r="AS167" s="169"/>
      <c r="AT167" s="169"/>
      <c r="AU167" s="169"/>
      <c r="AV167" s="169"/>
      <c r="AW167" s="169"/>
      <c r="AX167" s="169"/>
      <c r="AY167" s="169"/>
      <c r="AZ167" s="169">
        <f t="shared" si="18"/>
        <v>0</v>
      </c>
    </row>
    <row r="168" spans="1:52" hidden="1" x14ac:dyDescent="0.2">
      <c r="A168" s="220">
        <v>4</v>
      </c>
      <c r="B168" s="170" t="s">
        <v>443</v>
      </c>
      <c r="C168" s="214">
        <v>40</v>
      </c>
      <c r="D168" s="214">
        <v>70</v>
      </c>
      <c r="E168" s="221">
        <v>590</v>
      </c>
      <c r="F168" s="170" t="str">
        <f t="shared" si="19"/>
        <v>5100.09</v>
      </c>
      <c r="G168" s="170" t="s">
        <v>187</v>
      </c>
      <c r="H168" s="168">
        <v>0</v>
      </c>
      <c r="I168" s="168">
        <v>0</v>
      </c>
      <c r="J168" s="168"/>
      <c r="K168" s="168"/>
      <c r="L168" s="168"/>
      <c r="M168" s="194">
        <v>0</v>
      </c>
      <c r="N168" s="168">
        <v>0</v>
      </c>
      <c r="O168" s="168">
        <f t="shared" si="14"/>
        <v>0</v>
      </c>
      <c r="Q168" s="169">
        <v>0</v>
      </c>
      <c r="R168" s="169">
        <v>0</v>
      </c>
      <c r="S168" s="169"/>
      <c r="T168" s="169"/>
      <c r="U168" s="169"/>
      <c r="V168" s="169">
        <v>0</v>
      </c>
      <c r="W168" s="169">
        <v>0</v>
      </c>
      <c r="X168" s="169">
        <f t="shared" si="15"/>
        <v>0</v>
      </c>
      <c r="Z168" s="202">
        <v>0</v>
      </c>
      <c r="AA168" s="202">
        <v>0</v>
      </c>
      <c r="AB168" s="202"/>
      <c r="AC168" s="202"/>
      <c r="AD168" s="202"/>
      <c r="AE168" s="207">
        <v>0</v>
      </c>
      <c r="AF168" s="202">
        <v>0</v>
      </c>
      <c r="AG168" s="202">
        <f t="shared" si="16"/>
        <v>0</v>
      </c>
      <c r="AI168" s="200">
        <v>0</v>
      </c>
      <c r="AJ168" s="200">
        <v>0</v>
      </c>
      <c r="AK168" s="200"/>
      <c r="AL168" s="200">
        <f>IFERROR(VLOOKUP(B168,[2]rptBudgetaryBudgetCrossOrganiza!$A$5236:$O$5854,13,FALSE),"0")</f>
        <v>0</v>
      </c>
      <c r="AM168" s="200"/>
      <c r="AN168" s="200"/>
      <c r="AO168" s="200"/>
      <c r="AP168" s="200"/>
      <c r="AQ168" s="200">
        <f t="shared" si="17"/>
        <v>0</v>
      </c>
      <c r="AS168" s="169"/>
      <c r="AT168" s="169"/>
      <c r="AU168" s="169"/>
      <c r="AV168" s="169"/>
      <c r="AW168" s="169"/>
      <c r="AX168" s="169"/>
      <c r="AY168" s="169"/>
      <c r="AZ168" s="169">
        <f t="shared" si="18"/>
        <v>0</v>
      </c>
    </row>
    <row r="169" spans="1:52" hidden="1" x14ac:dyDescent="0.2">
      <c r="A169" s="220">
        <v>4</v>
      </c>
      <c r="B169" s="170" t="s">
        <v>444</v>
      </c>
      <c r="C169" s="214">
        <v>40</v>
      </c>
      <c r="D169" s="214">
        <v>70</v>
      </c>
      <c r="E169" s="221">
        <v>590</v>
      </c>
      <c r="F169" s="170" t="str">
        <f t="shared" si="19"/>
        <v>5100.10</v>
      </c>
      <c r="G169" s="170" t="s">
        <v>188</v>
      </c>
      <c r="H169" s="168">
        <v>0</v>
      </c>
      <c r="I169" s="168">
        <v>0</v>
      </c>
      <c r="J169" s="168"/>
      <c r="K169" s="168"/>
      <c r="L169" s="168"/>
      <c r="M169" s="194">
        <v>0</v>
      </c>
      <c r="N169" s="168">
        <v>0</v>
      </c>
      <c r="O169" s="168">
        <f t="shared" si="14"/>
        <v>0</v>
      </c>
      <c r="Q169" s="169">
        <v>0</v>
      </c>
      <c r="R169" s="169">
        <v>0</v>
      </c>
      <c r="S169" s="169"/>
      <c r="T169" s="169"/>
      <c r="U169" s="169"/>
      <c r="V169" s="169">
        <v>0</v>
      </c>
      <c r="W169" s="169">
        <v>0</v>
      </c>
      <c r="X169" s="169">
        <f t="shared" si="15"/>
        <v>0</v>
      </c>
      <c r="Z169" s="202">
        <v>0</v>
      </c>
      <c r="AA169" s="202">
        <v>0</v>
      </c>
      <c r="AB169" s="202"/>
      <c r="AC169" s="202"/>
      <c r="AD169" s="202"/>
      <c r="AE169" s="207">
        <v>50</v>
      </c>
      <c r="AF169" s="202">
        <v>50</v>
      </c>
      <c r="AG169" s="202">
        <f t="shared" si="16"/>
        <v>50</v>
      </c>
      <c r="AI169" s="200">
        <v>0</v>
      </c>
      <c r="AJ169" s="200">
        <v>0</v>
      </c>
      <c r="AK169" s="200"/>
      <c r="AL169" s="200">
        <f>IFERROR(VLOOKUP(B169,[2]rptBudgetaryBudgetCrossOrganiza!$A$5236:$O$5854,13,FALSE),"0")</f>
        <v>0</v>
      </c>
      <c r="AM169" s="200"/>
      <c r="AN169" s="200"/>
      <c r="AO169" s="200"/>
      <c r="AP169" s="200"/>
      <c r="AQ169" s="200">
        <f t="shared" si="17"/>
        <v>0</v>
      </c>
      <c r="AS169" s="169"/>
      <c r="AT169" s="169"/>
      <c r="AU169" s="169"/>
      <c r="AV169" s="169"/>
      <c r="AW169" s="169"/>
      <c r="AX169" s="169"/>
      <c r="AY169" s="169"/>
      <c r="AZ169" s="169">
        <f t="shared" si="18"/>
        <v>0</v>
      </c>
    </row>
    <row r="170" spans="1:52" hidden="1" x14ac:dyDescent="0.2">
      <c r="A170" s="220">
        <v>4</v>
      </c>
      <c r="B170" s="170" t="s">
        <v>445</v>
      </c>
      <c r="C170" s="214">
        <v>40</v>
      </c>
      <c r="D170" s="214">
        <v>70</v>
      </c>
      <c r="E170" s="221">
        <v>590</v>
      </c>
      <c r="F170" s="170" t="str">
        <f t="shared" si="19"/>
        <v>5100.11</v>
      </c>
      <c r="G170" s="170" t="s">
        <v>189</v>
      </c>
      <c r="H170" s="168">
        <v>140</v>
      </c>
      <c r="I170" s="168">
        <v>140</v>
      </c>
      <c r="J170" s="168"/>
      <c r="K170" s="168"/>
      <c r="L170" s="168"/>
      <c r="M170" s="194">
        <v>135.63999999999999</v>
      </c>
      <c r="N170" s="168">
        <v>135.63999999999999</v>
      </c>
      <c r="O170" s="168">
        <f t="shared" si="14"/>
        <v>-4.3600000000000136</v>
      </c>
      <c r="Q170" s="169">
        <v>215</v>
      </c>
      <c r="R170" s="169">
        <v>215</v>
      </c>
      <c r="S170" s="169"/>
      <c r="T170" s="169"/>
      <c r="U170" s="169"/>
      <c r="V170" s="169">
        <v>129.97999999999999</v>
      </c>
      <c r="W170" s="169">
        <v>129.97999999999999</v>
      </c>
      <c r="X170" s="169">
        <f t="shared" si="15"/>
        <v>-85.02000000000001</v>
      </c>
      <c r="Z170" s="202">
        <v>300</v>
      </c>
      <c r="AA170" s="202">
        <v>300</v>
      </c>
      <c r="AB170" s="202"/>
      <c r="AC170" s="202"/>
      <c r="AD170" s="202"/>
      <c r="AE170" s="207">
        <v>177.12</v>
      </c>
      <c r="AF170" s="202">
        <v>177.12</v>
      </c>
      <c r="AG170" s="202">
        <f t="shared" si="16"/>
        <v>-122.88</v>
      </c>
      <c r="AI170" s="200">
        <v>300</v>
      </c>
      <c r="AJ170" s="200">
        <v>300</v>
      </c>
      <c r="AK170" s="200">
        <v>300</v>
      </c>
      <c r="AL170" s="200">
        <f>IFERROR(VLOOKUP(B170,[2]rptBudgetaryBudgetCrossOrganiza!$A$5236:$O$5854,13,FALSE),"0")</f>
        <v>42.43</v>
      </c>
      <c r="AM170" s="200"/>
      <c r="AN170" s="200"/>
      <c r="AO170" s="200"/>
      <c r="AP170" s="200"/>
      <c r="AQ170" s="200">
        <f t="shared" si="17"/>
        <v>-300</v>
      </c>
      <c r="AS170" s="169"/>
      <c r="AT170" s="169"/>
      <c r="AU170" s="169"/>
      <c r="AV170" s="169"/>
      <c r="AW170" s="169"/>
      <c r="AX170" s="169"/>
      <c r="AY170" s="169"/>
      <c r="AZ170" s="169">
        <f t="shared" si="18"/>
        <v>0</v>
      </c>
    </row>
    <row r="171" spans="1:52" hidden="1" x14ac:dyDescent="0.2">
      <c r="A171" s="220">
        <v>4</v>
      </c>
      <c r="B171" s="170" t="s">
        <v>446</v>
      </c>
      <c r="C171" s="214">
        <v>40</v>
      </c>
      <c r="D171" s="214">
        <v>70</v>
      </c>
      <c r="E171" s="221">
        <v>590</v>
      </c>
      <c r="F171" s="170" t="str">
        <f t="shared" si="19"/>
        <v>5100.12</v>
      </c>
      <c r="G171" s="170" t="s">
        <v>190</v>
      </c>
      <c r="H171" s="168">
        <v>0</v>
      </c>
      <c r="I171" s="168">
        <v>0</v>
      </c>
      <c r="J171" s="168"/>
      <c r="K171" s="168"/>
      <c r="L171" s="168"/>
      <c r="M171" s="194">
        <v>0</v>
      </c>
      <c r="N171" s="168">
        <v>0</v>
      </c>
      <c r="O171" s="168">
        <f t="shared" si="14"/>
        <v>0</v>
      </c>
      <c r="Q171" s="169">
        <v>0</v>
      </c>
      <c r="R171" s="169">
        <v>0</v>
      </c>
      <c r="S171" s="169"/>
      <c r="T171" s="169"/>
      <c r="U171" s="169"/>
      <c r="V171" s="169">
        <v>0</v>
      </c>
      <c r="W171" s="169">
        <v>0</v>
      </c>
      <c r="X171" s="169">
        <f t="shared" si="15"/>
        <v>0</v>
      </c>
      <c r="Z171" s="202">
        <v>0</v>
      </c>
      <c r="AA171" s="202">
        <v>0</v>
      </c>
      <c r="AB171" s="202"/>
      <c r="AC171" s="202"/>
      <c r="AD171" s="202"/>
      <c r="AE171" s="207">
        <v>0</v>
      </c>
      <c r="AF171" s="202">
        <v>0</v>
      </c>
      <c r="AG171" s="202">
        <f t="shared" si="16"/>
        <v>0</v>
      </c>
      <c r="AI171" s="200">
        <v>0</v>
      </c>
      <c r="AJ171" s="200">
        <v>0</v>
      </c>
      <c r="AK171" s="200"/>
      <c r="AL171" s="200">
        <f>IFERROR(VLOOKUP(B171,[2]rptBudgetaryBudgetCrossOrganiza!$A$5236:$O$5854,13,FALSE),"0")</f>
        <v>0</v>
      </c>
      <c r="AM171" s="200"/>
      <c r="AN171" s="200"/>
      <c r="AO171" s="200"/>
      <c r="AP171" s="200"/>
      <c r="AQ171" s="200">
        <f t="shared" si="17"/>
        <v>0</v>
      </c>
      <c r="AS171" s="169"/>
      <c r="AT171" s="169"/>
      <c r="AU171" s="169"/>
      <c r="AV171" s="169"/>
      <c r="AW171" s="169"/>
      <c r="AX171" s="169"/>
      <c r="AY171" s="169"/>
      <c r="AZ171" s="169">
        <f t="shared" si="18"/>
        <v>0</v>
      </c>
    </row>
    <row r="172" spans="1:52" hidden="1" x14ac:dyDescent="0.2">
      <c r="A172" s="220">
        <v>4</v>
      </c>
      <c r="B172" s="170" t="s">
        <v>447</v>
      </c>
      <c r="C172" s="214">
        <v>40</v>
      </c>
      <c r="D172" s="214">
        <v>70</v>
      </c>
      <c r="E172" s="221">
        <v>590</v>
      </c>
      <c r="F172" s="170" t="str">
        <f t="shared" si="19"/>
        <v>5100.13</v>
      </c>
      <c r="G172" s="170" t="s">
        <v>191</v>
      </c>
      <c r="H172" s="168">
        <v>0</v>
      </c>
      <c r="I172" s="168">
        <v>0</v>
      </c>
      <c r="J172" s="168"/>
      <c r="K172" s="168"/>
      <c r="L172" s="168"/>
      <c r="M172" s="194">
        <v>0</v>
      </c>
      <c r="N172" s="168">
        <v>0</v>
      </c>
      <c r="O172" s="168">
        <f t="shared" si="14"/>
        <v>0</v>
      </c>
      <c r="Q172" s="169">
        <v>0</v>
      </c>
      <c r="R172" s="169">
        <v>0</v>
      </c>
      <c r="S172" s="169"/>
      <c r="T172" s="169"/>
      <c r="U172" s="169"/>
      <c r="V172" s="169">
        <v>0</v>
      </c>
      <c r="W172" s="169">
        <v>0</v>
      </c>
      <c r="X172" s="169">
        <f t="shared" si="15"/>
        <v>0</v>
      </c>
      <c r="Z172" s="202">
        <v>0</v>
      </c>
      <c r="AA172" s="202">
        <v>0</v>
      </c>
      <c r="AB172" s="202"/>
      <c r="AC172" s="202"/>
      <c r="AD172" s="202"/>
      <c r="AE172" s="207">
        <v>0</v>
      </c>
      <c r="AF172" s="202">
        <v>0</v>
      </c>
      <c r="AG172" s="202">
        <f t="shared" si="16"/>
        <v>0</v>
      </c>
      <c r="AI172" s="200">
        <v>0</v>
      </c>
      <c r="AJ172" s="200">
        <v>0</v>
      </c>
      <c r="AK172" s="200"/>
      <c r="AL172" s="200">
        <f>IFERROR(VLOOKUP(B172,[2]rptBudgetaryBudgetCrossOrganiza!$A$5236:$O$5854,13,FALSE),"0")</f>
        <v>0</v>
      </c>
      <c r="AM172" s="200"/>
      <c r="AN172" s="200"/>
      <c r="AO172" s="200"/>
      <c r="AP172" s="200"/>
      <c r="AQ172" s="200">
        <f t="shared" si="17"/>
        <v>0</v>
      </c>
      <c r="AS172" s="169"/>
      <c r="AT172" s="169"/>
      <c r="AU172" s="169"/>
      <c r="AV172" s="169"/>
      <c r="AW172" s="169"/>
      <c r="AX172" s="169"/>
      <c r="AY172" s="169"/>
      <c r="AZ172" s="169">
        <f t="shared" si="18"/>
        <v>0</v>
      </c>
    </row>
    <row r="173" spans="1:52" x14ac:dyDescent="0.2">
      <c r="A173" s="220">
        <v>4</v>
      </c>
      <c r="B173" s="170" t="s">
        <v>448</v>
      </c>
      <c r="C173" s="214">
        <v>40</v>
      </c>
      <c r="D173" s="214">
        <v>70</v>
      </c>
      <c r="E173" s="221">
        <v>590</v>
      </c>
      <c r="F173" s="170" t="str">
        <f t="shared" si="19"/>
        <v>5100.15</v>
      </c>
      <c r="G173" s="170" t="s">
        <v>193</v>
      </c>
      <c r="H173" s="168">
        <v>0</v>
      </c>
      <c r="I173" s="168">
        <v>0</v>
      </c>
      <c r="J173" s="168"/>
      <c r="K173" s="168"/>
      <c r="L173" s="168"/>
      <c r="M173" s="194">
        <v>0</v>
      </c>
      <c r="N173" s="168">
        <v>0</v>
      </c>
      <c r="O173" s="168">
        <f t="shared" si="14"/>
        <v>0</v>
      </c>
      <c r="Q173" s="169">
        <v>0</v>
      </c>
      <c r="R173" s="169">
        <v>0</v>
      </c>
      <c r="S173" s="169"/>
      <c r="T173" s="169"/>
      <c r="U173" s="169"/>
      <c r="V173" s="169">
        <v>0</v>
      </c>
      <c r="W173" s="169">
        <v>0</v>
      </c>
      <c r="X173" s="169">
        <f t="shared" si="15"/>
        <v>0</v>
      </c>
      <c r="Z173" s="202">
        <v>55</v>
      </c>
      <c r="AA173" s="202">
        <v>55</v>
      </c>
      <c r="AB173" s="202"/>
      <c r="AC173" s="202"/>
      <c r="AD173" s="202"/>
      <c r="AE173" s="207">
        <v>115.5</v>
      </c>
      <c r="AF173" s="202">
        <v>115.5</v>
      </c>
      <c r="AG173" s="202">
        <f t="shared" si="16"/>
        <v>60.5</v>
      </c>
      <c r="AI173" s="200">
        <v>55</v>
      </c>
      <c r="AJ173" s="200">
        <v>55</v>
      </c>
      <c r="AK173" s="229">
        <v>540</v>
      </c>
      <c r="AL173" s="200">
        <f>IFERROR(VLOOKUP(B173,[2]rptBudgetaryBudgetCrossOrganiza!$A$5236:$O$5854,13,FALSE),"0")</f>
        <v>26.64</v>
      </c>
      <c r="AM173" s="200"/>
      <c r="AN173" s="200"/>
      <c r="AO173" s="200"/>
      <c r="AP173" s="200" t="s">
        <v>503</v>
      </c>
      <c r="AQ173" s="200" t="e">
        <f t="shared" si="17"/>
        <v>#VALUE!</v>
      </c>
      <c r="AS173" s="169"/>
      <c r="AT173" s="169"/>
      <c r="AU173" s="169"/>
      <c r="AV173" s="169"/>
      <c r="AW173" s="169"/>
      <c r="AX173" s="169"/>
      <c r="AY173" s="169"/>
      <c r="AZ173" s="169">
        <f t="shared" si="18"/>
        <v>0</v>
      </c>
    </row>
    <row r="174" spans="1:52" hidden="1" x14ac:dyDescent="0.2">
      <c r="A174" s="220">
        <v>4</v>
      </c>
      <c r="B174" s="170" t="s">
        <v>449</v>
      </c>
      <c r="C174" s="214">
        <v>40</v>
      </c>
      <c r="D174" s="214">
        <v>70</v>
      </c>
      <c r="E174" s="221">
        <v>590</v>
      </c>
      <c r="F174" s="170" t="str">
        <f t="shared" si="19"/>
        <v>5100.16</v>
      </c>
      <c r="G174" s="170" t="s">
        <v>194</v>
      </c>
      <c r="H174" s="168">
        <v>0</v>
      </c>
      <c r="I174" s="168">
        <v>0</v>
      </c>
      <c r="J174" s="168"/>
      <c r="K174" s="168"/>
      <c r="L174" s="168"/>
      <c r="M174" s="194">
        <v>0</v>
      </c>
      <c r="N174" s="168">
        <v>0</v>
      </c>
      <c r="O174" s="168">
        <f t="shared" si="14"/>
        <v>0</v>
      </c>
      <c r="Q174" s="169">
        <v>0</v>
      </c>
      <c r="R174" s="169">
        <v>0</v>
      </c>
      <c r="S174" s="169"/>
      <c r="T174" s="169"/>
      <c r="U174" s="169"/>
      <c r="V174" s="169">
        <v>0</v>
      </c>
      <c r="W174" s="169">
        <v>0</v>
      </c>
      <c r="X174" s="169">
        <f t="shared" si="15"/>
        <v>0</v>
      </c>
      <c r="Z174" s="202">
        <v>0</v>
      </c>
      <c r="AA174" s="202">
        <v>0</v>
      </c>
      <c r="AB174" s="202"/>
      <c r="AC174" s="202"/>
      <c r="AD174" s="202"/>
      <c r="AE174" s="207">
        <v>0</v>
      </c>
      <c r="AF174" s="202">
        <v>0</v>
      </c>
      <c r="AG174" s="202">
        <f t="shared" si="16"/>
        <v>0</v>
      </c>
      <c r="AI174" s="200">
        <v>0</v>
      </c>
      <c r="AJ174" s="200">
        <v>0</v>
      </c>
      <c r="AK174" s="200"/>
      <c r="AL174" s="200">
        <f>IFERROR(VLOOKUP(B174,[2]rptBudgetaryBudgetCrossOrganiza!$A$5236:$O$5854,13,FALSE),"0")</f>
        <v>0</v>
      </c>
      <c r="AM174" s="200"/>
      <c r="AN174" s="200"/>
      <c r="AO174" s="200"/>
      <c r="AP174" s="200"/>
      <c r="AQ174" s="200">
        <f t="shared" si="17"/>
        <v>0</v>
      </c>
      <c r="AS174" s="169"/>
      <c r="AT174" s="169"/>
      <c r="AU174" s="169"/>
      <c r="AV174" s="169"/>
      <c r="AW174" s="169"/>
      <c r="AX174" s="169"/>
      <c r="AY174" s="169"/>
      <c r="AZ174" s="169">
        <f t="shared" si="18"/>
        <v>0</v>
      </c>
    </row>
    <row r="175" spans="1:52" hidden="1" x14ac:dyDescent="0.2">
      <c r="A175" s="220">
        <v>4</v>
      </c>
      <c r="B175" s="170" t="s">
        <v>450</v>
      </c>
      <c r="C175" s="214">
        <v>40</v>
      </c>
      <c r="D175" s="214">
        <v>70</v>
      </c>
      <c r="E175" s="221">
        <v>590</v>
      </c>
      <c r="F175" s="170" t="str">
        <f t="shared" si="19"/>
        <v>5100.17</v>
      </c>
      <c r="G175" s="170" t="s">
        <v>300</v>
      </c>
      <c r="H175" s="168">
        <v>0</v>
      </c>
      <c r="I175" s="168">
        <v>0</v>
      </c>
      <c r="J175" s="168"/>
      <c r="K175" s="168"/>
      <c r="L175" s="168"/>
      <c r="M175" s="194">
        <v>0</v>
      </c>
      <c r="N175" s="168">
        <v>0</v>
      </c>
      <c r="O175" s="168">
        <f t="shared" si="14"/>
        <v>0</v>
      </c>
      <c r="Q175" s="169">
        <v>0</v>
      </c>
      <c r="R175" s="169">
        <v>0</v>
      </c>
      <c r="S175" s="169"/>
      <c r="T175" s="169"/>
      <c r="U175" s="169"/>
      <c r="V175" s="169">
        <v>0</v>
      </c>
      <c r="W175" s="169">
        <v>0</v>
      </c>
      <c r="X175" s="169">
        <f t="shared" si="15"/>
        <v>0</v>
      </c>
      <c r="Z175" s="202">
        <v>0</v>
      </c>
      <c r="AA175" s="202">
        <v>0</v>
      </c>
      <c r="AB175" s="202"/>
      <c r="AC175" s="202"/>
      <c r="AD175" s="202"/>
      <c r="AE175" s="207">
        <v>0</v>
      </c>
      <c r="AF175" s="202">
        <v>0</v>
      </c>
      <c r="AG175" s="202">
        <f t="shared" si="16"/>
        <v>0</v>
      </c>
      <c r="AI175" s="200">
        <v>0</v>
      </c>
      <c r="AJ175" s="200">
        <v>0</v>
      </c>
      <c r="AK175" s="200"/>
      <c r="AL175" s="200">
        <f>IFERROR(VLOOKUP(B175,[2]rptBudgetaryBudgetCrossOrganiza!$A$5236:$O$5854,13,FALSE),"0")</f>
        <v>0</v>
      </c>
      <c r="AM175" s="200"/>
      <c r="AN175" s="200"/>
      <c r="AO175" s="200"/>
      <c r="AP175" s="200"/>
      <c r="AQ175" s="200">
        <f t="shared" si="17"/>
        <v>0</v>
      </c>
      <c r="AS175" s="169"/>
      <c r="AT175" s="169"/>
      <c r="AU175" s="169"/>
      <c r="AV175" s="169"/>
      <c r="AW175" s="169"/>
      <c r="AX175" s="169"/>
      <c r="AY175" s="169"/>
      <c r="AZ175" s="169">
        <f t="shared" si="18"/>
        <v>0</v>
      </c>
    </row>
    <row r="176" spans="1:52" hidden="1" x14ac:dyDescent="0.2">
      <c r="A176" s="220">
        <v>6</v>
      </c>
      <c r="B176" s="170" t="s">
        <v>451</v>
      </c>
      <c r="C176" s="214">
        <v>40</v>
      </c>
      <c r="D176" s="214">
        <v>70</v>
      </c>
      <c r="E176" s="221">
        <v>590</v>
      </c>
      <c r="F176" s="170" t="str">
        <f t="shared" si="19"/>
        <v>6280.07</v>
      </c>
      <c r="G176" s="170" t="s">
        <v>486</v>
      </c>
      <c r="H176" s="168">
        <v>0</v>
      </c>
      <c r="I176" s="168">
        <v>0</v>
      </c>
      <c r="J176" s="168"/>
      <c r="K176" s="168"/>
      <c r="L176" s="168"/>
      <c r="M176" s="194">
        <v>0</v>
      </c>
      <c r="N176" s="168">
        <v>0</v>
      </c>
      <c r="O176" s="168">
        <f t="shared" si="14"/>
        <v>0</v>
      </c>
      <c r="Q176" s="169">
        <v>0</v>
      </c>
      <c r="R176" s="169">
        <v>0</v>
      </c>
      <c r="S176" s="169"/>
      <c r="T176" s="169"/>
      <c r="U176" s="169"/>
      <c r="V176" s="169">
        <v>0</v>
      </c>
      <c r="W176" s="169">
        <v>0</v>
      </c>
      <c r="X176" s="169">
        <f t="shared" si="15"/>
        <v>0</v>
      </c>
      <c r="Z176" s="202">
        <v>0</v>
      </c>
      <c r="AA176" s="202">
        <v>0</v>
      </c>
      <c r="AB176" s="202"/>
      <c r="AC176" s="202"/>
      <c r="AD176" s="202"/>
      <c r="AE176" s="207">
        <v>0</v>
      </c>
      <c r="AF176" s="202">
        <v>0</v>
      </c>
      <c r="AG176" s="202"/>
      <c r="AI176" s="200">
        <v>0</v>
      </c>
      <c r="AJ176" s="200">
        <v>0</v>
      </c>
      <c r="AK176" s="200"/>
      <c r="AL176" s="200">
        <f>IFERROR(VLOOKUP(B176,[2]rptBudgetaryBudgetCrossOrganiza!$A$5236:$O$5854,13,FALSE),"0")</f>
        <v>0</v>
      </c>
      <c r="AM176" s="200"/>
      <c r="AN176" s="200"/>
      <c r="AO176" s="200"/>
      <c r="AP176" s="200"/>
      <c r="AQ176" s="200">
        <f t="shared" si="17"/>
        <v>0</v>
      </c>
      <c r="AS176" s="169"/>
      <c r="AT176" s="169"/>
      <c r="AU176" s="169"/>
      <c r="AV176" s="169"/>
      <c r="AW176" s="169"/>
      <c r="AX176" s="169"/>
      <c r="AY176" s="169"/>
      <c r="AZ176" s="169"/>
    </row>
    <row r="177" spans="1:52" x14ac:dyDescent="0.2">
      <c r="A177" s="220">
        <v>6</v>
      </c>
      <c r="B177" s="170" t="s">
        <v>452</v>
      </c>
      <c r="C177" s="214">
        <v>40</v>
      </c>
      <c r="D177" s="214">
        <v>70</v>
      </c>
      <c r="E177" s="221">
        <v>590</v>
      </c>
      <c r="F177" s="170" t="str">
        <f>RIGHT(B177,7)</f>
        <v>6350.06</v>
      </c>
      <c r="G177" s="170" t="s">
        <v>487</v>
      </c>
      <c r="H177" s="168">
        <v>175000</v>
      </c>
      <c r="I177" s="168">
        <v>175000</v>
      </c>
      <c r="J177" s="168"/>
      <c r="K177" s="168"/>
      <c r="L177" s="168"/>
      <c r="M177" s="194">
        <v>162025.42000000001</v>
      </c>
      <c r="N177" s="168">
        <v>162025.42000000001</v>
      </c>
      <c r="O177" s="168">
        <f t="shared" si="14"/>
        <v>-12974.579999999987</v>
      </c>
      <c r="Q177" s="169">
        <v>200000</v>
      </c>
      <c r="R177" s="169">
        <v>217000</v>
      </c>
      <c r="S177" s="169"/>
      <c r="T177" s="169"/>
      <c r="U177" s="169"/>
      <c r="V177" s="169">
        <v>199723.35</v>
      </c>
      <c r="W177" s="169">
        <v>199723.35</v>
      </c>
      <c r="X177" s="169"/>
      <c r="Z177" s="202">
        <v>200000</v>
      </c>
      <c r="AA177" s="202">
        <v>202000</v>
      </c>
      <c r="AB177" s="202"/>
      <c r="AC177" s="202"/>
      <c r="AD177" s="202"/>
      <c r="AE177" s="207">
        <v>234677.01</v>
      </c>
      <c r="AF177" s="202">
        <v>234677.01</v>
      </c>
      <c r="AG177" s="202">
        <f t="shared" si="16"/>
        <v>32677.010000000009</v>
      </c>
      <c r="AI177" s="200">
        <v>200000</v>
      </c>
      <c r="AJ177" s="200">
        <v>200000</v>
      </c>
      <c r="AK177" s="229">
        <v>215000</v>
      </c>
      <c r="AL177" s="200">
        <f>IFERROR(VLOOKUP(B177,[2]rptBudgetaryBudgetCrossOrganiza!$A$5236:$O$5854,13,FALSE),"0")</f>
        <v>12713.97</v>
      </c>
      <c r="AM177" s="200"/>
      <c r="AN177" s="200"/>
      <c r="AO177" s="200"/>
      <c r="AP177" s="200" t="s">
        <v>504</v>
      </c>
      <c r="AQ177" s="200" t="e">
        <f t="shared" si="17"/>
        <v>#VALUE!</v>
      </c>
      <c r="AS177" s="169"/>
      <c r="AT177" s="169"/>
      <c r="AU177" s="169"/>
      <c r="AV177" s="169"/>
      <c r="AW177" s="169"/>
      <c r="AX177" s="169"/>
      <c r="AY177" s="169"/>
      <c r="AZ177" s="169"/>
    </row>
    <row r="178" spans="1:52" hidden="1" x14ac:dyDescent="0.2">
      <c r="A178" s="220">
        <v>9</v>
      </c>
      <c r="B178" s="170" t="s">
        <v>453</v>
      </c>
      <c r="C178" s="214">
        <v>40</v>
      </c>
      <c r="D178" s="214">
        <v>70</v>
      </c>
      <c r="E178" s="221">
        <v>590</v>
      </c>
      <c r="F178" s="170" t="str">
        <f t="shared" si="19"/>
        <v>6410.08</v>
      </c>
      <c r="G178" s="170" t="s">
        <v>388</v>
      </c>
      <c r="H178" s="168">
        <v>0</v>
      </c>
      <c r="I178" s="168">
        <v>0</v>
      </c>
      <c r="J178" s="168"/>
      <c r="K178" s="168"/>
      <c r="L178" s="168"/>
      <c r="M178" s="194">
        <v>0</v>
      </c>
      <c r="N178" s="168">
        <v>0</v>
      </c>
      <c r="O178" s="168">
        <f t="shared" si="14"/>
        <v>0</v>
      </c>
      <c r="Q178" s="169">
        <v>0</v>
      </c>
      <c r="R178" s="169">
        <v>0</v>
      </c>
      <c r="S178" s="169"/>
      <c r="T178" s="169"/>
      <c r="U178" s="169"/>
      <c r="V178" s="169">
        <v>0</v>
      </c>
      <c r="W178" s="169">
        <v>0</v>
      </c>
      <c r="X178" s="169"/>
      <c r="Z178" s="202">
        <v>0</v>
      </c>
      <c r="AA178" s="202">
        <v>0</v>
      </c>
      <c r="AB178" s="202"/>
      <c r="AC178" s="202"/>
      <c r="AD178" s="202"/>
      <c r="AE178" s="207">
        <v>0</v>
      </c>
      <c r="AF178" s="202">
        <v>0</v>
      </c>
      <c r="AG178" s="202">
        <f t="shared" si="16"/>
        <v>0</v>
      </c>
      <c r="AI178" s="200">
        <v>0</v>
      </c>
      <c r="AJ178" s="200">
        <v>0</v>
      </c>
      <c r="AK178" s="200"/>
      <c r="AL178" s="200">
        <f>IFERROR(VLOOKUP(B178,[2]rptBudgetaryBudgetCrossOrganiza!$A$5236:$O$5854,13,FALSE),"0")</f>
        <v>0</v>
      </c>
      <c r="AM178" s="200"/>
      <c r="AN178" s="200"/>
      <c r="AO178" s="200"/>
      <c r="AP178" s="200"/>
      <c r="AQ178" s="200">
        <f t="shared" si="17"/>
        <v>0</v>
      </c>
      <c r="AS178" s="169"/>
      <c r="AT178" s="169"/>
      <c r="AU178" s="169"/>
      <c r="AV178" s="169"/>
      <c r="AW178" s="169"/>
      <c r="AX178" s="169"/>
      <c r="AY178" s="169"/>
      <c r="AZ178" s="169"/>
    </row>
    <row r="179" spans="1:52" hidden="1" x14ac:dyDescent="0.2">
      <c r="A179" s="220">
        <v>4</v>
      </c>
      <c r="B179" s="170" t="s">
        <v>454</v>
      </c>
      <c r="C179" s="214">
        <v>40</v>
      </c>
      <c r="D179" s="214">
        <v>70</v>
      </c>
      <c r="E179" s="214">
        <v>600</v>
      </c>
      <c r="F179" s="170" t="str">
        <f t="shared" si="19"/>
        <v>5000.01</v>
      </c>
      <c r="G179" s="170" t="s">
        <v>165</v>
      </c>
      <c r="H179" s="168">
        <v>8790</v>
      </c>
      <c r="I179" s="168">
        <v>9090</v>
      </c>
      <c r="J179" s="168"/>
      <c r="K179" s="168"/>
      <c r="L179" s="168"/>
      <c r="M179" s="194">
        <v>8254.68</v>
      </c>
      <c r="N179" s="168">
        <v>8254.68</v>
      </c>
      <c r="O179" s="168">
        <f t="shared" si="14"/>
        <v>-835.31999999999971</v>
      </c>
      <c r="Q179" s="169">
        <v>13150</v>
      </c>
      <c r="R179" s="169">
        <v>13150</v>
      </c>
      <c r="S179" s="169"/>
      <c r="T179" s="169"/>
      <c r="U179" s="169"/>
      <c r="V179" s="169">
        <v>7988.21</v>
      </c>
      <c r="W179" s="169">
        <v>7988.21</v>
      </c>
      <c r="X179" s="169"/>
      <c r="Z179" s="202">
        <v>23065</v>
      </c>
      <c r="AA179" s="202">
        <v>23503</v>
      </c>
      <c r="AB179" s="202"/>
      <c r="AC179" s="202"/>
      <c r="AD179" s="202"/>
      <c r="AE179" s="207">
        <v>9617</v>
      </c>
      <c r="AF179" s="202">
        <v>9617</v>
      </c>
      <c r="AG179" s="202">
        <f t="shared" si="16"/>
        <v>-13886</v>
      </c>
      <c r="AI179" s="200">
        <v>23757</v>
      </c>
      <c r="AJ179" s="200">
        <v>23757</v>
      </c>
      <c r="AK179" s="200">
        <v>23757</v>
      </c>
      <c r="AL179" s="200">
        <f>IFERROR(VLOOKUP(B179,[2]rptBudgetaryBudgetCrossOrganiza!$A$5236:$O$5854,13,FALSE),"0")</f>
        <v>2840.59</v>
      </c>
      <c r="AM179" s="200"/>
      <c r="AN179" s="200"/>
      <c r="AO179" s="200"/>
      <c r="AP179" s="200"/>
      <c r="AQ179" s="200">
        <f t="shared" si="17"/>
        <v>-23757</v>
      </c>
      <c r="AS179" s="169"/>
      <c r="AT179" s="169"/>
      <c r="AU179" s="169"/>
      <c r="AV179" s="169"/>
      <c r="AW179" s="169"/>
      <c r="AX179" s="169"/>
      <c r="AY179" s="169"/>
      <c r="AZ179" s="169"/>
    </row>
    <row r="180" spans="1:52" hidden="1" x14ac:dyDescent="0.2">
      <c r="A180" s="220">
        <v>4</v>
      </c>
      <c r="B180" s="170" t="s">
        <v>455</v>
      </c>
      <c r="C180" s="214">
        <v>40</v>
      </c>
      <c r="D180" s="214">
        <v>70</v>
      </c>
      <c r="E180" s="214">
        <v>600</v>
      </c>
      <c r="F180" s="170" t="str">
        <f t="shared" si="19"/>
        <v>5000.02</v>
      </c>
      <c r="G180" s="170" t="s">
        <v>166</v>
      </c>
      <c r="H180" s="168">
        <v>0</v>
      </c>
      <c r="I180" s="168">
        <v>0</v>
      </c>
      <c r="J180" s="168"/>
      <c r="K180" s="168"/>
      <c r="L180" s="168"/>
      <c r="M180" s="194">
        <v>0</v>
      </c>
      <c r="N180" s="168">
        <v>0</v>
      </c>
      <c r="O180" s="168">
        <f t="shared" si="14"/>
        <v>0</v>
      </c>
      <c r="Q180" s="169">
        <v>0</v>
      </c>
      <c r="R180" s="169">
        <v>0</v>
      </c>
      <c r="S180" s="169"/>
      <c r="T180" s="169"/>
      <c r="U180" s="169"/>
      <c r="V180" s="169">
        <v>0</v>
      </c>
      <c r="W180" s="169">
        <v>0</v>
      </c>
      <c r="X180" s="169"/>
      <c r="Z180" s="202">
        <v>0</v>
      </c>
      <c r="AA180" s="202">
        <v>0</v>
      </c>
      <c r="AB180" s="202"/>
      <c r="AC180" s="202"/>
      <c r="AD180" s="202"/>
      <c r="AE180" s="207">
        <v>0</v>
      </c>
      <c r="AF180" s="202">
        <v>0</v>
      </c>
      <c r="AG180" s="202">
        <f t="shared" si="16"/>
        <v>0</v>
      </c>
      <c r="AI180" s="200">
        <v>0</v>
      </c>
      <c r="AJ180" s="200">
        <v>0</v>
      </c>
      <c r="AK180" s="200"/>
      <c r="AL180" s="200">
        <f>IFERROR(VLOOKUP(B180,[2]rptBudgetaryBudgetCrossOrganiza!$A$5236:$O$5854,13,FALSE),"0")</f>
        <v>0</v>
      </c>
      <c r="AM180" s="200"/>
      <c r="AN180" s="200"/>
      <c r="AO180" s="200"/>
      <c r="AP180" s="200"/>
      <c r="AQ180" s="200">
        <f t="shared" si="17"/>
        <v>0</v>
      </c>
      <c r="AS180" s="169"/>
      <c r="AT180" s="169"/>
      <c r="AU180" s="169"/>
      <c r="AV180" s="169"/>
      <c r="AW180" s="169"/>
      <c r="AX180" s="169"/>
      <c r="AY180" s="169"/>
      <c r="AZ180" s="169"/>
    </row>
    <row r="181" spans="1:52" hidden="1" x14ac:dyDescent="0.2">
      <c r="A181" s="220">
        <v>4</v>
      </c>
      <c r="B181" s="170" t="s">
        <v>456</v>
      </c>
      <c r="C181" s="214">
        <v>40</v>
      </c>
      <c r="D181" s="214">
        <v>70</v>
      </c>
      <c r="E181" s="214">
        <v>600</v>
      </c>
      <c r="F181" s="170" t="str">
        <f t="shared" si="19"/>
        <v>5000.03</v>
      </c>
      <c r="G181" s="170" t="s">
        <v>167</v>
      </c>
      <c r="H181" s="168">
        <v>750</v>
      </c>
      <c r="I181" s="168">
        <v>750</v>
      </c>
      <c r="J181" s="168"/>
      <c r="K181" s="168"/>
      <c r="L181" s="168"/>
      <c r="M181" s="194">
        <v>1198.33</v>
      </c>
      <c r="N181" s="168">
        <v>1198.33</v>
      </c>
      <c r="O181" s="168">
        <f t="shared" si="14"/>
        <v>448.32999999999993</v>
      </c>
      <c r="Q181" s="169">
        <v>750</v>
      </c>
      <c r="R181" s="169">
        <v>750</v>
      </c>
      <c r="S181" s="169"/>
      <c r="T181" s="169"/>
      <c r="U181" s="169"/>
      <c r="V181" s="169">
        <v>1342.86</v>
      </c>
      <c r="W181" s="169">
        <v>1342.86</v>
      </c>
      <c r="X181" s="169"/>
      <c r="Z181" s="202">
        <v>1200</v>
      </c>
      <c r="AA181" s="202">
        <v>1200</v>
      </c>
      <c r="AB181" s="202"/>
      <c r="AC181" s="202"/>
      <c r="AD181" s="202"/>
      <c r="AE181" s="207">
        <v>2410.2600000000002</v>
      </c>
      <c r="AF181" s="202">
        <v>2410.2600000000002</v>
      </c>
      <c r="AG181" s="202">
        <f t="shared" si="16"/>
        <v>1210.2600000000002</v>
      </c>
      <c r="AI181" s="200">
        <v>1236</v>
      </c>
      <c r="AJ181" s="200">
        <v>1236</v>
      </c>
      <c r="AK181" s="200">
        <v>1236</v>
      </c>
      <c r="AL181" s="200">
        <f>IFERROR(VLOOKUP(B181,[2]rptBudgetaryBudgetCrossOrganiza!$A$5236:$O$5854,13,FALSE),"0")</f>
        <v>171.66</v>
      </c>
      <c r="AM181" s="200"/>
      <c r="AN181" s="200"/>
      <c r="AO181" s="200"/>
      <c r="AP181" s="200"/>
      <c r="AQ181" s="200">
        <f t="shared" si="17"/>
        <v>-1236</v>
      </c>
      <c r="AS181" s="169"/>
      <c r="AT181" s="169"/>
      <c r="AU181" s="169"/>
      <c r="AV181" s="169"/>
      <c r="AW181" s="169"/>
      <c r="AX181" s="169"/>
      <c r="AY181" s="169"/>
      <c r="AZ181" s="169"/>
    </row>
    <row r="182" spans="1:52" hidden="1" x14ac:dyDescent="0.2">
      <c r="A182" s="220">
        <v>4</v>
      </c>
      <c r="B182" s="170" t="s">
        <v>457</v>
      </c>
      <c r="C182" s="214">
        <v>40</v>
      </c>
      <c r="D182" s="214">
        <v>70</v>
      </c>
      <c r="E182" s="214">
        <v>600</v>
      </c>
      <c r="F182" s="170" t="str">
        <f t="shared" si="19"/>
        <v>5000.04</v>
      </c>
      <c r="G182" s="170" t="s">
        <v>168</v>
      </c>
      <c r="H182" s="168">
        <v>0</v>
      </c>
      <c r="I182" s="168">
        <v>0</v>
      </c>
      <c r="J182" s="168"/>
      <c r="K182" s="168"/>
      <c r="L182" s="168"/>
      <c r="M182" s="194">
        <v>0</v>
      </c>
      <c r="N182" s="168">
        <v>0</v>
      </c>
      <c r="O182" s="168">
        <f t="shared" si="14"/>
        <v>0</v>
      </c>
      <c r="Q182" s="169">
        <v>0</v>
      </c>
      <c r="R182" s="169">
        <v>0</v>
      </c>
      <c r="S182" s="169"/>
      <c r="T182" s="169"/>
      <c r="U182" s="169"/>
      <c r="V182" s="169">
        <v>0</v>
      </c>
      <c r="W182" s="169">
        <v>0</v>
      </c>
      <c r="X182" s="169"/>
      <c r="Z182" s="202">
        <v>0</v>
      </c>
      <c r="AA182" s="202">
        <v>0</v>
      </c>
      <c r="AB182" s="202"/>
      <c r="AC182" s="202"/>
      <c r="AD182" s="202"/>
      <c r="AE182" s="207">
        <v>0</v>
      </c>
      <c r="AF182" s="202">
        <v>0</v>
      </c>
      <c r="AG182" s="202">
        <f t="shared" si="16"/>
        <v>0</v>
      </c>
      <c r="AI182" s="200">
        <v>0</v>
      </c>
      <c r="AJ182" s="200">
        <v>0</v>
      </c>
      <c r="AK182" s="200"/>
      <c r="AL182" s="200">
        <f>IFERROR(VLOOKUP(B182,[2]rptBudgetaryBudgetCrossOrganiza!$A$5236:$O$5854,13,FALSE),"0")</f>
        <v>0</v>
      </c>
      <c r="AM182" s="200"/>
      <c r="AN182" s="200"/>
      <c r="AO182" s="200"/>
      <c r="AP182" s="200"/>
      <c r="AQ182" s="200">
        <f t="shared" si="17"/>
        <v>0</v>
      </c>
      <c r="AS182" s="169"/>
      <c r="AT182" s="169"/>
      <c r="AU182" s="169"/>
      <c r="AV182" s="169"/>
      <c r="AW182" s="169"/>
      <c r="AX182" s="169"/>
      <c r="AY182" s="169"/>
      <c r="AZ182" s="169"/>
    </row>
    <row r="183" spans="1:52" x14ac:dyDescent="0.2">
      <c r="A183" s="220">
        <v>4</v>
      </c>
      <c r="B183" s="170" t="s">
        <v>458</v>
      </c>
      <c r="C183" s="214">
        <v>40</v>
      </c>
      <c r="D183" s="214">
        <v>70</v>
      </c>
      <c r="E183" s="214">
        <v>600</v>
      </c>
      <c r="F183" s="170" t="str">
        <f t="shared" si="19"/>
        <v>5000.06</v>
      </c>
      <c r="G183" s="170" t="s">
        <v>170</v>
      </c>
      <c r="H183" s="168">
        <v>0</v>
      </c>
      <c r="I183" s="168">
        <v>0</v>
      </c>
      <c r="J183" s="168"/>
      <c r="K183" s="168"/>
      <c r="L183" s="168"/>
      <c r="M183" s="194">
        <v>0</v>
      </c>
      <c r="N183" s="168">
        <v>0</v>
      </c>
      <c r="O183" s="168">
        <f t="shared" si="14"/>
        <v>0</v>
      </c>
      <c r="Q183" s="169">
        <v>0</v>
      </c>
      <c r="R183" s="169">
        <v>0</v>
      </c>
      <c r="S183" s="169"/>
      <c r="T183" s="169"/>
      <c r="U183" s="169"/>
      <c r="V183" s="169">
        <v>3.86</v>
      </c>
      <c r="W183" s="169">
        <v>3.86</v>
      </c>
      <c r="X183" s="169"/>
      <c r="Z183" s="202">
        <v>0</v>
      </c>
      <c r="AA183" s="202">
        <v>0</v>
      </c>
      <c r="AB183" s="202"/>
      <c r="AC183" s="202"/>
      <c r="AD183" s="202"/>
      <c r="AE183" s="207">
        <v>430.56</v>
      </c>
      <c r="AF183" s="202">
        <v>430.56</v>
      </c>
      <c r="AG183" s="202">
        <f t="shared" si="16"/>
        <v>430.56</v>
      </c>
      <c r="AI183" s="200">
        <v>0</v>
      </c>
      <c r="AJ183" s="200">
        <v>0</v>
      </c>
      <c r="AK183" s="229">
        <v>300</v>
      </c>
      <c r="AL183" s="200">
        <f>IFERROR(VLOOKUP(B183,[2]rptBudgetaryBudgetCrossOrganiza!$A$5236:$O$5854,13,FALSE),"0")</f>
        <v>73.03</v>
      </c>
      <c r="AM183" s="200"/>
      <c r="AN183" s="200"/>
      <c r="AO183" s="200"/>
      <c r="AP183" s="200" t="s">
        <v>502</v>
      </c>
      <c r="AQ183" s="200" t="e">
        <f t="shared" si="17"/>
        <v>#VALUE!</v>
      </c>
      <c r="AS183" s="169"/>
      <c r="AT183" s="169"/>
      <c r="AU183" s="169"/>
      <c r="AV183" s="169"/>
      <c r="AW183" s="169"/>
      <c r="AX183" s="169"/>
      <c r="AY183" s="169"/>
      <c r="AZ183" s="169"/>
    </row>
    <row r="184" spans="1:52" hidden="1" x14ac:dyDescent="0.2">
      <c r="A184" s="220">
        <v>4</v>
      </c>
      <c r="B184" s="170" t="s">
        <v>459</v>
      </c>
      <c r="C184" s="214">
        <v>40</v>
      </c>
      <c r="D184" s="214">
        <v>70</v>
      </c>
      <c r="E184" s="214">
        <v>600</v>
      </c>
      <c r="F184" s="170" t="str">
        <f t="shared" si="19"/>
        <v>5000.07</v>
      </c>
      <c r="G184" s="170" t="s">
        <v>171</v>
      </c>
      <c r="H184" s="168">
        <v>0</v>
      </c>
      <c r="I184" s="168">
        <v>0</v>
      </c>
      <c r="J184" s="168"/>
      <c r="K184" s="168"/>
      <c r="L184" s="168"/>
      <c r="M184" s="194">
        <v>0</v>
      </c>
      <c r="N184" s="168">
        <v>0</v>
      </c>
      <c r="O184" s="168">
        <f t="shared" si="14"/>
        <v>0</v>
      </c>
      <c r="Q184" s="169">
        <v>0</v>
      </c>
      <c r="R184" s="169">
        <v>0</v>
      </c>
      <c r="S184" s="169"/>
      <c r="T184" s="169"/>
      <c r="U184" s="169"/>
      <c r="V184" s="169">
        <v>0</v>
      </c>
      <c r="W184" s="169">
        <v>0</v>
      </c>
      <c r="X184" s="169"/>
      <c r="Z184" s="202">
        <v>170</v>
      </c>
      <c r="AA184" s="202">
        <v>170</v>
      </c>
      <c r="AB184" s="202"/>
      <c r="AC184" s="202"/>
      <c r="AD184" s="202"/>
      <c r="AE184" s="207">
        <v>0</v>
      </c>
      <c r="AF184" s="202">
        <v>0</v>
      </c>
      <c r="AG184" s="202">
        <f t="shared" si="16"/>
        <v>-170</v>
      </c>
      <c r="AI184" s="200">
        <v>175</v>
      </c>
      <c r="AJ184" s="200">
        <v>175</v>
      </c>
      <c r="AK184" s="200">
        <v>175</v>
      </c>
      <c r="AL184" s="200">
        <f>IFERROR(VLOOKUP(B184,[2]rptBudgetaryBudgetCrossOrganiza!$A$5236:$O$5854,13,FALSE),"0")</f>
        <v>0</v>
      </c>
      <c r="AM184" s="200"/>
      <c r="AN184" s="200"/>
      <c r="AO184" s="200"/>
      <c r="AP184" s="200"/>
      <c r="AQ184" s="200">
        <f t="shared" si="17"/>
        <v>-175</v>
      </c>
      <c r="AS184" s="169"/>
      <c r="AT184" s="169"/>
      <c r="AU184" s="169"/>
      <c r="AV184" s="169"/>
      <c r="AW184" s="169"/>
      <c r="AX184" s="169"/>
      <c r="AY184" s="169"/>
      <c r="AZ184" s="169"/>
    </row>
    <row r="185" spans="1:52" hidden="1" x14ac:dyDescent="0.2">
      <c r="A185" s="220">
        <v>4</v>
      </c>
      <c r="B185" s="170" t="s">
        <v>460</v>
      </c>
      <c r="C185" s="214">
        <v>40</v>
      </c>
      <c r="D185" s="214">
        <v>70</v>
      </c>
      <c r="E185" s="214">
        <v>600</v>
      </c>
      <c r="F185" s="170" t="str">
        <f t="shared" si="19"/>
        <v>5000.08</v>
      </c>
      <c r="G185" s="170" t="s">
        <v>172</v>
      </c>
      <c r="H185" s="168">
        <v>145</v>
      </c>
      <c r="I185" s="168">
        <v>145</v>
      </c>
      <c r="J185" s="168"/>
      <c r="K185" s="168"/>
      <c r="L185" s="168"/>
      <c r="M185" s="194">
        <v>141.09</v>
      </c>
      <c r="N185" s="168">
        <v>141.09</v>
      </c>
      <c r="O185" s="168">
        <f t="shared" ref="O185:O206" si="20">N185-I185</f>
        <v>-3.9099999999999966</v>
      </c>
      <c r="Q185" s="169">
        <v>150</v>
      </c>
      <c r="R185" s="169">
        <v>150</v>
      </c>
      <c r="S185" s="169"/>
      <c r="T185" s="169"/>
      <c r="U185" s="169"/>
      <c r="V185" s="169">
        <v>146.79</v>
      </c>
      <c r="W185" s="169">
        <v>146.79</v>
      </c>
      <c r="X185" s="169"/>
      <c r="Z185" s="202">
        <v>250</v>
      </c>
      <c r="AA185" s="202">
        <v>250</v>
      </c>
      <c r="AB185" s="202"/>
      <c r="AC185" s="202"/>
      <c r="AD185" s="202"/>
      <c r="AE185" s="207">
        <v>152.03</v>
      </c>
      <c r="AF185" s="202">
        <v>152.03</v>
      </c>
      <c r="AG185" s="202">
        <f t="shared" si="16"/>
        <v>-97.97</v>
      </c>
      <c r="AI185" s="200">
        <v>258</v>
      </c>
      <c r="AJ185" s="200">
        <v>258</v>
      </c>
      <c r="AK185" s="200">
        <v>258</v>
      </c>
      <c r="AL185" s="200">
        <f>IFERROR(VLOOKUP(B185,[2]rptBudgetaryBudgetCrossOrganiza!$A$5236:$O$5854,13,FALSE),"0")</f>
        <v>22.84</v>
      </c>
      <c r="AM185" s="200"/>
      <c r="AN185" s="200"/>
      <c r="AO185" s="200"/>
      <c r="AP185" s="200"/>
      <c r="AQ185" s="200">
        <f t="shared" si="17"/>
        <v>-258</v>
      </c>
      <c r="AS185" s="169"/>
      <c r="AT185" s="169"/>
      <c r="AU185" s="169"/>
      <c r="AV185" s="169"/>
      <c r="AW185" s="169"/>
      <c r="AX185" s="169"/>
      <c r="AY185" s="169"/>
      <c r="AZ185" s="169"/>
    </row>
    <row r="186" spans="1:52" hidden="1" x14ac:dyDescent="0.2">
      <c r="A186" s="220">
        <v>4</v>
      </c>
      <c r="B186" s="170" t="s">
        <v>461</v>
      </c>
      <c r="C186" s="214">
        <v>40</v>
      </c>
      <c r="D186" s="214">
        <v>70</v>
      </c>
      <c r="E186" s="214">
        <v>600</v>
      </c>
      <c r="F186" s="170" t="str">
        <f t="shared" si="19"/>
        <v>5000.10</v>
      </c>
      <c r="G186" s="170" t="s">
        <v>174</v>
      </c>
      <c r="H186" s="168">
        <v>0</v>
      </c>
      <c r="I186" s="168">
        <v>0</v>
      </c>
      <c r="J186" s="168"/>
      <c r="K186" s="168"/>
      <c r="L186" s="168"/>
      <c r="M186" s="194">
        <v>0</v>
      </c>
      <c r="N186" s="168">
        <v>0</v>
      </c>
      <c r="O186" s="168">
        <f t="shared" si="20"/>
        <v>0</v>
      </c>
      <c r="Q186" s="169">
        <v>0</v>
      </c>
      <c r="R186" s="169">
        <v>0</v>
      </c>
      <c r="S186" s="169"/>
      <c r="T186" s="169"/>
      <c r="U186" s="169"/>
      <c r="V186" s="169">
        <v>0</v>
      </c>
      <c r="W186" s="169">
        <v>0</v>
      </c>
      <c r="X186" s="169"/>
      <c r="Z186" s="202">
        <v>0</v>
      </c>
      <c r="AA186" s="202">
        <v>0</v>
      </c>
      <c r="AB186" s="202"/>
      <c r="AC186" s="202"/>
      <c r="AD186" s="202"/>
      <c r="AE186" s="207">
        <v>0</v>
      </c>
      <c r="AF186" s="202">
        <v>0</v>
      </c>
      <c r="AG186" s="202">
        <f t="shared" si="16"/>
        <v>0</v>
      </c>
      <c r="AI186" s="200">
        <v>0</v>
      </c>
      <c r="AJ186" s="200">
        <v>0</v>
      </c>
      <c r="AK186" s="200"/>
      <c r="AL186" s="200">
        <f>IFERROR(VLOOKUP(B186,[2]rptBudgetaryBudgetCrossOrganiza!$A$5236:$O$5854,13,FALSE),"0")</f>
        <v>0</v>
      </c>
      <c r="AM186" s="200"/>
      <c r="AN186" s="200"/>
      <c r="AO186" s="200"/>
      <c r="AP186" s="200"/>
      <c r="AQ186" s="200">
        <f t="shared" si="17"/>
        <v>0</v>
      </c>
      <c r="AS186" s="169"/>
      <c r="AT186" s="169"/>
      <c r="AU186" s="169"/>
      <c r="AV186" s="169"/>
      <c r="AW186" s="169"/>
      <c r="AX186" s="169"/>
      <c r="AY186" s="169"/>
      <c r="AZ186" s="169"/>
    </row>
    <row r="187" spans="1:52" hidden="1" x14ac:dyDescent="0.2">
      <c r="A187" s="220">
        <v>4</v>
      </c>
      <c r="B187" s="170" t="s">
        <v>462</v>
      </c>
      <c r="C187" s="214">
        <v>40</v>
      </c>
      <c r="D187" s="214">
        <v>70</v>
      </c>
      <c r="E187" s="214">
        <v>600</v>
      </c>
      <c r="F187" s="170" t="str">
        <f t="shared" si="19"/>
        <v>5000.11</v>
      </c>
      <c r="G187" s="170" t="s">
        <v>175</v>
      </c>
      <c r="H187" s="168">
        <v>0</v>
      </c>
      <c r="I187" s="168">
        <v>0</v>
      </c>
      <c r="J187" s="168"/>
      <c r="K187" s="168"/>
      <c r="L187" s="168"/>
      <c r="M187" s="194">
        <v>187.57</v>
      </c>
      <c r="N187" s="168">
        <v>187.57</v>
      </c>
      <c r="O187" s="168">
        <f t="shared" si="20"/>
        <v>187.57</v>
      </c>
      <c r="Q187" s="169">
        <v>0</v>
      </c>
      <c r="R187" s="169">
        <v>0</v>
      </c>
      <c r="S187" s="169"/>
      <c r="T187" s="169"/>
      <c r="U187" s="169"/>
      <c r="V187" s="169">
        <v>579.76</v>
      </c>
      <c r="W187" s="169">
        <v>579.76</v>
      </c>
      <c r="X187" s="169"/>
      <c r="Z187" s="202">
        <v>0</v>
      </c>
      <c r="AA187" s="202">
        <v>0</v>
      </c>
      <c r="AB187" s="202"/>
      <c r="AC187" s="202"/>
      <c r="AD187" s="202"/>
      <c r="AE187" s="207">
        <v>0</v>
      </c>
      <c r="AF187" s="202">
        <v>0</v>
      </c>
      <c r="AG187" s="202">
        <f t="shared" si="16"/>
        <v>0</v>
      </c>
      <c r="AI187" s="200">
        <v>0</v>
      </c>
      <c r="AJ187" s="200">
        <v>0</v>
      </c>
      <c r="AK187" s="200"/>
      <c r="AL187" s="200">
        <f>IFERROR(VLOOKUP(B187,[2]rptBudgetaryBudgetCrossOrganiza!$A$5236:$O$5854,13,FALSE),"0")</f>
        <v>0</v>
      </c>
      <c r="AM187" s="200"/>
      <c r="AN187" s="200"/>
      <c r="AO187" s="200"/>
      <c r="AP187" s="200"/>
      <c r="AQ187" s="200">
        <f t="shared" si="17"/>
        <v>0</v>
      </c>
      <c r="AS187" s="169"/>
      <c r="AT187" s="169"/>
      <c r="AU187" s="169"/>
      <c r="AV187" s="169"/>
      <c r="AW187" s="169"/>
      <c r="AX187" s="169"/>
      <c r="AY187" s="169"/>
      <c r="AZ187" s="169"/>
    </row>
    <row r="188" spans="1:52" hidden="1" x14ac:dyDescent="0.2">
      <c r="A188" s="220">
        <v>4</v>
      </c>
      <c r="B188" s="170" t="s">
        <v>463</v>
      </c>
      <c r="C188" s="214">
        <v>40</v>
      </c>
      <c r="D188" s="214">
        <v>70</v>
      </c>
      <c r="E188" s="214">
        <v>600</v>
      </c>
      <c r="F188" s="170" t="str">
        <f t="shared" si="19"/>
        <v>5000.12</v>
      </c>
      <c r="G188" s="170" t="s">
        <v>176</v>
      </c>
      <c r="H188" s="168">
        <v>0</v>
      </c>
      <c r="I188" s="168">
        <v>0</v>
      </c>
      <c r="J188" s="168"/>
      <c r="K188" s="168"/>
      <c r="L188" s="168"/>
      <c r="M188" s="194">
        <v>0</v>
      </c>
      <c r="N188" s="168">
        <v>0</v>
      </c>
      <c r="O188" s="168">
        <f t="shared" si="20"/>
        <v>0</v>
      </c>
      <c r="Q188" s="169">
        <v>0</v>
      </c>
      <c r="R188" s="169">
        <v>0</v>
      </c>
      <c r="S188" s="169"/>
      <c r="T188" s="169"/>
      <c r="U188" s="169"/>
      <c r="V188" s="169">
        <v>0</v>
      </c>
      <c r="W188" s="169">
        <v>0</v>
      </c>
      <c r="X188" s="169"/>
      <c r="Z188" s="202">
        <v>0</v>
      </c>
      <c r="AA188" s="202">
        <v>0</v>
      </c>
      <c r="AB188" s="202"/>
      <c r="AC188" s="202"/>
      <c r="AD188" s="202"/>
      <c r="AE188" s="207">
        <v>0</v>
      </c>
      <c r="AF188" s="202">
        <v>0</v>
      </c>
      <c r="AG188" s="202">
        <f t="shared" si="16"/>
        <v>0</v>
      </c>
      <c r="AI188" s="200">
        <v>0</v>
      </c>
      <c r="AJ188" s="200">
        <v>0</v>
      </c>
      <c r="AK188" s="200"/>
      <c r="AL188" s="200">
        <f>IFERROR(VLOOKUP(B188,[2]rptBudgetaryBudgetCrossOrganiza!$A$5236:$O$5854,13,FALSE),"0")</f>
        <v>0</v>
      </c>
      <c r="AM188" s="200"/>
      <c r="AN188" s="200"/>
      <c r="AO188" s="200"/>
      <c r="AP188" s="200"/>
      <c r="AQ188" s="200">
        <f t="shared" si="17"/>
        <v>0</v>
      </c>
      <c r="AS188" s="169"/>
      <c r="AT188" s="169"/>
      <c r="AU188" s="169"/>
      <c r="AV188" s="169"/>
      <c r="AW188" s="169"/>
      <c r="AX188" s="169"/>
      <c r="AY188" s="169"/>
      <c r="AZ188" s="169"/>
    </row>
    <row r="189" spans="1:52" hidden="1" x14ac:dyDescent="0.2">
      <c r="A189" s="220">
        <v>4</v>
      </c>
      <c r="B189" s="170" t="s">
        <v>464</v>
      </c>
      <c r="C189" s="214">
        <v>40</v>
      </c>
      <c r="D189" s="214">
        <v>70</v>
      </c>
      <c r="E189" s="214">
        <v>600</v>
      </c>
      <c r="F189" s="170" t="str">
        <f t="shared" si="19"/>
        <v>5100.00</v>
      </c>
      <c r="G189" s="170" t="s">
        <v>178</v>
      </c>
      <c r="H189" s="168">
        <v>1505</v>
      </c>
      <c r="I189" s="168">
        <v>1505</v>
      </c>
      <c r="J189" s="168"/>
      <c r="K189" s="168"/>
      <c r="L189" s="168"/>
      <c r="M189" s="194">
        <v>1473.96</v>
      </c>
      <c r="N189" s="168">
        <v>1473.96</v>
      </c>
      <c r="O189" s="168">
        <f t="shared" si="20"/>
        <v>-31.039999999999964</v>
      </c>
      <c r="Q189" s="169">
        <v>2465</v>
      </c>
      <c r="R189" s="169">
        <v>2465</v>
      </c>
      <c r="S189" s="169"/>
      <c r="T189" s="169"/>
      <c r="U189" s="169"/>
      <c r="V189" s="169">
        <v>1621.05</v>
      </c>
      <c r="W189" s="169">
        <v>1621</v>
      </c>
      <c r="X189" s="169"/>
      <c r="Z189" s="202">
        <v>3695</v>
      </c>
      <c r="AA189" s="202">
        <v>3695</v>
      </c>
      <c r="AB189" s="202"/>
      <c r="AC189" s="202"/>
      <c r="AD189" s="202"/>
      <c r="AE189" s="207">
        <v>2026.61</v>
      </c>
      <c r="AF189" s="202">
        <v>2026.61</v>
      </c>
      <c r="AG189" s="202">
        <f t="shared" si="16"/>
        <v>-1668.39</v>
      </c>
      <c r="AI189" s="200">
        <v>3695</v>
      </c>
      <c r="AJ189" s="200">
        <v>3695</v>
      </c>
      <c r="AK189" s="200">
        <v>3695</v>
      </c>
      <c r="AL189" s="200">
        <f>IFERROR(VLOOKUP(B189,[2]rptBudgetaryBudgetCrossOrganiza!$A$5236:$O$5854,13,FALSE),"0")</f>
        <v>602.38</v>
      </c>
      <c r="AM189" s="200"/>
      <c r="AN189" s="200"/>
      <c r="AO189" s="200"/>
      <c r="AP189" s="200"/>
      <c r="AQ189" s="200">
        <f t="shared" si="17"/>
        <v>-3695</v>
      </c>
      <c r="AS189" s="169"/>
      <c r="AT189" s="169"/>
      <c r="AU189" s="169"/>
      <c r="AV189" s="169"/>
      <c r="AW189" s="169"/>
      <c r="AX189" s="169"/>
      <c r="AY189" s="169"/>
      <c r="AZ189" s="169"/>
    </row>
    <row r="190" spans="1:52" hidden="1" x14ac:dyDescent="0.2">
      <c r="A190" s="220">
        <v>4</v>
      </c>
      <c r="B190" s="170" t="s">
        <v>465</v>
      </c>
      <c r="C190" s="214">
        <v>40</v>
      </c>
      <c r="D190" s="214">
        <v>70</v>
      </c>
      <c r="E190" s="214">
        <v>600</v>
      </c>
      <c r="F190" s="170" t="str">
        <f t="shared" si="19"/>
        <v>5100.01</v>
      </c>
      <c r="G190" s="170" t="s">
        <v>179</v>
      </c>
      <c r="H190" s="168">
        <v>1110</v>
      </c>
      <c r="I190" s="168">
        <v>1110</v>
      </c>
      <c r="J190" s="168"/>
      <c r="K190" s="168"/>
      <c r="L190" s="168"/>
      <c r="M190" s="194">
        <v>1083.58</v>
      </c>
      <c r="N190" s="168">
        <v>1083.58</v>
      </c>
      <c r="O190" s="168">
        <f t="shared" si="20"/>
        <v>-26.420000000000073</v>
      </c>
      <c r="Q190" s="169">
        <v>1370</v>
      </c>
      <c r="R190" s="169">
        <v>1370</v>
      </c>
      <c r="S190" s="169"/>
      <c r="T190" s="169"/>
      <c r="U190" s="169"/>
      <c r="V190" s="169">
        <v>1104.0999999999999</v>
      </c>
      <c r="W190" s="169">
        <v>1104.0999999999999</v>
      </c>
      <c r="X190" s="169"/>
      <c r="Z190" s="202">
        <v>1695</v>
      </c>
      <c r="AA190" s="202">
        <v>1695</v>
      </c>
      <c r="AB190" s="202"/>
      <c r="AC190" s="202"/>
      <c r="AD190" s="202"/>
      <c r="AE190" s="207">
        <v>1113.1600000000001</v>
      </c>
      <c r="AF190" s="202">
        <v>1113.1600000000001</v>
      </c>
      <c r="AG190" s="202">
        <f t="shared" si="16"/>
        <v>-581.83999999999992</v>
      </c>
      <c r="AI190" s="200">
        <v>1695</v>
      </c>
      <c r="AJ190" s="200">
        <v>1695</v>
      </c>
      <c r="AK190" s="200">
        <v>1695</v>
      </c>
      <c r="AL190" s="200">
        <f>IFERROR(VLOOKUP(B190,[2]rptBudgetaryBudgetCrossOrganiza!$A$5236:$O$5854,13,FALSE),"0")</f>
        <v>314.11</v>
      </c>
      <c r="AM190" s="200"/>
      <c r="AN190" s="200"/>
      <c r="AO190" s="200"/>
      <c r="AP190" s="200"/>
      <c r="AQ190" s="200">
        <f t="shared" si="17"/>
        <v>-1695</v>
      </c>
      <c r="AS190" s="169"/>
      <c r="AT190" s="169"/>
      <c r="AU190" s="169"/>
      <c r="AV190" s="169"/>
      <c r="AW190" s="169"/>
      <c r="AX190" s="169"/>
      <c r="AY190" s="169"/>
      <c r="AZ190" s="169"/>
    </row>
    <row r="191" spans="1:52" hidden="1" x14ac:dyDescent="0.2">
      <c r="A191" s="220">
        <v>4</v>
      </c>
      <c r="B191" s="170" t="s">
        <v>466</v>
      </c>
      <c r="C191" s="214">
        <v>40</v>
      </c>
      <c r="D191" s="214">
        <v>70</v>
      </c>
      <c r="E191" s="214">
        <v>600</v>
      </c>
      <c r="F191" s="170" t="str">
        <f t="shared" si="19"/>
        <v>5100.02</v>
      </c>
      <c r="G191" s="170" t="s">
        <v>180</v>
      </c>
      <c r="H191" s="168">
        <v>2445</v>
      </c>
      <c r="I191" s="168">
        <v>2445</v>
      </c>
      <c r="J191" s="168"/>
      <c r="K191" s="168"/>
      <c r="L191" s="168"/>
      <c r="M191" s="194">
        <v>317</v>
      </c>
      <c r="N191" s="168">
        <v>317</v>
      </c>
      <c r="O191" s="168">
        <f t="shared" si="20"/>
        <v>-2128</v>
      </c>
      <c r="Q191" s="169">
        <v>1440</v>
      </c>
      <c r="R191" s="169">
        <v>1440</v>
      </c>
      <c r="S191" s="169"/>
      <c r="T191" s="169"/>
      <c r="U191" s="169"/>
      <c r="V191" s="169">
        <v>255.12</v>
      </c>
      <c r="W191" s="169">
        <v>255.12</v>
      </c>
      <c r="X191" s="169"/>
      <c r="Z191" s="202">
        <v>2490</v>
      </c>
      <c r="AA191" s="202">
        <v>2490</v>
      </c>
      <c r="AB191" s="202"/>
      <c r="AC191" s="202"/>
      <c r="AD191" s="202"/>
      <c r="AE191" s="207">
        <v>284.93</v>
      </c>
      <c r="AF191" s="202">
        <v>284.93</v>
      </c>
      <c r="AG191" s="202">
        <f t="shared" si="16"/>
        <v>-2205.0700000000002</v>
      </c>
      <c r="AI191" s="200">
        <v>2490</v>
      </c>
      <c r="AJ191" s="200">
        <v>2490</v>
      </c>
      <c r="AK191" s="200">
        <v>2490</v>
      </c>
      <c r="AL191" s="200">
        <f>IFERROR(VLOOKUP(B191,[2]rptBudgetaryBudgetCrossOrganiza!$A$5236:$O$5854,13,FALSE),"0")</f>
        <v>137.5</v>
      </c>
      <c r="AM191" s="200"/>
      <c r="AN191" s="200"/>
      <c r="AO191" s="200"/>
      <c r="AP191" s="200"/>
      <c r="AQ191" s="200">
        <f t="shared" si="17"/>
        <v>-2490</v>
      </c>
      <c r="AS191" s="169"/>
      <c r="AT191" s="169"/>
      <c r="AU191" s="169"/>
      <c r="AV191" s="169"/>
      <c r="AW191" s="169"/>
      <c r="AX191" s="169"/>
      <c r="AY191" s="169"/>
      <c r="AZ191" s="169"/>
    </row>
    <row r="192" spans="1:52" hidden="1" x14ac:dyDescent="0.2">
      <c r="A192" s="220">
        <v>4</v>
      </c>
      <c r="B192" s="170" t="s">
        <v>467</v>
      </c>
      <c r="C192" s="214">
        <v>40</v>
      </c>
      <c r="D192" s="214">
        <v>70</v>
      </c>
      <c r="E192" s="214">
        <v>600</v>
      </c>
      <c r="F192" s="170" t="str">
        <f t="shared" si="19"/>
        <v>5100.03</v>
      </c>
      <c r="G192" s="170" t="s">
        <v>181</v>
      </c>
      <c r="H192" s="168">
        <v>190</v>
      </c>
      <c r="I192" s="168">
        <v>190</v>
      </c>
      <c r="J192" s="168"/>
      <c r="K192" s="168"/>
      <c r="L192" s="168"/>
      <c r="M192" s="194">
        <v>181.44</v>
      </c>
      <c r="N192" s="168">
        <v>181.44</v>
      </c>
      <c r="O192" s="168">
        <f t="shared" si="20"/>
        <v>-8.5600000000000023</v>
      </c>
      <c r="Q192" s="169">
        <v>265</v>
      </c>
      <c r="R192" s="169">
        <v>265</v>
      </c>
      <c r="S192" s="169"/>
      <c r="T192" s="169"/>
      <c r="U192" s="169"/>
      <c r="V192" s="169">
        <v>166.72</v>
      </c>
      <c r="W192" s="169">
        <v>166.72</v>
      </c>
      <c r="X192" s="169"/>
      <c r="Z192" s="202">
        <v>340</v>
      </c>
      <c r="AA192" s="202">
        <v>340</v>
      </c>
      <c r="AB192" s="202"/>
      <c r="AC192" s="202"/>
      <c r="AD192" s="202"/>
      <c r="AE192" s="207">
        <v>176.97</v>
      </c>
      <c r="AF192" s="202">
        <v>176.97</v>
      </c>
      <c r="AG192" s="202">
        <f t="shared" si="16"/>
        <v>-163.03</v>
      </c>
      <c r="AI192" s="200">
        <v>340</v>
      </c>
      <c r="AJ192" s="200">
        <v>340</v>
      </c>
      <c r="AK192" s="200">
        <v>340</v>
      </c>
      <c r="AL192" s="200">
        <f>IFERROR(VLOOKUP(B192,[2]rptBudgetaryBudgetCrossOrganiza!$A$5236:$O$5854,13,FALSE),"0")</f>
        <v>49.95</v>
      </c>
      <c r="AM192" s="200"/>
      <c r="AN192" s="200"/>
      <c r="AO192" s="200"/>
      <c r="AP192" s="200"/>
      <c r="AQ192" s="200">
        <f t="shared" si="17"/>
        <v>-340</v>
      </c>
      <c r="AS192" s="169"/>
      <c r="AT192" s="169"/>
      <c r="AU192" s="169"/>
      <c r="AV192" s="169"/>
      <c r="AW192" s="169"/>
      <c r="AX192" s="169"/>
      <c r="AY192" s="169"/>
      <c r="AZ192" s="169"/>
    </row>
    <row r="193" spans="1:52" hidden="1" x14ac:dyDescent="0.2">
      <c r="A193" s="220">
        <v>4</v>
      </c>
      <c r="B193" s="170" t="s">
        <v>468</v>
      </c>
      <c r="C193" s="214">
        <v>40</v>
      </c>
      <c r="D193" s="214">
        <v>70</v>
      </c>
      <c r="E193" s="214">
        <v>600</v>
      </c>
      <c r="F193" s="170" t="str">
        <f t="shared" si="19"/>
        <v>5100.04</v>
      </c>
      <c r="G193" s="170" t="s">
        <v>182</v>
      </c>
      <c r="H193" s="168">
        <v>30</v>
      </c>
      <c r="I193" s="168">
        <v>30</v>
      </c>
      <c r="J193" s="168"/>
      <c r="K193" s="168"/>
      <c r="L193" s="168"/>
      <c r="M193" s="194">
        <v>28.56</v>
      </c>
      <c r="N193" s="168">
        <v>28.56</v>
      </c>
      <c r="O193" s="168">
        <f t="shared" si="20"/>
        <v>-1.4400000000000013</v>
      </c>
      <c r="Q193" s="169">
        <v>40</v>
      </c>
      <c r="R193" s="169">
        <v>40</v>
      </c>
      <c r="S193" s="169"/>
      <c r="T193" s="169"/>
      <c r="U193" s="169"/>
      <c r="V193" s="169">
        <v>28.56</v>
      </c>
      <c r="W193" s="169">
        <v>28.56</v>
      </c>
      <c r="X193" s="169"/>
      <c r="Z193" s="202">
        <v>55</v>
      </c>
      <c r="AA193" s="202">
        <v>55</v>
      </c>
      <c r="AB193" s="202"/>
      <c r="AC193" s="202"/>
      <c r="AD193" s="202"/>
      <c r="AE193" s="207">
        <v>28.56</v>
      </c>
      <c r="AF193" s="202">
        <v>28.56</v>
      </c>
      <c r="AG193" s="202">
        <f t="shared" si="16"/>
        <v>-26.44</v>
      </c>
      <c r="AI193" s="200">
        <v>55</v>
      </c>
      <c r="AJ193" s="200">
        <v>55</v>
      </c>
      <c r="AK193" s="200">
        <v>55</v>
      </c>
      <c r="AL193" s="200">
        <f>IFERROR(VLOOKUP(B193,[2]rptBudgetaryBudgetCrossOrganiza!$A$5236:$O$5854,13,FALSE),"0")</f>
        <v>8.1300000000000008</v>
      </c>
      <c r="AM193" s="200"/>
      <c r="AN193" s="200"/>
      <c r="AO193" s="200"/>
      <c r="AP193" s="200"/>
      <c r="AQ193" s="200">
        <f t="shared" si="17"/>
        <v>-55</v>
      </c>
      <c r="AS193" s="169"/>
      <c r="AT193" s="169"/>
      <c r="AU193" s="169"/>
      <c r="AV193" s="169"/>
      <c r="AW193" s="169"/>
      <c r="AX193" s="169"/>
      <c r="AY193" s="169"/>
      <c r="AZ193" s="169"/>
    </row>
    <row r="194" spans="1:52" hidden="1" x14ac:dyDescent="0.2">
      <c r="A194" s="220">
        <v>4</v>
      </c>
      <c r="B194" s="170" t="s">
        <v>469</v>
      </c>
      <c r="C194" s="214">
        <v>40</v>
      </c>
      <c r="D194" s="214">
        <v>70</v>
      </c>
      <c r="E194" s="214">
        <v>600</v>
      </c>
      <c r="F194" s="170" t="str">
        <f t="shared" si="19"/>
        <v>5100.05</v>
      </c>
      <c r="G194" s="170" t="s">
        <v>183</v>
      </c>
      <c r="H194" s="168">
        <v>20</v>
      </c>
      <c r="I194" s="168">
        <v>20</v>
      </c>
      <c r="J194" s="168"/>
      <c r="K194" s="168"/>
      <c r="L194" s="168"/>
      <c r="M194" s="194">
        <v>19.2</v>
      </c>
      <c r="N194" s="168">
        <v>19.2</v>
      </c>
      <c r="O194" s="168">
        <f t="shared" si="20"/>
        <v>-0.80000000000000071</v>
      </c>
      <c r="Q194" s="169">
        <v>20</v>
      </c>
      <c r="R194" s="169">
        <v>20</v>
      </c>
      <c r="S194" s="169"/>
      <c r="T194" s="169"/>
      <c r="U194" s="169"/>
      <c r="V194" s="169">
        <v>19.920000000000002</v>
      </c>
      <c r="W194" s="169">
        <v>19.920000000000002</v>
      </c>
      <c r="X194" s="169"/>
      <c r="Z194" s="202">
        <v>60</v>
      </c>
      <c r="AA194" s="202">
        <v>60</v>
      </c>
      <c r="AB194" s="202"/>
      <c r="AC194" s="202"/>
      <c r="AD194" s="202"/>
      <c r="AE194" s="207">
        <v>19.920000000000002</v>
      </c>
      <c r="AF194" s="202">
        <v>19.920000000000002</v>
      </c>
      <c r="AG194" s="202">
        <f t="shared" si="16"/>
        <v>-40.08</v>
      </c>
      <c r="AI194" s="200">
        <v>60</v>
      </c>
      <c r="AJ194" s="200">
        <v>60</v>
      </c>
      <c r="AK194" s="200">
        <v>60</v>
      </c>
      <c r="AL194" s="200">
        <f>IFERROR(VLOOKUP(B194,[2]rptBudgetaryBudgetCrossOrganiza!$A$5236:$O$5854,13,FALSE),"0")</f>
        <v>4.92</v>
      </c>
      <c r="AM194" s="200"/>
      <c r="AN194" s="200"/>
      <c r="AO194" s="200"/>
      <c r="AP194" s="200"/>
      <c r="AQ194" s="200">
        <f t="shared" si="17"/>
        <v>-60</v>
      </c>
      <c r="AS194" s="169"/>
      <c r="AT194" s="169"/>
      <c r="AU194" s="169"/>
      <c r="AV194" s="169"/>
      <c r="AW194" s="169"/>
      <c r="AX194" s="169"/>
      <c r="AY194" s="169"/>
      <c r="AZ194" s="169"/>
    </row>
    <row r="195" spans="1:52" hidden="1" x14ac:dyDescent="0.2">
      <c r="A195" s="220">
        <v>4</v>
      </c>
      <c r="B195" s="170" t="s">
        <v>470</v>
      </c>
      <c r="C195" s="214">
        <v>40</v>
      </c>
      <c r="D195" s="214">
        <v>70</v>
      </c>
      <c r="E195" s="214">
        <v>600</v>
      </c>
      <c r="F195" s="170" t="str">
        <f t="shared" si="19"/>
        <v>5100.06</v>
      </c>
      <c r="G195" s="170" t="s">
        <v>184</v>
      </c>
      <c r="H195" s="168">
        <v>270</v>
      </c>
      <c r="I195" s="168">
        <v>270</v>
      </c>
      <c r="J195" s="168"/>
      <c r="K195" s="168"/>
      <c r="L195" s="168"/>
      <c r="M195" s="194">
        <v>270</v>
      </c>
      <c r="N195" s="168">
        <v>270</v>
      </c>
      <c r="O195" s="168">
        <f t="shared" si="20"/>
        <v>0</v>
      </c>
      <c r="Q195" s="169">
        <v>310</v>
      </c>
      <c r="R195" s="169">
        <v>310</v>
      </c>
      <c r="S195" s="169"/>
      <c r="T195" s="169"/>
      <c r="U195" s="169"/>
      <c r="V195" s="169">
        <v>-331.53</v>
      </c>
      <c r="W195" s="169">
        <v>-331.53</v>
      </c>
      <c r="X195" s="169"/>
      <c r="Z195" s="202">
        <v>430</v>
      </c>
      <c r="AA195" s="202">
        <v>430</v>
      </c>
      <c r="AB195" s="202"/>
      <c r="AC195" s="202"/>
      <c r="AD195" s="202"/>
      <c r="AE195" s="207">
        <v>143.32</v>
      </c>
      <c r="AF195" s="202">
        <v>143.32</v>
      </c>
      <c r="AG195" s="202">
        <f t="shared" si="16"/>
        <v>-286.68</v>
      </c>
      <c r="AI195" s="200">
        <v>760</v>
      </c>
      <c r="AJ195" s="200">
        <v>760</v>
      </c>
      <c r="AK195" s="200">
        <v>760</v>
      </c>
      <c r="AL195" s="200">
        <f>IFERROR(VLOOKUP(B195,[2]rptBudgetaryBudgetCrossOrganiza!$A$5236:$O$5854,13,FALSE),"0")</f>
        <v>0</v>
      </c>
      <c r="AM195" s="200"/>
      <c r="AN195" s="200"/>
      <c r="AO195" s="200"/>
      <c r="AP195" s="200"/>
      <c r="AQ195" s="200">
        <f t="shared" ref="AQ195:AQ206" si="21">AP195-AJ195</f>
        <v>-760</v>
      </c>
      <c r="AS195" s="169"/>
      <c r="AT195" s="169"/>
      <c r="AU195" s="169"/>
      <c r="AV195" s="169"/>
      <c r="AW195" s="169"/>
      <c r="AX195" s="169"/>
      <c r="AY195" s="169"/>
      <c r="AZ195" s="169"/>
    </row>
    <row r="196" spans="1:52" hidden="1" x14ac:dyDescent="0.2">
      <c r="A196" s="220">
        <v>4</v>
      </c>
      <c r="B196" s="170" t="s">
        <v>471</v>
      </c>
      <c r="C196" s="214">
        <v>40</v>
      </c>
      <c r="D196" s="214">
        <v>70</v>
      </c>
      <c r="E196" s="214">
        <v>600</v>
      </c>
      <c r="F196" s="170" t="str">
        <f t="shared" si="19"/>
        <v>5100.07</v>
      </c>
      <c r="G196" s="170" t="s">
        <v>185</v>
      </c>
      <c r="H196" s="168">
        <v>70</v>
      </c>
      <c r="I196" s="168">
        <v>70</v>
      </c>
      <c r="J196" s="168"/>
      <c r="K196" s="168"/>
      <c r="L196" s="168"/>
      <c r="M196" s="194">
        <v>51.44</v>
      </c>
      <c r="N196" s="168">
        <v>51.44</v>
      </c>
      <c r="O196" s="168">
        <f t="shared" si="20"/>
        <v>-18.560000000000002</v>
      </c>
      <c r="Q196" s="169">
        <v>110</v>
      </c>
      <c r="R196" s="169">
        <v>110</v>
      </c>
      <c r="S196" s="169"/>
      <c r="T196" s="169"/>
      <c r="U196" s="169"/>
      <c r="V196" s="169">
        <v>51.2</v>
      </c>
      <c r="W196" s="169">
        <v>51.2</v>
      </c>
      <c r="X196" s="169"/>
      <c r="Z196" s="202">
        <v>140</v>
      </c>
      <c r="AA196" s="202">
        <v>140</v>
      </c>
      <c r="AB196" s="202"/>
      <c r="AC196" s="202"/>
      <c r="AD196" s="202"/>
      <c r="AE196" s="207">
        <v>51.52</v>
      </c>
      <c r="AF196" s="202">
        <v>51.52</v>
      </c>
      <c r="AG196" s="202">
        <f t="shared" si="16"/>
        <v>-88.47999999999999</v>
      </c>
      <c r="AI196" s="200">
        <v>57</v>
      </c>
      <c r="AJ196" s="200">
        <v>57</v>
      </c>
      <c r="AK196" s="200">
        <v>57</v>
      </c>
      <c r="AL196" s="200">
        <f>IFERROR(VLOOKUP(B196,[2]rptBudgetaryBudgetCrossOrganiza!$A$5236:$O$5854,13,FALSE),"0")</f>
        <v>12.66</v>
      </c>
      <c r="AM196" s="200"/>
      <c r="AN196" s="200"/>
      <c r="AO196" s="200"/>
      <c r="AP196" s="200"/>
      <c r="AQ196" s="200">
        <f t="shared" si="21"/>
        <v>-57</v>
      </c>
      <c r="AS196" s="169"/>
      <c r="AT196" s="169"/>
      <c r="AU196" s="169"/>
      <c r="AV196" s="169"/>
      <c r="AW196" s="169"/>
      <c r="AX196" s="169"/>
      <c r="AY196" s="169"/>
      <c r="AZ196" s="169"/>
    </row>
    <row r="197" spans="1:52" hidden="1" x14ac:dyDescent="0.2">
      <c r="A197" s="220">
        <v>4</v>
      </c>
      <c r="B197" s="170" t="s">
        <v>472</v>
      </c>
      <c r="C197" s="214">
        <v>40</v>
      </c>
      <c r="D197" s="214">
        <v>70</v>
      </c>
      <c r="E197" s="214">
        <v>600</v>
      </c>
      <c r="F197" s="170" t="str">
        <f t="shared" si="19"/>
        <v>5100.08</v>
      </c>
      <c r="G197" s="170" t="s">
        <v>186</v>
      </c>
      <c r="H197" s="168">
        <v>800</v>
      </c>
      <c r="I197" s="168">
        <v>800</v>
      </c>
      <c r="J197" s="168"/>
      <c r="K197" s="168"/>
      <c r="L197" s="168"/>
      <c r="M197" s="194">
        <v>959.54</v>
      </c>
      <c r="N197" s="168">
        <v>959.54</v>
      </c>
      <c r="O197" s="168">
        <f t="shared" si="20"/>
        <v>159.53999999999996</v>
      </c>
      <c r="Q197" s="169">
        <v>980</v>
      </c>
      <c r="R197" s="169">
        <v>980</v>
      </c>
      <c r="S197" s="169"/>
      <c r="T197" s="169"/>
      <c r="U197" s="169"/>
      <c r="V197" s="169">
        <v>959.24</v>
      </c>
      <c r="W197" s="169">
        <v>959.24</v>
      </c>
      <c r="X197" s="169"/>
      <c r="Z197" s="202">
        <v>985</v>
      </c>
      <c r="AA197" s="202">
        <v>985</v>
      </c>
      <c r="AB197" s="202"/>
      <c r="AC197" s="202"/>
      <c r="AD197" s="202"/>
      <c r="AE197" s="207">
        <v>1000.28</v>
      </c>
      <c r="AF197" s="202">
        <v>1000.28</v>
      </c>
      <c r="AG197" s="202">
        <f t="shared" si="16"/>
        <v>15.279999999999973</v>
      </c>
      <c r="AI197" s="200">
        <v>997</v>
      </c>
      <c r="AJ197" s="200">
        <v>997</v>
      </c>
      <c r="AK197" s="200">
        <v>997</v>
      </c>
      <c r="AL197" s="200">
        <f>IFERROR(VLOOKUP(B197,[2]rptBudgetaryBudgetCrossOrganiza!$A$5236:$O$5854,13,FALSE),"0")</f>
        <v>244.53</v>
      </c>
      <c r="AM197" s="200"/>
      <c r="AN197" s="200"/>
      <c r="AO197" s="200"/>
      <c r="AP197" s="200"/>
      <c r="AQ197" s="200">
        <f t="shared" si="21"/>
        <v>-997</v>
      </c>
      <c r="AS197" s="169"/>
      <c r="AT197" s="169"/>
      <c r="AU197" s="169"/>
      <c r="AV197" s="169"/>
      <c r="AW197" s="169"/>
      <c r="AX197" s="169"/>
      <c r="AY197" s="169"/>
      <c r="AZ197" s="169"/>
    </row>
    <row r="198" spans="1:52" hidden="1" x14ac:dyDescent="0.2">
      <c r="A198" s="220">
        <v>4</v>
      </c>
      <c r="B198" s="170" t="s">
        <v>473</v>
      </c>
      <c r="C198" s="214">
        <v>40</v>
      </c>
      <c r="D198" s="214">
        <v>70</v>
      </c>
      <c r="E198" s="214">
        <v>600</v>
      </c>
      <c r="F198" s="170" t="str">
        <f t="shared" si="19"/>
        <v>5100.09</v>
      </c>
      <c r="G198" s="170" t="s">
        <v>187</v>
      </c>
      <c r="H198" s="168">
        <v>0</v>
      </c>
      <c r="I198" s="168">
        <v>0</v>
      </c>
      <c r="J198" s="168"/>
      <c r="K198" s="168"/>
      <c r="L198" s="168"/>
      <c r="M198" s="194">
        <v>0</v>
      </c>
      <c r="N198" s="168">
        <v>0</v>
      </c>
      <c r="O198" s="168">
        <f t="shared" si="20"/>
        <v>0</v>
      </c>
      <c r="Q198" s="169">
        <v>0</v>
      </c>
      <c r="R198" s="169">
        <v>0</v>
      </c>
      <c r="S198" s="169"/>
      <c r="T198" s="169"/>
      <c r="U198" s="169"/>
      <c r="V198" s="169">
        <v>0</v>
      </c>
      <c r="W198" s="169">
        <v>0</v>
      </c>
      <c r="X198" s="169"/>
      <c r="Z198" s="202">
        <v>0</v>
      </c>
      <c r="AA198" s="202">
        <v>0</v>
      </c>
      <c r="AB198" s="202"/>
      <c r="AC198" s="202"/>
      <c r="AD198" s="202"/>
      <c r="AE198" s="207">
        <v>0</v>
      </c>
      <c r="AF198" s="202">
        <v>0</v>
      </c>
      <c r="AG198" s="202">
        <f t="shared" si="16"/>
        <v>0</v>
      </c>
      <c r="AI198" s="200">
        <v>0</v>
      </c>
      <c r="AJ198" s="200">
        <v>0</v>
      </c>
      <c r="AK198" s="200"/>
      <c r="AL198" s="200">
        <f>IFERROR(VLOOKUP(B198,[2]rptBudgetaryBudgetCrossOrganiza!$A$5236:$O$5854,13,FALSE),"0")</f>
        <v>0</v>
      </c>
      <c r="AM198" s="200"/>
      <c r="AN198" s="200"/>
      <c r="AO198" s="200"/>
      <c r="AP198" s="200"/>
      <c r="AQ198" s="200">
        <f t="shared" si="21"/>
        <v>0</v>
      </c>
      <c r="AS198" s="169"/>
      <c r="AT198" s="169"/>
      <c r="AU198" s="169"/>
      <c r="AV198" s="169"/>
      <c r="AW198" s="169"/>
      <c r="AX198" s="169"/>
      <c r="AY198" s="169"/>
      <c r="AZ198" s="169"/>
    </row>
    <row r="199" spans="1:52" hidden="1" x14ac:dyDescent="0.2">
      <c r="A199" s="220">
        <v>4</v>
      </c>
      <c r="B199" s="223" t="s">
        <v>474</v>
      </c>
      <c r="C199" s="214">
        <v>40</v>
      </c>
      <c r="D199" s="214">
        <v>70</v>
      </c>
      <c r="E199" s="214">
        <v>600</v>
      </c>
      <c r="F199" s="170" t="str">
        <f t="shared" si="19"/>
        <v>5100.10</v>
      </c>
      <c r="G199" s="223" t="s">
        <v>188</v>
      </c>
      <c r="H199" s="168">
        <v>0</v>
      </c>
      <c r="I199" s="168">
        <v>0</v>
      </c>
      <c r="J199" s="168"/>
      <c r="K199" s="168"/>
      <c r="L199" s="168"/>
      <c r="M199" s="194">
        <v>0</v>
      </c>
      <c r="N199" s="168">
        <v>0</v>
      </c>
      <c r="O199" s="168">
        <f t="shared" si="20"/>
        <v>0</v>
      </c>
      <c r="Q199" s="169">
        <v>0</v>
      </c>
      <c r="R199" s="169">
        <v>0</v>
      </c>
      <c r="S199" s="169"/>
      <c r="T199" s="169"/>
      <c r="U199" s="169"/>
      <c r="V199" s="169">
        <v>0</v>
      </c>
      <c r="W199" s="169">
        <v>0</v>
      </c>
      <c r="X199" s="169">
        <f t="shared" si="15"/>
        <v>0</v>
      </c>
      <c r="Z199" s="202">
        <v>0</v>
      </c>
      <c r="AA199" s="202">
        <v>0</v>
      </c>
      <c r="AB199" s="202"/>
      <c r="AC199" s="202"/>
      <c r="AD199" s="202"/>
      <c r="AE199" s="207">
        <v>60</v>
      </c>
      <c r="AF199" s="202">
        <v>60</v>
      </c>
      <c r="AG199" s="202">
        <f t="shared" si="16"/>
        <v>60</v>
      </c>
      <c r="AI199" s="200">
        <v>66</v>
      </c>
      <c r="AJ199" s="200">
        <v>66</v>
      </c>
      <c r="AK199" s="200">
        <v>66</v>
      </c>
      <c r="AL199" s="200">
        <f>IFERROR(VLOOKUP(B199,[2]rptBudgetaryBudgetCrossOrganiza!$A$5236:$O$5854,13,FALSE),"0")</f>
        <v>0</v>
      </c>
      <c r="AM199" s="200"/>
      <c r="AN199" s="200"/>
      <c r="AO199" s="200"/>
      <c r="AP199" s="200"/>
      <c r="AQ199" s="200">
        <f t="shared" si="21"/>
        <v>-66</v>
      </c>
      <c r="AS199" s="169"/>
      <c r="AT199" s="169"/>
      <c r="AU199" s="169"/>
      <c r="AV199" s="169"/>
      <c r="AW199" s="169"/>
      <c r="AX199" s="169"/>
      <c r="AY199" s="169"/>
      <c r="AZ199" s="169">
        <f t="shared" ref="AZ199:AZ202" si="22">AY199-AT199</f>
        <v>0</v>
      </c>
    </row>
    <row r="200" spans="1:52" hidden="1" x14ac:dyDescent="0.2">
      <c r="A200" s="220">
        <v>4</v>
      </c>
      <c r="B200" s="223" t="s">
        <v>475</v>
      </c>
      <c r="C200" s="214">
        <v>40</v>
      </c>
      <c r="D200" s="214">
        <v>70</v>
      </c>
      <c r="E200" s="214">
        <v>600</v>
      </c>
      <c r="F200" s="170" t="str">
        <f t="shared" si="19"/>
        <v>5100.11</v>
      </c>
      <c r="G200" s="223" t="s">
        <v>189</v>
      </c>
      <c r="H200" s="168">
        <v>160</v>
      </c>
      <c r="I200" s="168">
        <v>160</v>
      </c>
      <c r="J200" s="168"/>
      <c r="K200" s="168"/>
      <c r="L200" s="168"/>
      <c r="M200" s="194">
        <v>154.52000000000001</v>
      </c>
      <c r="N200" s="168">
        <v>154.52000000000001</v>
      </c>
      <c r="O200" s="168">
        <f t="shared" si="20"/>
        <v>-5.4799999999999898</v>
      </c>
      <c r="Q200" s="169">
        <v>235</v>
      </c>
      <c r="R200" s="169">
        <v>235</v>
      </c>
      <c r="S200" s="169"/>
      <c r="T200" s="169"/>
      <c r="U200" s="169"/>
      <c r="V200" s="169">
        <v>151.76</v>
      </c>
      <c r="W200" s="169">
        <v>151.76</v>
      </c>
      <c r="X200" s="169">
        <f t="shared" si="15"/>
        <v>-83.240000000000009</v>
      </c>
      <c r="Z200" s="202">
        <v>380</v>
      </c>
      <c r="AA200" s="202">
        <v>380</v>
      </c>
      <c r="AB200" s="202"/>
      <c r="AC200" s="202"/>
      <c r="AD200" s="202"/>
      <c r="AE200" s="207">
        <v>200.83</v>
      </c>
      <c r="AF200" s="202">
        <v>200.83</v>
      </c>
      <c r="AG200" s="202">
        <f t="shared" si="16"/>
        <v>-179.17</v>
      </c>
      <c r="AI200" s="200">
        <v>380</v>
      </c>
      <c r="AJ200" s="200">
        <v>380</v>
      </c>
      <c r="AK200" s="200">
        <v>380</v>
      </c>
      <c r="AL200" s="200">
        <f>IFERROR(VLOOKUP(B200,[2]rptBudgetaryBudgetCrossOrganiza!$A$5236:$O$5854,13,FALSE),"0")</f>
        <v>49.1</v>
      </c>
      <c r="AM200" s="200"/>
      <c r="AN200" s="200"/>
      <c r="AO200" s="200"/>
      <c r="AP200" s="200"/>
      <c r="AQ200" s="200">
        <f t="shared" si="21"/>
        <v>-380</v>
      </c>
      <c r="AS200" s="169"/>
      <c r="AT200" s="169"/>
      <c r="AU200" s="169"/>
      <c r="AV200" s="169"/>
      <c r="AW200" s="169"/>
      <c r="AX200" s="169"/>
      <c r="AY200" s="169"/>
      <c r="AZ200" s="169">
        <f t="shared" si="22"/>
        <v>0</v>
      </c>
    </row>
    <row r="201" spans="1:52" hidden="1" x14ac:dyDescent="0.2">
      <c r="A201" s="220">
        <v>4</v>
      </c>
      <c r="B201" s="223" t="s">
        <v>476</v>
      </c>
      <c r="C201" s="214">
        <v>40</v>
      </c>
      <c r="D201" s="214">
        <v>70</v>
      </c>
      <c r="E201" s="214">
        <v>600</v>
      </c>
      <c r="F201" s="170" t="str">
        <f t="shared" si="19"/>
        <v>5100.12</v>
      </c>
      <c r="G201" s="223" t="s">
        <v>190</v>
      </c>
      <c r="H201" s="168">
        <v>0</v>
      </c>
      <c r="I201" s="168">
        <v>0</v>
      </c>
      <c r="J201" s="168"/>
      <c r="K201" s="168"/>
      <c r="L201" s="168"/>
      <c r="M201" s="194">
        <v>0</v>
      </c>
      <c r="N201" s="168">
        <v>0</v>
      </c>
      <c r="O201" s="168">
        <f t="shared" si="20"/>
        <v>0</v>
      </c>
      <c r="Q201" s="169">
        <v>0</v>
      </c>
      <c r="R201" s="169">
        <v>0</v>
      </c>
      <c r="S201" s="169"/>
      <c r="T201" s="169"/>
      <c r="U201" s="169"/>
      <c r="V201" s="169">
        <v>0</v>
      </c>
      <c r="W201" s="169">
        <v>0</v>
      </c>
      <c r="X201" s="169">
        <f t="shared" si="15"/>
        <v>0</v>
      </c>
      <c r="Z201" s="202">
        <v>0</v>
      </c>
      <c r="AA201" s="202">
        <v>0</v>
      </c>
      <c r="AB201" s="202"/>
      <c r="AC201" s="202"/>
      <c r="AD201" s="202"/>
      <c r="AE201" s="207">
        <v>0</v>
      </c>
      <c r="AF201" s="202">
        <v>0</v>
      </c>
      <c r="AG201" s="202">
        <f t="shared" ref="AG201:AG203" si="23">AF200-AA201</f>
        <v>200.83</v>
      </c>
      <c r="AI201" s="200">
        <v>0</v>
      </c>
      <c r="AJ201" s="200">
        <v>0</v>
      </c>
      <c r="AK201" s="200"/>
      <c r="AL201" s="200">
        <f>IFERROR(VLOOKUP(B201,[2]rptBudgetaryBudgetCrossOrganiza!$A$5236:$O$5854,13,FALSE),"0")</f>
        <v>0</v>
      </c>
      <c r="AM201" s="200"/>
      <c r="AN201" s="200"/>
      <c r="AO201" s="200"/>
      <c r="AP201" s="200"/>
      <c r="AQ201" s="200">
        <f t="shared" si="21"/>
        <v>0</v>
      </c>
      <c r="AS201" s="169"/>
      <c r="AT201" s="169"/>
      <c r="AU201" s="169"/>
      <c r="AV201" s="169"/>
      <c r="AW201" s="169"/>
      <c r="AX201" s="169"/>
      <c r="AY201" s="169"/>
      <c r="AZ201" s="169">
        <f t="shared" si="22"/>
        <v>0</v>
      </c>
    </row>
    <row r="202" spans="1:52" hidden="1" x14ac:dyDescent="0.2">
      <c r="A202" s="220">
        <v>4</v>
      </c>
      <c r="B202" s="223" t="s">
        <v>477</v>
      </c>
      <c r="C202" s="214">
        <v>40</v>
      </c>
      <c r="D202" s="214">
        <v>70</v>
      </c>
      <c r="E202" s="214">
        <v>600</v>
      </c>
      <c r="F202" s="170" t="str">
        <f t="shared" si="19"/>
        <v>5100.13</v>
      </c>
      <c r="G202" s="223" t="s">
        <v>191</v>
      </c>
      <c r="H202" s="168">
        <v>0</v>
      </c>
      <c r="I202" s="168">
        <v>0</v>
      </c>
      <c r="J202" s="168"/>
      <c r="K202" s="168"/>
      <c r="L202" s="168"/>
      <c r="M202" s="194">
        <v>0</v>
      </c>
      <c r="N202" s="168">
        <v>0</v>
      </c>
      <c r="O202" s="168">
        <f t="shared" si="20"/>
        <v>0</v>
      </c>
      <c r="Q202" s="169">
        <v>0</v>
      </c>
      <c r="R202" s="169">
        <v>0</v>
      </c>
      <c r="S202" s="169"/>
      <c r="T202" s="169"/>
      <c r="U202" s="169"/>
      <c r="V202" s="169">
        <v>0</v>
      </c>
      <c r="W202" s="169">
        <v>0</v>
      </c>
      <c r="X202" s="169">
        <f t="shared" si="15"/>
        <v>0</v>
      </c>
      <c r="Z202" s="202">
        <v>0</v>
      </c>
      <c r="AA202" s="202">
        <v>0</v>
      </c>
      <c r="AB202" s="202"/>
      <c r="AC202" s="202"/>
      <c r="AD202" s="202"/>
      <c r="AE202" s="207">
        <v>0</v>
      </c>
      <c r="AF202" s="202">
        <v>0</v>
      </c>
      <c r="AG202" s="202">
        <f t="shared" si="23"/>
        <v>0</v>
      </c>
      <c r="AI202" s="200">
        <v>0</v>
      </c>
      <c r="AJ202" s="200">
        <v>0</v>
      </c>
      <c r="AK202" s="200"/>
      <c r="AL202" s="200">
        <f>IFERROR(VLOOKUP(B202,[2]rptBudgetaryBudgetCrossOrganiza!$A$5236:$O$5854,13,FALSE),"0")</f>
        <v>0</v>
      </c>
      <c r="AM202" s="200"/>
      <c r="AN202" s="200"/>
      <c r="AO202" s="200"/>
      <c r="AP202" s="200"/>
      <c r="AQ202" s="200">
        <f t="shared" si="21"/>
        <v>0</v>
      </c>
      <c r="AS202" s="169"/>
      <c r="AT202" s="169"/>
      <c r="AU202" s="169"/>
      <c r="AV202" s="169"/>
      <c r="AW202" s="169"/>
      <c r="AX202" s="169"/>
      <c r="AY202" s="169"/>
      <c r="AZ202" s="169">
        <f t="shared" si="22"/>
        <v>0</v>
      </c>
    </row>
    <row r="203" spans="1:52" hidden="1" x14ac:dyDescent="0.2">
      <c r="A203" s="220">
        <v>4</v>
      </c>
      <c r="B203" s="223" t="s">
        <v>478</v>
      </c>
      <c r="C203" s="214">
        <v>40</v>
      </c>
      <c r="D203" s="214">
        <v>70</v>
      </c>
      <c r="E203" s="214">
        <v>600</v>
      </c>
      <c r="F203" s="170" t="str">
        <f t="shared" si="19"/>
        <v>5100.15</v>
      </c>
      <c r="G203" s="223" t="s">
        <v>193</v>
      </c>
      <c r="H203" s="168">
        <v>0</v>
      </c>
      <c r="I203" s="168">
        <v>0</v>
      </c>
      <c r="J203" s="168"/>
      <c r="K203" s="168"/>
      <c r="L203" s="168"/>
      <c r="M203" s="194">
        <v>0</v>
      </c>
      <c r="N203" s="168">
        <v>0</v>
      </c>
      <c r="O203" s="168">
        <f t="shared" si="20"/>
        <v>0</v>
      </c>
      <c r="Q203" s="169">
        <v>0</v>
      </c>
      <c r="R203" s="169">
        <v>0</v>
      </c>
      <c r="S203" s="169"/>
      <c r="T203" s="169"/>
      <c r="U203" s="169"/>
      <c r="V203" s="169">
        <v>0</v>
      </c>
      <c r="W203" s="169">
        <v>0</v>
      </c>
      <c r="X203" s="169"/>
      <c r="Z203" s="202">
        <v>55</v>
      </c>
      <c r="AA203" s="202">
        <v>55</v>
      </c>
      <c r="AB203" s="202"/>
      <c r="AC203" s="202"/>
      <c r="AD203" s="202"/>
      <c r="AE203" s="207">
        <v>115.7</v>
      </c>
      <c r="AF203" s="202">
        <v>115.7</v>
      </c>
      <c r="AG203" s="202">
        <f t="shared" si="23"/>
        <v>-55</v>
      </c>
      <c r="AI203" s="200">
        <v>55</v>
      </c>
      <c r="AJ203" s="200">
        <v>55</v>
      </c>
      <c r="AK203" s="200">
        <v>55</v>
      </c>
      <c r="AL203" s="200">
        <f>IFERROR(VLOOKUP(B203,[2]rptBudgetaryBudgetCrossOrganiza!$A$5236:$O$5854,13,FALSE),"0")</f>
        <v>26.7</v>
      </c>
      <c r="AM203" s="200"/>
      <c r="AN203" s="200"/>
      <c r="AO203" s="200"/>
      <c r="AP203" s="200"/>
      <c r="AQ203" s="200">
        <f t="shared" si="21"/>
        <v>-55</v>
      </c>
      <c r="AS203" s="169"/>
      <c r="AT203" s="169"/>
      <c r="AU203" s="169"/>
      <c r="AV203" s="169"/>
      <c r="AW203" s="169"/>
      <c r="AX203" s="169"/>
      <c r="AY203" s="169"/>
      <c r="AZ203" s="169"/>
    </row>
    <row r="204" spans="1:52" hidden="1" x14ac:dyDescent="0.2">
      <c r="A204" s="220">
        <v>4</v>
      </c>
      <c r="B204" s="223" t="s">
        <v>479</v>
      </c>
      <c r="C204" s="214">
        <v>40</v>
      </c>
      <c r="D204" s="214">
        <v>70</v>
      </c>
      <c r="E204" s="214">
        <v>600</v>
      </c>
      <c r="F204" s="170" t="str">
        <f t="shared" si="19"/>
        <v>5100.16</v>
      </c>
      <c r="G204" s="223" t="s">
        <v>194</v>
      </c>
      <c r="H204" s="168">
        <v>0</v>
      </c>
      <c r="I204" s="168">
        <v>0</v>
      </c>
      <c r="J204" s="168"/>
      <c r="K204" s="168"/>
      <c r="L204" s="168"/>
      <c r="M204" s="194">
        <v>0</v>
      </c>
      <c r="N204" s="168">
        <v>0</v>
      </c>
      <c r="O204" s="168">
        <f t="shared" si="20"/>
        <v>0</v>
      </c>
      <c r="Q204" s="169">
        <v>0</v>
      </c>
      <c r="R204" s="169">
        <v>0</v>
      </c>
      <c r="S204" s="169"/>
      <c r="T204" s="169"/>
      <c r="U204" s="169"/>
      <c r="V204" s="169">
        <v>0</v>
      </c>
      <c r="W204" s="169">
        <v>0</v>
      </c>
      <c r="X204" s="169">
        <f t="shared" si="15"/>
        <v>0</v>
      </c>
      <c r="Z204" s="202">
        <v>0</v>
      </c>
      <c r="AA204" s="202">
        <v>0</v>
      </c>
      <c r="AB204" s="202"/>
      <c r="AC204" s="202"/>
      <c r="AD204" s="202"/>
      <c r="AE204" s="207">
        <v>0</v>
      </c>
      <c r="AF204" s="202">
        <v>0</v>
      </c>
      <c r="AG204" s="202">
        <f t="shared" si="16"/>
        <v>0</v>
      </c>
      <c r="AI204" s="200">
        <v>0</v>
      </c>
      <c r="AJ204" s="200">
        <v>0</v>
      </c>
      <c r="AK204" s="200"/>
      <c r="AL204" s="200">
        <f>IFERROR(VLOOKUP(B204,[2]rptBudgetaryBudgetCrossOrganiza!$A$5236:$O$5854,13,FALSE),"0")</f>
        <v>0</v>
      </c>
      <c r="AM204" s="200"/>
      <c r="AN204" s="200"/>
      <c r="AO204" s="200"/>
      <c r="AP204" s="200"/>
      <c r="AQ204" s="200">
        <f t="shared" si="21"/>
        <v>0</v>
      </c>
      <c r="AS204" s="169"/>
      <c r="AT204" s="169"/>
      <c r="AU204" s="169"/>
      <c r="AV204" s="169"/>
      <c r="AW204" s="169"/>
      <c r="AX204" s="169"/>
      <c r="AY204" s="169"/>
      <c r="AZ204" s="169">
        <f t="shared" ref="AZ204:AZ206" si="24">AY204-AT204</f>
        <v>0</v>
      </c>
    </row>
    <row r="205" spans="1:52" hidden="1" x14ac:dyDescent="0.2">
      <c r="A205" s="220">
        <v>4</v>
      </c>
      <c r="B205" s="223" t="s">
        <v>480</v>
      </c>
      <c r="C205" s="214">
        <v>40</v>
      </c>
      <c r="D205" s="214">
        <v>70</v>
      </c>
      <c r="E205" s="214">
        <v>600</v>
      </c>
      <c r="F205" s="170" t="str">
        <f t="shared" si="19"/>
        <v>5100.17</v>
      </c>
      <c r="G205" s="223" t="s">
        <v>300</v>
      </c>
      <c r="H205" s="168">
        <v>0</v>
      </c>
      <c r="I205" s="168">
        <v>0</v>
      </c>
      <c r="J205" s="168"/>
      <c r="K205" s="168"/>
      <c r="L205" s="168"/>
      <c r="M205" s="194">
        <v>0</v>
      </c>
      <c r="N205" s="168">
        <v>0</v>
      </c>
      <c r="O205" s="168">
        <f t="shared" si="20"/>
        <v>0</v>
      </c>
      <c r="Q205" s="169">
        <v>0</v>
      </c>
      <c r="R205" s="169">
        <v>0</v>
      </c>
      <c r="S205" s="169"/>
      <c r="T205" s="169"/>
      <c r="U205" s="169"/>
      <c r="V205" s="169">
        <v>0</v>
      </c>
      <c r="W205" s="169">
        <v>0</v>
      </c>
      <c r="X205" s="169">
        <f t="shared" si="15"/>
        <v>0</v>
      </c>
      <c r="Z205" s="202">
        <v>0</v>
      </c>
      <c r="AA205" s="202">
        <v>0</v>
      </c>
      <c r="AB205" s="202"/>
      <c r="AC205" s="202"/>
      <c r="AD205" s="202"/>
      <c r="AE205" s="207">
        <v>0</v>
      </c>
      <c r="AF205" s="202">
        <v>0</v>
      </c>
      <c r="AG205" s="202">
        <f t="shared" si="16"/>
        <v>0</v>
      </c>
      <c r="AI205" s="200">
        <v>0</v>
      </c>
      <c r="AJ205" s="200">
        <v>0</v>
      </c>
      <c r="AK205" s="200"/>
      <c r="AL205" s="200">
        <f>IFERROR(VLOOKUP(B205,[2]rptBudgetaryBudgetCrossOrganiza!$A$5236:$O$5854,13,FALSE),"0")</f>
        <v>0</v>
      </c>
      <c r="AM205" s="200"/>
      <c r="AN205" s="200"/>
      <c r="AO205" s="200"/>
      <c r="AP205" s="200"/>
      <c r="AQ205" s="200">
        <f t="shared" si="21"/>
        <v>0</v>
      </c>
      <c r="AS205" s="169"/>
      <c r="AT205" s="169"/>
      <c r="AU205" s="169"/>
      <c r="AV205" s="169"/>
      <c r="AW205" s="169"/>
      <c r="AX205" s="169"/>
      <c r="AY205" s="169"/>
      <c r="AZ205" s="169">
        <f t="shared" si="24"/>
        <v>0</v>
      </c>
    </row>
    <row r="206" spans="1:52" ht="51" x14ac:dyDescent="0.2">
      <c r="A206" s="220">
        <v>6</v>
      </c>
      <c r="B206" s="223" t="s">
        <v>505</v>
      </c>
      <c r="C206" s="214">
        <v>40</v>
      </c>
      <c r="D206" s="214">
        <v>70</v>
      </c>
      <c r="E206" s="214">
        <v>600</v>
      </c>
      <c r="F206" s="170" t="str">
        <f t="shared" si="19"/>
        <v>cidents</v>
      </c>
      <c r="G206" s="223" t="s">
        <v>380</v>
      </c>
      <c r="H206" s="168">
        <v>250000</v>
      </c>
      <c r="I206" s="168">
        <v>250000</v>
      </c>
      <c r="J206" s="168"/>
      <c r="K206" s="168"/>
      <c r="L206" s="168"/>
      <c r="M206" s="194">
        <v>211107.7</v>
      </c>
      <c r="N206" s="168">
        <v>211107.7</v>
      </c>
      <c r="O206" s="168">
        <f t="shared" si="20"/>
        <v>-38892.299999999988</v>
      </c>
      <c r="Q206" s="169">
        <v>250000</v>
      </c>
      <c r="R206" s="169">
        <v>250000</v>
      </c>
      <c r="S206" s="169"/>
      <c r="T206" s="169"/>
      <c r="U206" s="169"/>
      <c r="V206" s="169">
        <v>226805.13</v>
      </c>
      <c r="W206" s="169">
        <v>226805.13</v>
      </c>
      <c r="X206" s="169">
        <f t="shared" si="15"/>
        <v>-23194.869999999995</v>
      </c>
      <c r="Z206" s="202">
        <v>250000</v>
      </c>
      <c r="AA206" s="202">
        <v>265000</v>
      </c>
      <c r="AB206" s="202"/>
      <c r="AC206" s="202"/>
      <c r="AD206" s="202"/>
      <c r="AE206" s="207">
        <v>318158.08000000002</v>
      </c>
      <c r="AF206" s="202">
        <v>318158.08000000002</v>
      </c>
      <c r="AG206" s="202">
        <f t="shared" si="16"/>
        <v>53158.080000000016</v>
      </c>
      <c r="AI206" s="200">
        <v>250000</v>
      </c>
      <c r="AJ206" s="200">
        <v>250000</v>
      </c>
      <c r="AK206" s="229">
        <v>265000</v>
      </c>
      <c r="AL206" s="200" t="str">
        <f>IFERROR(VLOOKUP(B206,[2]rptBudgetaryBudgetCrossOrganiza!$A$5236:$O$5854,13,FALSE),"0")</f>
        <v>0</v>
      </c>
      <c r="AM206" s="200"/>
      <c r="AN206" s="200"/>
      <c r="AO206" s="200"/>
      <c r="AP206" s="200" t="s">
        <v>505</v>
      </c>
      <c r="AQ206" s="200" t="e">
        <f t="shared" si="21"/>
        <v>#VALUE!</v>
      </c>
      <c r="AS206" s="169"/>
      <c r="AT206" s="169"/>
      <c r="AU206" s="169"/>
      <c r="AV206" s="169"/>
      <c r="AW206" s="169"/>
      <c r="AX206" s="169"/>
      <c r="AY206" s="169"/>
      <c r="AZ206" s="169">
        <f t="shared" si="24"/>
        <v>0</v>
      </c>
    </row>
    <row r="207" spans="1:52" hidden="1" x14ac:dyDescent="0.2">
      <c r="A207" s="220">
        <v>6</v>
      </c>
      <c r="B207" s="223" t="s">
        <v>482</v>
      </c>
      <c r="C207" s="214">
        <v>40</v>
      </c>
      <c r="D207" s="214">
        <v>70</v>
      </c>
      <c r="E207" s="214">
        <v>600</v>
      </c>
      <c r="F207" s="170" t="str">
        <f>RIGHT(B207,7)</f>
        <v>6375.19</v>
      </c>
      <c r="G207" s="223" t="s">
        <v>381</v>
      </c>
      <c r="I207" s="168">
        <v>15000</v>
      </c>
      <c r="J207" s="168"/>
      <c r="K207" s="168"/>
      <c r="L207" s="168"/>
      <c r="M207" s="194">
        <v>14340.44</v>
      </c>
      <c r="N207" s="168">
        <v>14340.44</v>
      </c>
      <c r="O207" s="168">
        <f>N207-I207</f>
        <v>-659.55999999999949</v>
      </c>
      <c r="Q207" s="169">
        <v>15000</v>
      </c>
      <c r="R207" s="169">
        <v>15000</v>
      </c>
      <c r="S207" s="169"/>
      <c r="T207" s="169"/>
      <c r="U207" s="169"/>
      <c r="V207" s="169">
        <v>16219.02</v>
      </c>
      <c r="W207" s="169">
        <v>16219.02</v>
      </c>
      <c r="X207" s="169">
        <f>W207-R207</f>
        <v>1219.0200000000004</v>
      </c>
      <c r="Z207" s="202">
        <v>15000</v>
      </c>
      <c r="AA207" s="202">
        <v>15000</v>
      </c>
      <c r="AB207" s="202"/>
      <c r="AC207" s="202"/>
      <c r="AD207" s="202"/>
      <c r="AE207" s="207">
        <v>13494.88</v>
      </c>
      <c r="AF207" s="202">
        <v>13494.88</v>
      </c>
      <c r="AG207" s="202">
        <f>AF207-AA207</f>
        <v>-1505.1200000000008</v>
      </c>
      <c r="AI207" s="200">
        <v>15000</v>
      </c>
      <c r="AJ207" s="200">
        <v>15000</v>
      </c>
      <c r="AK207" s="200">
        <v>15000</v>
      </c>
      <c r="AL207" s="200">
        <f>IFERROR(VLOOKUP(B207,[2]rptBudgetaryBudgetCrossOrganiza!$A$5236:$O$5854,13,FALSE),"0")</f>
        <v>4689.6400000000003</v>
      </c>
      <c r="AM207" s="200"/>
      <c r="AN207" s="200"/>
      <c r="AO207" s="200"/>
      <c r="AP207" s="200"/>
      <c r="AQ207" s="200">
        <f t="shared" ref="AQ207" si="25">AP207-AJ207</f>
        <v>-15000</v>
      </c>
      <c r="AS207" s="169"/>
      <c r="AT207" s="169"/>
      <c r="AU207" s="169"/>
      <c r="AV207" s="169"/>
      <c r="AW207" s="169"/>
      <c r="AX207" s="169"/>
      <c r="AY207" s="169"/>
      <c r="AZ207" s="169">
        <f>AY207-AT207</f>
        <v>0</v>
      </c>
    </row>
    <row r="208" spans="1:52" hidden="1" x14ac:dyDescent="0.2">
      <c r="B208" s="170" t="s">
        <v>507</v>
      </c>
      <c r="C208" s="214">
        <v>40</v>
      </c>
      <c r="D208" s="214">
        <v>70</v>
      </c>
      <c r="E208" s="214">
        <v>600</v>
      </c>
      <c r="F208" s="170" t="str">
        <f t="shared" ref="F208:F271" si="26">RIGHT(B208,7)</f>
        <v>5000.01</v>
      </c>
      <c r="G208" s="170" t="s">
        <v>165</v>
      </c>
      <c r="H208" s="170">
        <f>SUBTOTAL(9,H3:H206)</f>
        <v>425150</v>
      </c>
      <c r="I208" s="168"/>
      <c r="J208" s="168"/>
      <c r="K208" s="168"/>
      <c r="L208" s="168"/>
      <c r="M208" s="194"/>
      <c r="N208" s="168"/>
      <c r="O208" s="168"/>
      <c r="Q208" s="169"/>
      <c r="R208" s="169"/>
      <c r="S208" s="169"/>
      <c r="T208" s="169"/>
      <c r="U208" s="169"/>
      <c r="V208" s="169"/>
      <c r="W208" s="169"/>
      <c r="X208" s="169"/>
      <c r="Z208" s="202"/>
      <c r="AA208" s="202"/>
      <c r="AB208" s="202"/>
      <c r="AC208" s="202"/>
      <c r="AD208" s="202"/>
      <c r="AE208" s="207"/>
      <c r="AF208" s="202"/>
      <c r="AG208" s="202"/>
      <c r="AI208" s="200"/>
      <c r="AJ208" s="200"/>
      <c r="AK208" s="200"/>
      <c r="AL208" s="200">
        <f>IFERROR(VLOOKUP(B208,[2]rptBudgetaryBudgetCrossOrganiza!$A$5236:$O$5854,13,FALSE),"0")</f>
        <v>0</v>
      </c>
      <c r="AM208" s="200"/>
      <c r="AN208" s="200"/>
      <c r="AO208" s="200"/>
      <c r="AP208" s="200"/>
      <c r="AQ208" s="200"/>
      <c r="AS208" s="169"/>
      <c r="AT208" s="169"/>
      <c r="AU208" s="169"/>
      <c r="AV208" s="169"/>
      <c r="AW208" s="169"/>
      <c r="AX208" s="169"/>
      <c r="AY208" s="169"/>
      <c r="AZ208" s="169"/>
    </row>
    <row r="209" spans="2:52" hidden="1" x14ac:dyDescent="0.2">
      <c r="B209" s="170" t="s">
        <v>508</v>
      </c>
      <c r="C209" s="214">
        <v>40</v>
      </c>
      <c r="D209" s="214">
        <v>70</v>
      </c>
      <c r="E209" s="214">
        <v>600</v>
      </c>
      <c r="F209" s="170" t="str">
        <f t="shared" si="26"/>
        <v>5000.02</v>
      </c>
      <c r="G209" s="170" t="s">
        <v>166</v>
      </c>
      <c r="I209" s="168"/>
      <c r="J209" s="168"/>
      <c r="K209" s="168"/>
      <c r="L209" s="168"/>
      <c r="M209" s="194"/>
      <c r="N209" s="168"/>
      <c r="O209" s="168"/>
      <c r="Q209" s="169"/>
      <c r="R209" s="169"/>
      <c r="S209" s="169"/>
      <c r="T209" s="169"/>
      <c r="U209" s="169"/>
      <c r="V209" s="169"/>
      <c r="W209" s="169"/>
      <c r="X209" s="169"/>
      <c r="Z209" s="202"/>
      <c r="AA209" s="202"/>
      <c r="AB209" s="202"/>
      <c r="AC209" s="202"/>
      <c r="AD209" s="202"/>
      <c r="AE209" s="207"/>
      <c r="AF209" s="202"/>
      <c r="AG209" s="202"/>
      <c r="AI209" s="200"/>
      <c r="AJ209" s="200"/>
      <c r="AK209" s="200"/>
      <c r="AL209" s="200">
        <f>IFERROR(VLOOKUP(B209,[2]rptBudgetaryBudgetCrossOrganiza!$A$5236:$O$5854,13,FALSE),"0")</f>
        <v>0</v>
      </c>
      <c r="AM209" s="200"/>
      <c r="AN209" s="200"/>
      <c r="AO209" s="200"/>
      <c r="AP209" s="200"/>
      <c r="AQ209" s="200"/>
      <c r="AS209" s="169"/>
      <c r="AT209" s="169"/>
      <c r="AU209" s="169"/>
      <c r="AV209" s="169"/>
      <c r="AW209" s="169"/>
      <c r="AX209" s="169"/>
      <c r="AY209" s="169"/>
      <c r="AZ209" s="169"/>
    </row>
    <row r="210" spans="2:52" hidden="1" x14ac:dyDescent="0.2">
      <c r="B210" s="170" t="s">
        <v>509</v>
      </c>
      <c r="C210" s="214">
        <v>40</v>
      </c>
      <c r="D210" s="214">
        <v>70</v>
      </c>
      <c r="E210" s="214">
        <v>600</v>
      </c>
      <c r="F210" s="170" t="str">
        <f t="shared" si="26"/>
        <v>5000.03</v>
      </c>
      <c r="G210" s="170" t="s">
        <v>167</v>
      </c>
      <c r="I210" s="168"/>
      <c r="J210" s="168"/>
      <c r="K210" s="168"/>
      <c r="L210" s="168"/>
      <c r="M210" s="194"/>
      <c r="N210" s="168"/>
      <c r="O210" s="168"/>
      <c r="Q210" s="169"/>
      <c r="R210" s="169"/>
      <c r="S210" s="169"/>
      <c r="T210" s="169"/>
      <c r="U210" s="169"/>
      <c r="V210" s="169"/>
      <c r="W210" s="169"/>
      <c r="X210" s="169"/>
      <c r="Z210" s="202"/>
      <c r="AA210" s="202"/>
      <c r="AB210" s="202"/>
      <c r="AC210" s="202"/>
      <c r="AD210" s="202"/>
      <c r="AE210" s="207"/>
      <c r="AF210" s="202"/>
      <c r="AG210" s="202"/>
      <c r="AI210" s="200"/>
      <c r="AJ210" s="200"/>
      <c r="AK210" s="200"/>
      <c r="AL210" s="200">
        <f>IFERROR(VLOOKUP(B210,[2]rptBudgetaryBudgetCrossOrganiza!$A$5236:$O$5854,13,FALSE),"0")</f>
        <v>0</v>
      </c>
      <c r="AM210" s="200"/>
      <c r="AN210" s="200"/>
      <c r="AO210" s="200"/>
      <c r="AP210" s="200"/>
      <c r="AQ210" s="200"/>
      <c r="AS210" s="169"/>
      <c r="AT210" s="169"/>
      <c r="AU210" s="169"/>
      <c r="AV210" s="169"/>
      <c r="AW210" s="169"/>
      <c r="AX210" s="169"/>
      <c r="AY210" s="169"/>
      <c r="AZ210" s="169"/>
    </row>
    <row r="211" spans="2:52" hidden="1" x14ac:dyDescent="0.2">
      <c r="B211" s="170" t="s">
        <v>510</v>
      </c>
      <c r="C211" s="214">
        <v>40</v>
      </c>
      <c r="D211" s="214">
        <v>70</v>
      </c>
      <c r="E211" s="214">
        <v>600</v>
      </c>
      <c r="F211" s="170" t="str">
        <f t="shared" si="26"/>
        <v>5000.04</v>
      </c>
      <c r="G211" s="170" t="s">
        <v>168</v>
      </c>
      <c r="I211" s="168"/>
      <c r="J211" s="168"/>
      <c r="K211" s="168"/>
      <c r="L211" s="168"/>
      <c r="M211" s="194"/>
      <c r="N211" s="168"/>
      <c r="O211" s="168"/>
      <c r="Q211" s="169"/>
      <c r="R211" s="169"/>
      <c r="S211" s="169"/>
      <c r="T211" s="169"/>
      <c r="U211" s="169"/>
      <c r="V211" s="169"/>
      <c r="W211" s="169"/>
      <c r="X211" s="169"/>
      <c r="Z211" s="202"/>
      <c r="AA211" s="202"/>
      <c r="AB211" s="202"/>
      <c r="AC211" s="202"/>
      <c r="AD211" s="202"/>
      <c r="AE211" s="207"/>
      <c r="AF211" s="202"/>
      <c r="AG211" s="202"/>
      <c r="AI211" s="200"/>
      <c r="AJ211" s="200"/>
      <c r="AK211" s="200"/>
      <c r="AL211" s="200">
        <f>IFERROR(VLOOKUP(B211,[2]rptBudgetaryBudgetCrossOrganiza!$A$5236:$O$5854,13,FALSE),"0")</f>
        <v>0</v>
      </c>
      <c r="AM211" s="200"/>
      <c r="AN211" s="200"/>
      <c r="AO211" s="200"/>
      <c r="AP211" s="200"/>
      <c r="AQ211" s="200"/>
      <c r="AS211" s="169"/>
      <c r="AT211" s="169"/>
      <c r="AU211" s="169"/>
      <c r="AV211" s="169"/>
      <c r="AW211" s="169"/>
      <c r="AX211" s="169"/>
      <c r="AY211" s="169"/>
      <c r="AZ211" s="169"/>
    </row>
    <row r="212" spans="2:52" hidden="1" x14ac:dyDescent="0.2">
      <c r="B212" s="170" t="s">
        <v>511</v>
      </c>
      <c r="C212" s="214">
        <v>40</v>
      </c>
      <c r="D212" s="214">
        <v>70</v>
      </c>
      <c r="E212" s="214">
        <v>600</v>
      </c>
      <c r="F212" s="170" t="str">
        <f t="shared" si="26"/>
        <v>5000.06</v>
      </c>
      <c r="G212" s="170" t="s">
        <v>170</v>
      </c>
      <c r="I212" s="168"/>
      <c r="J212" s="168"/>
      <c r="K212" s="168"/>
      <c r="L212" s="168"/>
      <c r="M212" s="194"/>
      <c r="N212" s="168"/>
      <c r="O212" s="168"/>
      <c r="Q212" s="169"/>
      <c r="R212" s="169"/>
      <c r="S212" s="169"/>
      <c r="T212" s="169"/>
      <c r="U212" s="169"/>
      <c r="V212" s="169"/>
      <c r="W212" s="169"/>
      <c r="X212" s="169"/>
      <c r="Z212" s="202"/>
      <c r="AA212" s="202"/>
      <c r="AB212" s="202"/>
      <c r="AC212" s="202"/>
      <c r="AD212" s="202"/>
      <c r="AE212" s="207"/>
      <c r="AF212" s="202"/>
      <c r="AG212" s="202"/>
      <c r="AI212" s="200"/>
      <c r="AJ212" s="200"/>
      <c r="AK212" s="200"/>
      <c r="AL212" s="200">
        <f>IFERROR(VLOOKUP(B212,[2]rptBudgetaryBudgetCrossOrganiza!$A$5236:$O$5854,13,FALSE),"0")</f>
        <v>0</v>
      </c>
      <c r="AM212" s="200"/>
      <c r="AN212" s="200"/>
      <c r="AO212" s="200"/>
      <c r="AP212" s="200"/>
      <c r="AQ212" s="200"/>
      <c r="AS212" s="169"/>
      <c r="AT212" s="169"/>
      <c r="AU212" s="169"/>
      <c r="AV212" s="169"/>
      <c r="AW212" s="169"/>
      <c r="AX212" s="169"/>
      <c r="AY212" s="169"/>
      <c r="AZ212" s="169"/>
    </row>
    <row r="213" spans="2:52" hidden="1" x14ac:dyDescent="0.2">
      <c r="B213" s="170" t="s">
        <v>512</v>
      </c>
      <c r="C213" s="214">
        <v>40</v>
      </c>
      <c r="D213" s="214">
        <v>70</v>
      </c>
      <c r="E213" s="214">
        <v>600</v>
      </c>
      <c r="F213" s="170" t="str">
        <f t="shared" si="26"/>
        <v>5000.07</v>
      </c>
      <c r="G213" s="170" t="s">
        <v>171</v>
      </c>
      <c r="I213" s="168"/>
      <c r="J213" s="168"/>
      <c r="K213" s="168"/>
      <c r="L213" s="168"/>
      <c r="M213" s="194"/>
      <c r="N213" s="168"/>
      <c r="O213" s="168"/>
      <c r="Q213" s="169"/>
      <c r="R213" s="169"/>
      <c r="S213" s="169"/>
      <c r="T213" s="169"/>
      <c r="U213" s="169"/>
      <c r="V213" s="169"/>
      <c r="W213" s="169"/>
      <c r="X213" s="169"/>
      <c r="Z213" s="202"/>
      <c r="AA213" s="202"/>
      <c r="AB213" s="202"/>
      <c r="AC213" s="202"/>
      <c r="AD213" s="202"/>
      <c r="AE213" s="207"/>
      <c r="AF213" s="202"/>
      <c r="AG213" s="202"/>
      <c r="AI213" s="200"/>
      <c r="AJ213" s="200"/>
      <c r="AK213" s="200"/>
      <c r="AL213" s="200">
        <f>IFERROR(VLOOKUP(B213,[2]rptBudgetaryBudgetCrossOrganiza!$A$5236:$O$5854,13,FALSE),"0")</f>
        <v>0</v>
      </c>
      <c r="AM213" s="200"/>
      <c r="AN213" s="200"/>
      <c r="AO213" s="200"/>
      <c r="AP213" s="200"/>
      <c r="AQ213" s="200"/>
      <c r="AS213" s="169"/>
      <c r="AT213" s="169"/>
      <c r="AU213" s="169"/>
      <c r="AV213" s="169"/>
      <c r="AW213" s="169"/>
      <c r="AX213" s="169"/>
      <c r="AY213" s="169"/>
      <c r="AZ213" s="169"/>
    </row>
    <row r="214" spans="2:52" hidden="1" x14ac:dyDescent="0.2">
      <c r="B214" s="170" t="s">
        <v>513</v>
      </c>
      <c r="C214" s="214">
        <v>40</v>
      </c>
      <c r="D214" s="214">
        <v>70</v>
      </c>
      <c r="E214" s="214">
        <v>600</v>
      </c>
      <c r="F214" s="170" t="str">
        <f t="shared" si="26"/>
        <v>5000.08</v>
      </c>
      <c r="G214" s="170" t="s">
        <v>172</v>
      </c>
      <c r="I214" s="168"/>
      <c r="J214" s="168"/>
      <c r="K214" s="168"/>
      <c r="L214" s="168"/>
      <c r="M214" s="194"/>
      <c r="N214" s="168"/>
      <c r="O214" s="168"/>
      <c r="Q214" s="169"/>
      <c r="R214" s="169"/>
      <c r="S214" s="169"/>
      <c r="T214" s="169"/>
      <c r="U214" s="169"/>
      <c r="V214" s="169"/>
      <c r="W214" s="169"/>
      <c r="X214" s="169"/>
      <c r="Z214" s="202"/>
      <c r="AA214" s="202"/>
      <c r="AB214" s="202"/>
      <c r="AC214" s="202"/>
      <c r="AD214" s="202"/>
      <c r="AE214" s="207"/>
      <c r="AF214" s="202"/>
      <c r="AG214" s="202"/>
      <c r="AI214" s="200"/>
      <c r="AJ214" s="200"/>
      <c r="AK214" s="200"/>
      <c r="AL214" s="200">
        <f>IFERROR(VLOOKUP(B214,[2]rptBudgetaryBudgetCrossOrganiza!$A$5236:$O$5854,13,FALSE),"0")</f>
        <v>0</v>
      </c>
      <c r="AM214" s="200"/>
      <c r="AN214" s="200"/>
      <c r="AO214" s="200"/>
      <c r="AP214" s="200"/>
      <c r="AQ214" s="200"/>
      <c r="AS214" s="169"/>
      <c r="AT214" s="169"/>
      <c r="AU214" s="169"/>
      <c r="AV214" s="169"/>
      <c r="AW214" s="169"/>
      <c r="AX214" s="169"/>
      <c r="AY214" s="169"/>
      <c r="AZ214" s="169"/>
    </row>
    <row r="215" spans="2:52" hidden="1" x14ac:dyDescent="0.2">
      <c r="B215" s="170" t="s">
        <v>514</v>
      </c>
      <c r="C215" s="214">
        <v>40</v>
      </c>
      <c r="D215" s="214">
        <v>70</v>
      </c>
      <c r="E215" s="214">
        <v>600</v>
      </c>
      <c r="F215" s="170" t="str">
        <f t="shared" si="26"/>
        <v>5000.11</v>
      </c>
      <c r="G215" s="170" t="s">
        <v>175</v>
      </c>
      <c r="I215" s="168"/>
      <c r="J215" s="168"/>
      <c r="K215" s="168"/>
      <c r="L215" s="168"/>
      <c r="M215" s="194"/>
      <c r="N215" s="168"/>
      <c r="O215" s="168"/>
      <c r="Q215" s="169"/>
      <c r="R215" s="169"/>
      <c r="S215" s="169"/>
      <c r="T215" s="169"/>
      <c r="U215" s="169"/>
      <c r="V215" s="169"/>
      <c r="W215" s="169"/>
      <c r="X215" s="169"/>
      <c r="Z215" s="202"/>
      <c r="AA215" s="202"/>
      <c r="AB215" s="202"/>
      <c r="AC215" s="202"/>
      <c r="AD215" s="202"/>
      <c r="AE215" s="207"/>
      <c r="AF215" s="202"/>
      <c r="AG215" s="202"/>
      <c r="AI215" s="200"/>
      <c r="AJ215" s="200"/>
      <c r="AK215" s="200"/>
      <c r="AL215" s="200">
        <f>IFERROR(VLOOKUP(B215,[2]rptBudgetaryBudgetCrossOrganiza!$A$5236:$O$5854,13,FALSE),"0")</f>
        <v>0</v>
      </c>
      <c r="AM215" s="200"/>
      <c r="AN215" s="200"/>
      <c r="AO215" s="200"/>
      <c r="AP215" s="200"/>
      <c r="AQ215" s="200"/>
      <c r="AS215" s="169"/>
      <c r="AT215" s="169"/>
      <c r="AU215" s="169"/>
      <c r="AV215" s="169"/>
      <c r="AW215" s="169"/>
      <c r="AX215" s="169"/>
      <c r="AY215" s="169"/>
      <c r="AZ215" s="169"/>
    </row>
    <row r="216" spans="2:52" hidden="1" x14ac:dyDescent="0.2">
      <c r="B216" s="170" t="s">
        <v>515</v>
      </c>
      <c r="C216" s="214">
        <v>40</v>
      </c>
      <c r="D216" s="214">
        <v>70</v>
      </c>
      <c r="E216" s="214">
        <v>600</v>
      </c>
      <c r="F216" s="170" t="str">
        <f t="shared" si="26"/>
        <v>5000.99</v>
      </c>
      <c r="G216" s="170" t="s">
        <v>177</v>
      </c>
      <c r="I216" s="168"/>
      <c r="J216" s="168"/>
      <c r="K216" s="168"/>
      <c r="L216" s="168"/>
      <c r="M216" s="194"/>
      <c r="N216" s="168"/>
      <c r="O216" s="168"/>
      <c r="Q216" s="169"/>
      <c r="R216" s="169"/>
      <c r="S216" s="169"/>
      <c r="T216" s="169"/>
      <c r="U216" s="169"/>
      <c r="V216" s="169"/>
      <c r="W216" s="169"/>
      <c r="X216" s="169"/>
      <c r="Z216" s="202"/>
      <c r="AA216" s="202"/>
      <c r="AB216" s="202"/>
      <c r="AC216" s="202"/>
      <c r="AD216" s="202"/>
      <c r="AE216" s="207"/>
      <c r="AF216" s="202"/>
      <c r="AG216" s="202"/>
      <c r="AI216" s="200"/>
      <c r="AJ216" s="200"/>
      <c r="AK216" s="200"/>
      <c r="AL216" s="200">
        <f>IFERROR(VLOOKUP(B216,[2]rptBudgetaryBudgetCrossOrganiza!$A$5236:$O$5854,13,FALSE),"0")</f>
        <v>0</v>
      </c>
      <c r="AM216" s="200"/>
      <c r="AN216" s="200"/>
      <c r="AO216" s="200"/>
      <c r="AP216" s="200"/>
      <c r="AQ216" s="200"/>
      <c r="AS216" s="169"/>
      <c r="AT216" s="169"/>
      <c r="AU216" s="169"/>
      <c r="AV216" s="169"/>
      <c r="AW216" s="169"/>
      <c r="AX216" s="169"/>
      <c r="AY216" s="169"/>
      <c r="AZ216" s="169"/>
    </row>
    <row r="217" spans="2:52" hidden="1" x14ac:dyDescent="0.2">
      <c r="B217" s="170" t="s">
        <v>516</v>
      </c>
      <c r="C217" s="214">
        <v>40</v>
      </c>
      <c r="D217" s="214">
        <v>70</v>
      </c>
      <c r="E217" s="214">
        <v>600</v>
      </c>
      <c r="F217" s="170" t="str">
        <f t="shared" si="26"/>
        <v>5100.00</v>
      </c>
      <c r="G217" s="170" t="s">
        <v>178</v>
      </c>
      <c r="I217" s="168"/>
      <c r="J217" s="168"/>
      <c r="K217" s="168"/>
      <c r="L217" s="168"/>
      <c r="M217" s="194"/>
      <c r="N217" s="168"/>
      <c r="O217" s="168"/>
      <c r="Q217" s="169"/>
      <c r="R217" s="169"/>
      <c r="S217" s="169"/>
      <c r="T217" s="169"/>
      <c r="U217" s="169"/>
      <c r="V217" s="169"/>
      <c r="W217" s="169"/>
      <c r="X217" s="169"/>
      <c r="Z217" s="202"/>
      <c r="AA217" s="202"/>
      <c r="AB217" s="202"/>
      <c r="AC217" s="202"/>
      <c r="AD217" s="202"/>
      <c r="AE217" s="207"/>
      <c r="AF217" s="202"/>
      <c r="AG217" s="202"/>
      <c r="AI217" s="200"/>
      <c r="AJ217" s="200"/>
      <c r="AK217" s="200"/>
      <c r="AL217" s="200">
        <f>IFERROR(VLOOKUP(B217,[2]rptBudgetaryBudgetCrossOrganiza!$A$5236:$O$5854,13,FALSE),"0")</f>
        <v>0</v>
      </c>
      <c r="AM217" s="200"/>
      <c r="AN217" s="200"/>
      <c r="AO217" s="200"/>
      <c r="AP217" s="200"/>
      <c r="AQ217" s="200"/>
      <c r="AS217" s="169"/>
      <c r="AT217" s="169"/>
      <c r="AU217" s="169"/>
      <c r="AV217" s="169"/>
      <c r="AW217" s="169"/>
      <c r="AX217" s="169"/>
      <c r="AY217" s="169"/>
      <c r="AZ217" s="169"/>
    </row>
    <row r="218" spans="2:52" hidden="1" x14ac:dyDescent="0.2">
      <c r="B218" s="170" t="s">
        <v>517</v>
      </c>
      <c r="C218" s="214">
        <v>40</v>
      </c>
      <c r="D218" s="214">
        <v>70</v>
      </c>
      <c r="E218" s="214">
        <v>600</v>
      </c>
      <c r="F218" s="170" t="str">
        <f t="shared" si="26"/>
        <v>5100.01</v>
      </c>
      <c r="G218" s="170" t="s">
        <v>179</v>
      </c>
      <c r="I218" s="168"/>
      <c r="J218" s="168"/>
      <c r="K218" s="168"/>
      <c r="L218" s="168"/>
      <c r="M218" s="194"/>
      <c r="N218" s="168"/>
      <c r="O218" s="168"/>
      <c r="Q218" s="169"/>
      <c r="R218" s="169"/>
      <c r="S218" s="169"/>
      <c r="T218" s="169"/>
      <c r="U218" s="169"/>
      <c r="V218" s="169"/>
      <c r="W218" s="169"/>
      <c r="X218" s="169"/>
      <c r="Z218" s="202"/>
      <c r="AA218" s="202"/>
      <c r="AB218" s="202"/>
      <c r="AC218" s="202"/>
      <c r="AD218" s="202"/>
      <c r="AE218" s="207"/>
      <c r="AF218" s="202"/>
      <c r="AG218" s="202"/>
      <c r="AI218" s="200"/>
      <c r="AJ218" s="200"/>
      <c r="AK218" s="200"/>
      <c r="AL218" s="200">
        <f>IFERROR(VLOOKUP(B218,[2]rptBudgetaryBudgetCrossOrganiza!$A$5236:$O$5854,13,FALSE),"0")</f>
        <v>0</v>
      </c>
      <c r="AM218" s="200"/>
      <c r="AN218" s="200"/>
      <c r="AO218" s="200"/>
      <c r="AP218" s="200"/>
      <c r="AQ218" s="200"/>
      <c r="AS218" s="169"/>
      <c r="AT218" s="169"/>
      <c r="AU218" s="169"/>
      <c r="AV218" s="169"/>
      <c r="AW218" s="169"/>
      <c r="AX218" s="169"/>
      <c r="AY218" s="169"/>
      <c r="AZ218" s="169"/>
    </row>
    <row r="219" spans="2:52" hidden="1" x14ac:dyDescent="0.2">
      <c r="B219" s="170" t="s">
        <v>518</v>
      </c>
      <c r="C219" s="214">
        <v>40</v>
      </c>
      <c r="D219" s="214">
        <v>70</v>
      </c>
      <c r="E219" s="214">
        <v>600</v>
      </c>
      <c r="F219" s="170" t="str">
        <f t="shared" si="26"/>
        <v>5100.02</v>
      </c>
      <c r="G219" s="170" t="s">
        <v>180</v>
      </c>
      <c r="I219" s="168"/>
      <c r="J219" s="168"/>
      <c r="K219" s="168"/>
      <c r="L219" s="168"/>
      <c r="M219" s="194"/>
      <c r="N219" s="168"/>
      <c r="O219" s="168"/>
      <c r="Q219" s="169"/>
      <c r="R219" s="169"/>
      <c r="S219" s="169"/>
      <c r="T219" s="169"/>
      <c r="U219" s="169"/>
      <c r="V219" s="169"/>
      <c r="W219" s="169"/>
      <c r="X219" s="169"/>
      <c r="Z219" s="202"/>
      <c r="AA219" s="202"/>
      <c r="AB219" s="202"/>
      <c r="AC219" s="202"/>
      <c r="AD219" s="202"/>
      <c r="AE219" s="207"/>
      <c r="AF219" s="202"/>
      <c r="AG219" s="202"/>
      <c r="AI219" s="200"/>
      <c r="AJ219" s="200"/>
      <c r="AK219" s="200"/>
      <c r="AL219" s="200">
        <f>IFERROR(VLOOKUP(B219,[2]rptBudgetaryBudgetCrossOrganiza!$A$5236:$O$5854,13,FALSE),"0")</f>
        <v>0</v>
      </c>
      <c r="AM219" s="200"/>
      <c r="AN219" s="200"/>
      <c r="AO219" s="200"/>
      <c r="AP219" s="200"/>
      <c r="AQ219" s="200"/>
      <c r="AS219" s="169"/>
      <c r="AT219" s="169"/>
      <c r="AU219" s="169"/>
      <c r="AV219" s="169"/>
      <c r="AW219" s="169"/>
      <c r="AX219" s="169"/>
      <c r="AY219" s="169"/>
      <c r="AZ219" s="169"/>
    </row>
    <row r="220" spans="2:52" hidden="1" x14ac:dyDescent="0.2">
      <c r="B220" s="170" t="s">
        <v>519</v>
      </c>
      <c r="C220" s="214">
        <v>40</v>
      </c>
      <c r="D220" s="214">
        <v>70</v>
      </c>
      <c r="E220" s="214">
        <v>600</v>
      </c>
      <c r="F220" s="170" t="str">
        <f t="shared" si="26"/>
        <v>5100.03</v>
      </c>
      <c r="G220" s="170" t="s">
        <v>181</v>
      </c>
      <c r="I220" s="168"/>
      <c r="J220" s="168"/>
      <c r="K220" s="168"/>
      <c r="L220" s="168"/>
      <c r="M220" s="194"/>
      <c r="N220" s="168"/>
      <c r="O220" s="168"/>
      <c r="Q220" s="169"/>
      <c r="R220" s="169"/>
      <c r="S220" s="169"/>
      <c r="T220" s="169"/>
      <c r="U220" s="169"/>
      <c r="V220" s="169"/>
      <c r="W220" s="169"/>
      <c r="X220" s="169"/>
      <c r="Z220" s="202"/>
      <c r="AA220" s="202"/>
      <c r="AB220" s="202"/>
      <c r="AC220" s="202"/>
      <c r="AD220" s="202"/>
      <c r="AE220" s="207"/>
      <c r="AF220" s="202"/>
      <c r="AG220" s="202"/>
      <c r="AI220" s="200"/>
      <c r="AJ220" s="200"/>
      <c r="AK220" s="200"/>
      <c r="AL220" s="200">
        <f>IFERROR(VLOOKUP(B220,[2]rptBudgetaryBudgetCrossOrganiza!$A$5236:$O$5854,13,FALSE),"0")</f>
        <v>0</v>
      </c>
      <c r="AM220" s="200"/>
      <c r="AN220" s="200"/>
      <c r="AO220" s="200"/>
      <c r="AP220" s="200"/>
      <c r="AQ220" s="200"/>
      <c r="AS220" s="169"/>
      <c r="AT220" s="169"/>
      <c r="AU220" s="169"/>
      <c r="AV220" s="169"/>
      <c r="AW220" s="169"/>
      <c r="AX220" s="169"/>
      <c r="AY220" s="169"/>
      <c r="AZ220" s="169"/>
    </row>
    <row r="221" spans="2:52" hidden="1" x14ac:dyDescent="0.2">
      <c r="B221" s="170" t="s">
        <v>520</v>
      </c>
      <c r="C221" s="214">
        <v>40</v>
      </c>
      <c r="D221" s="214">
        <v>70</v>
      </c>
      <c r="E221" s="214">
        <v>600</v>
      </c>
      <c r="F221" s="170" t="str">
        <f t="shared" si="26"/>
        <v>5100.04</v>
      </c>
      <c r="G221" s="170" t="s">
        <v>182</v>
      </c>
      <c r="I221" s="168"/>
      <c r="J221" s="168"/>
      <c r="K221" s="168"/>
      <c r="L221" s="168"/>
      <c r="M221" s="194"/>
      <c r="N221" s="168"/>
      <c r="O221" s="168"/>
      <c r="Q221" s="169"/>
      <c r="R221" s="169"/>
      <c r="S221" s="169"/>
      <c r="T221" s="169"/>
      <c r="U221" s="169"/>
      <c r="V221" s="169"/>
      <c r="W221" s="169"/>
      <c r="X221" s="169"/>
      <c r="Z221" s="202"/>
      <c r="AA221" s="202"/>
      <c r="AB221" s="202"/>
      <c r="AC221" s="202"/>
      <c r="AD221" s="202"/>
      <c r="AE221" s="207"/>
      <c r="AF221" s="202"/>
      <c r="AG221" s="202"/>
      <c r="AI221" s="200"/>
      <c r="AJ221" s="200"/>
      <c r="AK221" s="200"/>
      <c r="AL221" s="200">
        <f>IFERROR(VLOOKUP(B221,[2]rptBudgetaryBudgetCrossOrganiza!$A$5236:$O$5854,13,FALSE),"0")</f>
        <v>0</v>
      </c>
      <c r="AM221" s="200"/>
      <c r="AN221" s="200"/>
      <c r="AO221" s="200"/>
      <c r="AP221" s="200"/>
      <c r="AQ221" s="200"/>
      <c r="AS221" s="169"/>
      <c r="AT221" s="169"/>
      <c r="AU221" s="169"/>
      <c r="AV221" s="169"/>
      <c r="AW221" s="169"/>
      <c r="AX221" s="169"/>
      <c r="AY221" s="169"/>
      <c r="AZ221" s="169"/>
    </row>
    <row r="222" spans="2:52" hidden="1" x14ac:dyDescent="0.2">
      <c r="B222" s="170" t="s">
        <v>521</v>
      </c>
      <c r="C222" s="214">
        <v>40</v>
      </c>
      <c r="D222" s="214">
        <v>70</v>
      </c>
      <c r="E222" s="214">
        <v>600</v>
      </c>
      <c r="F222" s="170" t="str">
        <f t="shared" si="26"/>
        <v>5100.05</v>
      </c>
      <c r="G222" s="170" t="s">
        <v>183</v>
      </c>
      <c r="I222" s="168"/>
      <c r="J222" s="168"/>
      <c r="K222" s="168"/>
      <c r="L222" s="168"/>
      <c r="M222" s="194"/>
      <c r="N222" s="168"/>
      <c r="O222" s="168"/>
      <c r="Q222" s="169"/>
      <c r="R222" s="169"/>
      <c r="S222" s="169"/>
      <c r="T222" s="169"/>
      <c r="U222" s="169"/>
      <c r="V222" s="169"/>
      <c r="W222" s="169"/>
      <c r="X222" s="169"/>
      <c r="Z222" s="202"/>
      <c r="AA222" s="202"/>
      <c r="AB222" s="202"/>
      <c r="AC222" s="202"/>
      <c r="AD222" s="202"/>
      <c r="AE222" s="207"/>
      <c r="AF222" s="202"/>
      <c r="AG222" s="202"/>
      <c r="AI222" s="200"/>
      <c r="AJ222" s="200"/>
      <c r="AK222" s="200"/>
      <c r="AL222" s="200">
        <f>IFERROR(VLOOKUP(B222,[2]rptBudgetaryBudgetCrossOrganiza!$A$5236:$O$5854,13,FALSE),"0")</f>
        <v>0</v>
      </c>
      <c r="AM222" s="200"/>
      <c r="AN222" s="200"/>
      <c r="AO222" s="200"/>
      <c r="AP222" s="200"/>
      <c r="AQ222" s="200"/>
      <c r="AS222" s="169"/>
      <c r="AT222" s="169"/>
      <c r="AU222" s="169"/>
      <c r="AV222" s="169"/>
      <c r="AW222" s="169"/>
      <c r="AX222" s="169"/>
      <c r="AY222" s="169"/>
      <c r="AZ222" s="169"/>
    </row>
    <row r="223" spans="2:52" hidden="1" x14ac:dyDescent="0.2">
      <c r="B223" s="170" t="s">
        <v>522</v>
      </c>
      <c r="C223" s="214">
        <v>40</v>
      </c>
      <c r="D223" s="214">
        <v>70</v>
      </c>
      <c r="E223" s="214">
        <v>600</v>
      </c>
      <c r="F223" s="170" t="str">
        <f t="shared" si="26"/>
        <v>5100.06</v>
      </c>
      <c r="G223" s="170" t="s">
        <v>184</v>
      </c>
      <c r="I223" s="168"/>
      <c r="J223" s="168"/>
      <c r="K223" s="168"/>
      <c r="L223" s="168"/>
      <c r="M223" s="194"/>
      <c r="N223" s="168"/>
      <c r="O223" s="168"/>
      <c r="Q223" s="169"/>
      <c r="R223" s="169"/>
      <c r="S223" s="169"/>
      <c r="T223" s="169"/>
      <c r="U223" s="169"/>
      <c r="V223" s="169"/>
      <c r="W223" s="169"/>
      <c r="X223" s="169"/>
      <c r="Z223" s="202"/>
      <c r="AA223" s="202"/>
      <c r="AB223" s="202"/>
      <c r="AC223" s="202"/>
      <c r="AD223" s="202"/>
      <c r="AE223" s="207"/>
      <c r="AF223" s="202"/>
      <c r="AG223" s="202"/>
      <c r="AI223" s="200"/>
      <c r="AJ223" s="200"/>
      <c r="AK223" s="200"/>
      <c r="AL223" s="200">
        <f>IFERROR(VLOOKUP(B223,[2]rptBudgetaryBudgetCrossOrganiza!$A$5236:$O$5854,13,FALSE),"0")</f>
        <v>0</v>
      </c>
      <c r="AM223" s="200"/>
      <c r="AN223" s="200"/>
      <c r="AO223" s="200"/>
      <c r="AP223" s="200"/>
      <c r="AQ223" s="200"/>
      <c r="AS223" s="169"/>
      <c r="AT223" s="169"/>
      <c r="AU223" s="169"/>
      <c r="AV223" s="169"/>
      <c r="AW223" s="169"/>
      <c r="AX223" s="169"/>
      <c r="AY223" s="169"/>
      <c r="AZ223" s="169"/>
    </row>
    <row r="224" spans="2:52" hidden="1" x14ac:dyDescent="0.2">
      <c r="B224" s="170" t="s">
        <v>523</v>
      </c>
      <c r="C224" s="214">
        <v>40</v>
      </c>
      <c r="D224" s="214">
        <v>70</v>
      </c>
      <c r="E224" s="214">
        <v>600</v>
      </c>
      <c r="F224" s="170" t="str">
        <f t="shared" si="26"/>
        <v>5100.07</v>
      </c>
      <c r="G224" s="170" t="s">
        <v>185</v>
      </c>
      <c r="I224" s="168"/>
      <c r="J224" s="168"/>
      <c r="K224" s="168"/>
      <c r="L224" s="168"/>
      <c r="M224" s="194"/>
      <c r="N224" s="168"/>
      <c r="O224" s="168"/>
      <c r="Q224" s="169"/>
      <c r="R224" s="169"/>
      <c r="S224" s="169"/>
      <c r="T224" s="169"/>
      <c r="U224" s="169"/>
      <c r="V224" s="169"/>
      <c r="W224" s="169"/>
      <c r="X224" s="169"/>
      <c r="Z224" s="202"/>
      <c r="AA224" s="202"/>
      <c r="AB224" s="202"/>
      <c r="AC224" s="202"/>
      <c r="AD224" s="202"/>
      <c r="AE224" s="207"/>
      <c r="AF224" s="202"/>
      <c r="AG224" s="202"/>
      <c r="AI224" s="200"/>
      <c r="AJ224" s="200"/>
      <c r="AK224" s="200"/>
      <c r="AL224" s="200">
        <f>IFERROR(VLOOKUP(B224,[2]rptBudgetaryBudgetCrossOrganiza!$A$5236:$O$5854,13,FALSE),"0")</f>
        <v>0</v>
      </c>
      <c r="AM224" s="200"/>
      <c r="AN224" s="200"/>
      <c r="AO224" s="200"/>
      <c r="AP224" s="200"/>
      <c r="AQ224" s="200"/>
      <c r="AS224" s="169"/>
      <c r="AT224" s="169"/>
      <c r="AU224" s="169"/>
      <c r="AV224" s="169"/>
      <c r="AW224" s="169"/>
      <c r="AX224" s="169"/>
      <c r="AY224" s="169"/>
      <c r="AZ224" s="169"/>
    </row>
    <row r="225" spans="2:52" hidden="1" x14ac:dyDescent="0.2">
      <c r="B225" s="170" t="s">
        <v>524</v>
      </c>
      <c r="C225" s="214">
        <v>40</v>
      </c>
      <c r="D225" s="214">
        <v>70</v>
      </c>
      <c r="E225" s="214">
        <v>600</v>
      </c>
      <c r="F225" s="170" t="str">
        <f t="shared" si="26"/>
        <v>5100.08</v>
      </c>
      <c r="G225" s="170" t="s">
        <v>186</v>
      </c>
      <c r="I225" s="168"/>
      <c r="J225" s="168"/>
      <c r="K225" s="168"/>
      <c r="L225" s="168"/>
      <c r="M225" s="194"/>
      <c r="N225" s="168"/>
      <c r="O225" s="168"/>
      <c r="Q225" s="169"/>
      <c r="R225" s="169"/>
      <c r="S225" s="169"/>
      <c r="T225" s="169"/>
      <c r="U225" s="169"/>
      <c r="V225" s="169"/>
      <c r="W225" s="169"/>
      <c r="X225" s="169"/>
      <c r="Z225" s="202"/>
      <c r="AA225" s="202"/>
      <c r="AB225" s="202"/>
      <c r="AC225" s="202"/>
      <c r="AD225" s="202"/>
      <c r="AE225" s="207"/>
      <c r="AF225" s="202"/>
      <c r="AG225" s="202"/>
      <c r="AI225" s="200"/>
      <c r="AJ225" s="200"/>
      <c r="AK225" s="200"/>
      <c r="AL225" s="200">
        <f>IFERROR(VLOOKUP(B225,[2]rptBudgetaryBudgetCrossOrganiza!$A$5236:$O$5854,13,FALSE),"0")</f>
        <v>0</v>
      </c>
      <c r="AM225" s="200"/>
      <c r="AN225" s="200"/>
      <c r="AO225" s="200"/>
      <c r="AP225" s="200"/>
      <c r="AQ225" s="200"/>
      <c r="AS225" s="169"/>
      <c r="AT225" s="169"/>
      <c r="AU225" s="169"/>
      <c r="AV225" s="169"/>
      <c r="AW225" s="169"/>
      <c r="AX225" s="169"/>
      <c r="AY225" s="169"/>
      <c r="AZ225" s="169"/>
    </row>
    <row r="226" spans="2:52" hidden="1" x14ac:dyDescent="0.2">
      <c r="B226" s="170" t="s">
        <v>525</v>
      </c>
      <c r="C226" s="214">
        <v>40</v>
      </c>
      <c r="D226" s="214">
        <v>70</v>
      </c>
      <c r="E226" s="214">
        <v>600</v>
      </c>
      <c r="F226" s="170" t="str">
        <f t="shared" si="26"/>
        <v>5100.09</v>
      </c>
      <c r="G226" s="170" t="s">
        <v>187</v>
      </c>
      <c r="I226" s="168"/>
      <c r="J226" s="168"/>
      <c r="K226" s="168"/>
      <c r="L226" s="168"/>
      <c r="M226" s="194"/>
      <c r="N226" s="168"/>
      <c r="O226" s="168"/>
      <c r="Q226" s="169"/>
      <c r="R226" s="169"/>
      <c r="S226" s="169"/>
      <c r="T226" s="169"/>
      <c r="U226" s="169"/>
      <c r="V226" s="169"/>
      <c r="W226" s="169"/>
      <c r="X226" s="169"/>
      <c r="Z226" s="202"/>
      <c r="AA226" s="202"/>
      <c r="AB226" s="202"/>
      <c r="AC226" s="202"/>
      <c r="AD226" s="202"/>
      <c r="AE226" s="207"/>
      <c r="AF226" s="202"/>
      <c r="AG226" s="202"/>
      <c r="AI226" s="200"/>
      <c r="AJ226" s="200"/>
      <c r="AK226" s="200"/>
      <c r="AL226" s="200">
        <f>IFERROR(VLOOKUP(B226,[2]rptBudgetaryBudgetCrossOrganiza!$A$5236:$O$5854,13,FALSE),"0")</f>
        <v>0</v>
      </c>
      <c r="AM226" s="200"/>
      <c r="AN226" s="200"/>
      <c r="AO226" s="200"/>
      <c r="AP226" s="200"/>
      <c r="AQ226" s="200"/>
      <c r="AS226" s="169"/>
      <c r="AT226" s="169"/>
      <c r="AU226" s="169"/>
      <c r="AV226" s="169"/>
      <c r="AW226" s="169"/>
      <c r="AX226" s="169"/>
      <c r="AY226" s="169"/>
      <c r="AZ226" s="169"/>
    </row>
    <row r="227" spans="2:52" hidden="1" x14ac:dyDescent="0.2">
      <c r="B227" s="170" t="s">
        <v>526</v>
      </c>
      <c r="C227" s="214">
        <v>40</v>
      </c>
      <c r="D227" s="214">
        <v>70</v>
      </c>
      <c r="E227" s="214">
        <v>600</v>
      </c>
      <c r="F227" s="170" t="str">
        <f t="shared" si="26"/>
        <v>5100.11</v>
      </c>
      <c r="G227" s="170" t="s">
        <v>189</v>
      </c>
      <c r="I227" s="168"/>
      <c r="J227" s="168"/>
      <c r="K227" s="168"/>
      <c r="L227" s="168"/>
      <c r="M227" s="194"/>
      <c r="N227" s="168"/>
      <c r="O227" s="168"/>
      <c r="Q227" s="169"/>
      <c r="R227" s="169"/>
      <c r="S227" s="169"/>
      <c r="T227" s="169"/>
      <c r="U227" s="169"/>
      <c r="V227" s="169"/>
      <c r="W227" s="169"/>
      <c r="X227" s="169"/>
      <c r="Z227" s="202"/>
      <c r="AA227" s="202"/>
      <c r="AB227" s="202"/>
      <c r="AC227" s="202"/>
      <c r="AD227" s="202"/>
      <c r="AE227" s="207"/>
      <c r="AF227" s="202"/>
      <c r="AG227" s="202"/>
      <c r="AI227" s="200"/>
      <c r="AJ227" s="200"/>
      <c r="AK227" s="200"/>
      <c r="AL227" s="200">
        <f>IFERROR(VLOOKUP(B227,[2]rptBudgetaryBudgetCrossOrganiza!$A$5236:$O$5854,13,FALSE),"0")</f>
        <v>0</v>
      </c>
      <c r="AM227" s="200"/>
      <c r="AN227" s="200"/>
      <c r="AO227" s="200"/>
      <c r="AP227" s="200"/>
      <c r="AQ227" s="200"/>
      <c r="AS227" s="169"/>
      <c r="AT227" s="169"/>
      <c r="AU227" s="169"/>
      <c r="AV227" s="169"/>
      <c r="AW227" s="169"/>
      <c r="AX227" s="169"/>
      <c r="AY227" s="169"/>
      <c r="AZ227" s="169"/>
    </row>
    <row r="228" spans="2:52" hidden="1" x14ac:dyDescent="0.2">
      <c r="B228" s="170" t="s">
        <v>527</v>
      </c>
      <c r="C228" s="214">
        <v>40</v>
      </c>
      <c r="D228" s="214">
        <v>70</v>
      </c>
      <c r="E228" s="214">
        <v>600</v>
      </c>
      <c r="F228" s="170" t="str">
        <f t="shared" si="26"/>
        <v>5100.15</v>
      </c>
      <c r="G228" s="170" t="s">
        <v>193</v>
      </c>
      <c r="I228" s="168"/>
      <c r="J228" s="168"/>
      <c r="K228" s="168"/>
      <c r="L228" s="168"/>
      <c r="M228" s="194"/>
      <c r="N228" s="168"/>
      <c r="O228" s="168"/>
      <c r="Q228" s="169"/>
      <c r="R228" s="169"/>
      <c r="S228" s="169"/>
      <c r="T228" s="169"/>
      <c r="U228" s="169"/>
      <c r="V228" s="169"/>
      <c r="W228" s="169"/>
      <c r="X228" s="169"/>
      <c r="Z228" s="202"/>
      <c r="AA228" s="202"/>
      <c r="AB228" s="202"/>
      <c r="AC228" s="202"/>
      <c r="AD228" s="202"/>
      <c r="AE228" s="207"/>
      <c r="AF228" s="202"/>
      <c r="AG228" s="202"/>
      <c r="AI228" s="200"/>
      <c r="AJ228" s="200"/>
      <c r="AK228" s="200"/>
      <c r="AL228" s="200">
        <f>IFERROR(VLOOKUP(B228,[2]rptBudgetaryBudgetCrossOrganiza!$A$5236:$O$5854,13,FALSE),"0")</f>
        <v>0</v>
      </c>
      <c r="AM228" s="200"/>
      <c r="AN228" s="200"/>
      <c r="AO228" s="200"/>
      <c r="AP228" s="200"/>
      <c r="AQ228" s="200"/>
      <c r="AS228" s="169"/>
      <c r="AT228" s="169"/>
      <c r="AU228" s="169"/>
      <c r="AV228" s="169"/>
      <c r="AW228" s="169"/>
      <c r="AX228" s="169"/>
      <c r="AY228" s="169"/>
      <c r="AZ228" s="169"/>
    </row>
    <row r="229" spans="2:52" hidden="1" x14ac:dyDescent="0.2">
      <c r="B229" s="170" t="s">
        <v>528</v>
      </c>
      <c r="C229" s="214">
        <v>40</v>
      </c>
      <c r="D229" s="214">
        <v>70</v>
      </c>
      <c r="E229" s="214">
        <v>600</v>
      </c>
      <c r="F229" s="170" t="str">
        <f t="shared" si="26"/>
        <v>5100.17</v>
      </c>
      <c r="G229" s="170" t="s">
        <v>300</v>
      </c>
      <c r="I229" s="168"/>
      <c r="J229" s="168"/>
      <c r="K229" s="168"/>
      <c r="L229" s="168"/>
      <c r="M229" s="194"/>
      <c r="N229" s="168"/>
      <c r="O229" s="168"/>
      <c r="Q229" s="169"/>
      <c r="R229" s="169"/>
      <c r="S229" s="169"/>
      <c r="T229" s="169"/>
      <c r="U229" s="169"/>
      <c r="V229" s="169"/>
      <c r="W229" s="169"/>
      <c r="X229" s="169"/>
      <c r="Z229" s="202"/>
      <c r="AA229" s="202"/>
      <c r="AB229" s="202"/>
      <c r="AC229" s="202"/>
      <c r="AD229" s="202"/>
      <c r="AE229" s="207"/>
      <c r="AF229" s="202"/>
      <c r="AG229" s="202"/>
      <c r="AI229" s="200"/>
      <c r="AJ229" s="200"/>
      <c r="AK229" s="200"/>
      <c r="AL229" s="200">
        <f>IFERROR(VLOOKUP(B229,[2]rptBudgetaryBudgetCrossOrganiza!$A$5236:$O$5854,13,FALSE),"0")</f>
        <v>0</v>
      </c>
      <c r="AM229" s="200"/>
      <c r="AN229" s="200"/>
      <c r="AO229" s="200"/>
      <c r="AP229" s="200"/>
      <c r="AQ229" s="200"/>
      <c r="AS229" s="169"/>
      <c r="AT229" s="169"/>
      <c r="AU229" s="169"/>
      <c r="AV229" s="169"/>
      <c r="AW229" s="169"/>
      <c r="AX229" s="169"/>
      <c r="AY229" s="169"/>
      <c r="AZ229" s="169"/>
    </row>
    <row r="230" spans="2:52" hidden="1" x14ac:dyDescent="0.2">
      <c r="B230" s="170" t="s">
        <v>529</v>
      </c>
      <c r="C230" s="214">
        <v>40</v>
      </c>
      <c r="D230" s="214">
        <v>70</v>
      </c>
      <c r="E230" s="214">
        <v>600</v>
      </c>
      <c r="F230" s="170" t="str">
        <f t="shared" si="26"/>
        <v>6000.01</v>
      </c>
      <c r="G230" s="170" t="s">
        <v>195</v>
      </c>
      <c r="I230" s="168"/>
      <c r="J230" s="168"/>
      <c r="K230" s="168"/>
      <c r="L230" s="168"/>
      <c r="M230" s="194"/>
      <c r="N230" s="168"/>
      <c r="O230" s="168"/>
      <c r="Q230" s="169"/>
      <c r="R230" s="169"/>
      <c r="S230" s="169"/>
      <c r="T230" s="169"/>
      <c r="U230" s="169"/>
      <c r="V230" s="169"/>
      <c r="W230" s="169"/>
      <c r="X230" s="169"/>
      <c r="Z230" s="202"/>
      <c r="AA230" s="202"/>
      <c r="AB230" s="202"/>
      <c r="AC230" s="202"/>
      <c r="AD230" s="202"/>
      <c r="AE230" s="207"/>
      <c r="AF230" s="202"/>
      <c r="AG230" s="202"/>
      <c r="AI230" s="200"/>
      <c r="AJ230" s="200"/>
      <c r="AK230" s="200"/>
      <c r="AL230" s="200">
        <f>IFERROR(VLOOKUP(B230,[2]rptBudgetaryBudgetCrossOrganiza!$A$5236:$O$5854,13,FALSE),"0")</f>
        <v>0</v>
      </c>
      <c r="AM230" s="200"/>
      <c r="AN230" s="200"/>
      <c r="AO230" s="200"/>
      <c r="AP230" s="200"/>
      <c r="AQ230" s="200"/>
      <c r="AS230" s="169"/>
      <c r="AT230" s="169"/>
      <c r="AU230" s="169"/>
      <c r="AV230" s="169"/>
      <c r="AW230" s="169"/>
      <c r="AX230" s="169"/>
      <c r="AY230" s="169"/>
      <c r="AZ230" s="169"/>
    </row>
    <row r="231" spans="2:52" hidden="1" x14ac:dyDescent="0.2">
      <c r="B231" s="170" t="s">
        <v>530</v>
      </c>
      <c r="C231" s="214">
        <v>40</v>
      </c>
      <c r="D231" s="214">
        <v>70</v>
      </c>
      <c r="E231" s="214">
        <v>600</v>
      </c>
      <c r="F231" s="170" t="str">
        <f t="shared" si="26"/>
        <v>6000.10</v>
      </c>
      <c r="G231" s="170" t="s">
        <v>649</v>
      </c>
      <c r="I231" s="168"/>
      <c r="J231" s="168"/>
      <c r="K231" s="168"/>
      <c r="L231" s="168"/>
      <c r="M231" s="194"/>
      <c r="N231" s="168"/>
      <c r="O231" s="168"/>
      <c r="Q231" s="169"/>
      <c r="R231" s="169"/>
      <c r="S231" s="169"/>
      <c r="T231" s="169"/>
      <c r="U231" s="169"/>
      <c r="V231" s="169"/>
      <c r="W231" s="169"/>
      <c r="X231" s="169"/>
      <c r="Z231" s="202"/>
      <c r="AA231" s="202"/>
      <c r="AB231" s="202"/>
      <c r="AC231" s="202"/>
      <c r="AD231" s="202"/>
      <c r="AE231" s="207"/>
      <c r="AF231" s="202"/>
      <c r="AG231" s="202"/>
      <c r="AI231" s="200"/>
      <c r="AJ231" s="200"/>
      <c r="AK231" s="200"/>
      <c r="AL231" s="200">
        <f>IFERROR(VLOOKUP(B231,[2]rptBudgetaryBudgetCrossOrganiza!$A$5236:$O$5854,13,FALSE),"0")</f>
        <v>0</v>
      </c>
      <c r="AM231" s="200"/>
      <c r="AN231" s="200"/>
      <c r="AO231" s="200"/>
      <c r="AP231" s="200"/>
      <c r="AQ231" s="200"/>
      <c r="AS231" s="169"/>
      <c r="AT231" s="169"/>
      <c r="AU231" s="169"/>
      <c r="AV231" s="169"/>
      <c r="AW231" s="169"/>
      <c r="AX231" s="169"/>
      <c r="AY231" s="169"/>
      <c r="AZ231" s="169"/>
    </row>
    <row r="232" spans="2:52" hidden="1" x14ac:dyDescent="0.2">
      <c r="B232" s="170" t="s">
        <v>531</v>
      </c>
      <c r="C232" s="214">
        <v>40</v>
      </c>
      <c r="D232" s="214">
        <v>70</v>
      </c>
      <c r="E232" s="214">
        <v>600</v>
      </c>
      <c r="F232" s="170" t="str">
        <f t="shared" si="26"/>
        <v>6000.12</v>
      </c>
      <c r="G232" s="170" t="s">
        <v>197</v>
      </c>
      <c r="I232" s="168"/>
      <c r="J232" s="168"/>
      <c r="K232" s="168"/>
      <c r="L232" s="168"/>
      <c r="M232" s="194"/>
      <c r="N232" s="168"/>
      <c r="O232" s="168"/>
      <c r="Q232" s="169"/>
      <c r="R232" s="169"/>
      <c r="S232" s="169"/>
      <c r="T232" s="169"/>
      <c r="U232" s="169"/>
      <c r="V232" s="169"/>
      <c r="W232" s="169"/>
      <c r="X232" s="169"/>
      <c r="Z232" s="202"/>
      <c r="AA232" s="202"/>
      <c r="AB232" s="202"/>
      <c r="AC232" s="202"/>
      <c r="AD232" s="202"/>
      <c r="AE232" s="207"/>
      <c r="AF232" s="202"/>
      <c r="AG232" s="202"/>
      <c r="AI232" s="200"/>
      <c r="AJ232" s="200"/>
      <c r="AK232" s="200"/>
      <c r="AL232" s="200">
        <f>IFERROR(VLOOKUP(B232,[2]rptBudgetaryBudgetCrossOrganiza!$A$5236:$O$5854,13,FALSE),"0")</f>
        <v>0</v>
      </c>
      <c r="AM232" s="200"/>
      <c r="AN232" s="200"/>
      <c r="AO232" s="200"/>
      <c r="AP232" s="200"/>
      <c r="AQ232" s="200"/>
      <c r="AS232" s="169"/>
      <c r="AT232" s="169"/>
      <c r="AU232" s="169"/>
      <c r="AV232" s="169"/>
      <c r="AW232" s="169"/>
      <c r="AX232" s="169"/>
      <c r="AY232" s="169"/>
      <c r="AZ232" s="169"/>
    </row>
    <row r="233" spans="2:52" hidden="1" x14ac:dyDescent="0.2">
      <c r="B233" s="170" t="s">
        <v>532</v>
      </c>
      <c r="C233" s="214">
        <v>40</v>
      </c>
      <c r="D233" s="214">
        <v>70</v>
      </c>
      <c r="E233" s="214">
        <v>600</v>
      </c>
      <c r="F233" s="170" t="str">
        <f t="shared" si="26"/>
        <v>6000.13</v>
      </c>
      <c r="G233" s="170" t="s">
        <v>650</v>
      </c>
      <c r="I233" s="168"/>
      <c r="J233" s="168"/>
      <c r="K233" s="168"/>
      <c r="L233" s="168"/>
      <c r="M233" s="194"/>
      <c r="N233" s="168"/>
      <c r="O233" s="168"/>
      <c r="Q233" s="169"/>
      <c r="R233" s="169"/>
      <c r="S233" s="169"/>
      <c r="T233" s="169"/>
      <c r="U233" s="169"/>
      <c r="V233" s="169"/>
      <c r="W233" s="169"/>
      <c r="X233" s="169"/>
      <c r="Z233" s="202"/>
      <c r="AA233" s="202"/>
      <c r="AB233" s="202"/>
      <c r="AC233" s="202"/>
      <c r="AD233" s="202"/>
      <c r="AE233" s="207"/>
      <c r="AF233" s="202"/>
      <c r="AG233" s="202"/>
      <c r="AI233" s="200"/>
      <c r="AJ233" s="200"/>
      <c r="AK233" s="200"/>
      <c r="AL233" s="200">
        <f>IFERROR(VLOOKUP(B233,[2]rptBudgetaryBudgetCrossOrganiza!$A$5236:$O$5854,13,FALSE),"0")</f>
        <v>0</v>
      </c>
      <c r="AM233" s="200"/>
      <c r="AN233" s="200"/>
      <c r="AO233" s="200"/>
      <c r="AP233" s="200"/>
      <c r="AQ233" s="200"/>
      <c r="AS233" s="169"/>
      <c r="AT233" s="169"/>
      <c r="AU233" s="169"/>
      <c r="AV233" s="169"/>
      <c r="AW233" s="169"/>
      <c r="AX233" s="169"/>
      <c r="AY233" s="169"/>
      <c r="AZ233" s="169"/>
    </row>
    <row r="234" spans="2:52" hidden="1" x14ac:dyDescent="0.2">
      <c r="B234" s="170" t="s">
        <v>533</v>
      </c>
      <c r="C234" s="214">
        <v>40</v>
      </c>
      <c r="D234" s="214">
        <v>70</v>
      </c>
      <c r="E234" s="214">
        <v>600</v>
      </c>
      <c r="F234" s="170" t="str">
        <f t="shared" si="26"/>
        <v>6000.14</v>
      </c>
      <c r="G234" s="170" t="s">
        <v>651</v>
      </c>
      <c r="I234" s="168"/>
      <c r="J234" s="168"/>
      <c r="K234" s="168"/>
      <c r="L234" s="168"/>
      <c r="M234" s="194"/>
      <c r="N234" s="168"/>
      <c r="O234" s="168"/>
      <c r="Q234" s="169"/>
      <c r="R234" s="169"/>
      <c r="S234" s="169"/>
      <c r="T234" s="169"/>
      <c r="U234" s="169"/>
      <c r="V234" s="169"/>
      <c r="W234" s="169"/>
      <c r="X234" s="169"/>
      <c r="Z234" s="202"/>
      <c r="AA234" s="202"/>
      <c r="AB234" s="202"/>
      <c r="AC234" s="202"/>
      <c r="AD234" s="202"/>
      <c r="AE234" s="207"/>
      <c r="AF234" s="202"/>
      <c r="AG234" s="202"/>
      <c r="AI234" s="200"/>
      <c r="AJ234" s="200"/>
      <c r="AK234" s="200"/>
      <c r="AL234" s="200">
        <f>IFERROR(VLOOKUP(B234,[2]rptBudgetaryBudgetCrossOrganiza!$A$5236:$O$5854,13,FALSE),"0")</f>
        <v>0</v>
      </c>
      <c r="AM234" s="200"/>
      <c r="AN234" s="200"/>
      <c r="AO234" s="200"/>
      <c r="AP234" s="200"/>
      <c r="AQ234" s="200"/>
      <c r="AS234" s="169"/>
      <c r="AT234" s="169"/>
      <c r="AU234" s="169"/>
      <c r="AV234" s="169"/>
      <c r="AW234" s="169"/>
      <c r="AX234" s="169"/>
      <c r="AY234" s="169"/>
      <c r="AZ234" s="169"/>
    </row>
    <row r="235" spans="2:52" hidden="1" x14ac:dyDescent="0.2">
      <c r="B235" s="170" t="s">
        <v>534</v>
      </c>
      <c r="C235" s="214">
        <v>40</v>
      </c>
      <c r="D235" s="214">
        <v>70</v>
      </c>
      <c r="E235" s="214">
        <v>600</v>
      </c>
      <c r="F235" s="170" t="str">
        <f t="shared" si="26"/>
        <v>6000.18</v>
      </c>
      <c r="G235" s="170" t="s">
        <v>652</v>
      </c>
      <c r="I235" s="168"/>
      <c r="J235" s="168"/>
      <c r="K235" s="168"/>
      <c r="L235" s="168"/>
      <c r="M235" s="194"/>
      <c r="N235" s="168"/>
      <c r="O235" s="168"/>
      <c r="Q235" s="169"/>
      <c r="R235" s="169"/>
      <c r="S235" s="169"/>
      <c r="T235" s="169"/>
      <c r="U235" s="169"/>
      <c r="V235" s="169"/>
      <c r="W235" s="169"/>
      <c r="X235" s="169"/>
      <c r="Z235" s="202"/>
      <c r="AA235" s="202"/>
      <c r="AB235" s="202"/>
      <c r="AC235" s="202"/>
      <c r="AD235" s="202"/>
      <c r="AE235" s="207"/>
      <c r="AF235" s="202"/>
      <c r="AG235" s="202"/>
      <c r="AI235" s="200"/>
      <c r="AJ235" s="200"/>
      <c r="AK235" s="200"/>
      <c r="AL235" s="200">
        <f>IFERROR(VLOOKUP(B235,[2]rptBudgetaryBudgetCrossOrganiza!$A$5236:$O$5854,13,FALSE),"0")</f>
        <v>0</v>
      </c>
      <c r="AM235" s="200"/>
      <c r="AN235" s="200"/>
      <c r="AO235" s="200"/>
      <c r="AP235" s="200"/>
      <c r="AQ235" s="200"/>
      <c r="AS235" s="169"/>
      <c r="AT235" s="169"/>
      <c r="AU235" s="169"/>
      <c r="AV235" s="169"/>
      <c r="AW235" s="169"/>
      <c r="AX235" s="169"/>
      <c r="AY235" s="169"/>
      <c r="AZ235" s="169"/>
    </row>
    <row r="236" spans="2:52" hidden="1" x14ac:dyDescent="0.2">
      <c r="B236" s="170" t="s">
        <v>535</v>
      </c>
      <c r="C236" s="214">
        <v>40</v>
      </c>
      <c r="D236" s="214">
        <v>70</v>
      </c>
      <c r="E236" s="214">
        <v>600</v>
      </c>
      <c r="F236" s="170" t="str">
        <f t="shared" si="26"/>
        <v>6100.01</v>
      </c>
      <c r="G236" s="170" t="s">
        <v>198</v>
      </c>
      <c r="I236" s="168"/>
      <c r="J236" s="168"/>
      <c r="K236" s="168"/>
      <c r="L236" s="168"/>
      <c r="M236" s="194"/>
      <c r="N236" s="168"/>
      <c r="O236" s="168"/>
      <c r="Q236" s="169"/>
      <c r="R236" s="169"/>
      <c r="S236" s="169"/>
      <c r="T236" s="169"/>
      <c r="U236" s="169"/>
      <c r="V236" s="169"/>
      <c r="W236" s="169"/>
      <c r="X236" s="169"/>
      <c r="Z236" s="202"/>
      <c r="AA236" s="202"/>
      <c r="AB236" s="202"/>
      <c r="AC236" s="202"/>
      <c r="AD236" s="202"/>
      <c r="AE236" s="207"/>
      <c r="AF236" s="202"/>
      <c r="AG236" s="202"/>
      <c r="AI236" s="200"/>
      <c r="AJ236" s="200"/>
      <c r="AK236" s="200"/>
      <c r="AL236" s="200">
        <f>IFERROR(VLOOKUP(B236,[2]rptBudgetaryBudgetCrossOrganiza!$A$5236:$O$5854,13,FALSE),"0")</f>
        <v>0</v>
      </c>
      <c r="AM236" s="200"/>
      <c r="AN236" s="200"/>
      <c r="AO236" s="200"/>
      <c r="AP236" s="200"/>
      <c r="AQ236" s="200"/>
      <c r="AS236" s="169"/>
      <c r="AT236" s="169"/>
      <c r="AU236" s="169"/>
      <c r="AV236" s="169"/>
      <c r="AW236" s="169"/>
      <c r="AX236" s="169"/>
      <c r="AY236" s="169"/>
      <c r="AZ236" s="169"/>
    </row>
    <row r="237" spans="2:52" hidden="1" x14ac:dyDescent="0.2">
      <c r="B237" s="170" t="s">
        <v>536</v>
      </c>
      <c r="C237" s="214">
        <v>40</v>
      </c>
      <c r="D237" s="214">
        <v>70</v>
      </c>
      <c r="E237" s="214">
        <v>600</v>
      </c>
      <c r="F237" s="170" t="str">
        <f t="shared" si="26"/>
        <v>6100.02</v>
      </c>
      <c r="G237" s="170" t="s">
        <v>653</v>
      </c>
      <c r="I237" s="168"/>
      <c r="J237" s="168"/>
      <c r="K237" s="168"/>
      <c r="L237" s="168"/>
      <c r="M237" s="194"/>
      <c r="N237" s="168"/>
      <c r="O237" s="168"/>
      <c r="Q237" s="169"/>
      <c r="R237" s="169"/>
      <c r="S237" s="169"/>
      <c r="T237" s="169"/>
      <c r="U237" s="169"/>
      <c r="V237" s="169"/>
      <c r="W237" s="169"/>
      <c r="X237" s="169"/>
      <c r="Z237" s="202"/>
      <c r="AA237" s="202"/>
      <c r="AB237" s="202"/>
      <c r="AC237" s="202"/>
      <c r="AD237" s="202"/>
      <c r="AE237" s="207"/>
      <c r="AF237" s="202"/>
      <c r="AG237" s="202"/>
      <c r="AI237" s="200"/>
      <c r="AJ237" s="200"/>
      <c r="AK237" s="200"/>
      <c r="AL237" s="200">
        <f>IFERROR(VLOOKUP(B237,[2]rptBudgetaryBudgetCrossOrganiza!$A$5236:$O$5854,13,FALSE),"0")</f>
        <v>0</v>
      </c>
      <c r="AM237" s="200"/>
      <c r="AN237" s="200"/>
      <c r="AO237" s="200"/>
      <c r="AP237" s="200"/>
      <c r="AQ237" s="200"/>
      <c r="AS237" s="169"/>
      <c r="AT237" s="169"/>
      <c r="AU237" s="169"/>
      <c r="AV237" s="169"/>
      <c r="AW237" s="169"/>
      <c r="AX237" s="169"/>
      <c r="AY237" s="169"/>
      <c r="AZ237" s="169"/>
    </row>
    <row r="238" spans="2:52" hidden="1" x14ac:dyDescent="0.2">
      <c r="B238" s="170" t="s">
        <v>537</v>
      </c>
      <c r="C238" s="214">
        <v>40</v>
      </c>
      <c r="D238" s="214">
        <v>70</v>
      </c>
      <c r="E238" s="214">
        <v>600</v>
      </c>
      <c r="F238" s="170" t="str">
        <f t="shared" si="26"/>
        <v>6100.03</v>
      </c>
      <c r="G238" s="170" t="s">
        <v>654</v>
      </c>
      <c r="I238" s="168"/>
      <c r="J238" s="168"/>
      <c r="K238" s="168"/>
      <c r="L238" s="168"/>
      <c r="M238" s="194"/>
      <c r="N238" s="168"/>
      <c r="O238" s="168"/>
      <c r="Q238" s="169"/>
      <c r="R238" s="169"/>
      <c r="S238" s="169"/>
      <c r="T238" s="169"/>
      <c r="U238" s="169"/>
      <c r="V238" s="169"/>
      <c r="W238" s="169"/>
      <c r="X238" s="169"/>
      <c r="Z238" s="202"/>
      <c r="AA238" s="202"/>
      <c r="AB238" s="202"/>
      <c r="AC238" s="202"/>
      <c r="AD238" s="202"/>
      <c r="AE238" s="207"/>
      <c r="AF238" s="202"/>
      <c r="AG238" s="202"/>
      <c r="AI238" s="200"/>
      <c r="AJ238" s="200"/>
      <c r="AK238" s="200"/>
      <c r="AL238" s="200">
        <f>IFERROR(VLOOKUP(B238,[2]rptBudgetaryBudgetCrossOrganiza!$A$5236:$O$5854,13,FALSE),"0")</f>
        <v>0</v>
      </c>
      <c r="AM238" s="200"/>
      <c r="AN238" s="200"/>
      <c r="AO238" s="200"/>
      <c r="AP238" s="200"/>
      <c r="AQ238" s="200"/>
      <c r="AS238" s="169"/>
      <c r="AT238" s="169"/>
      <c r="AU238" s="169"/>
      <c r="AV238" s="169"/>
      <c r="AW238" s="169"/>
      <c r="AX238" s="169"/>
      <c r="AY238" s="169"/>
      <c r="AZ238" s="169"/>
    </row>
    <row r="239" spans="2:52" hidden="1" x14ac:dyDescent="0.2">
      <c r="B239" s="170" t="s">
        <v>538</v>
      </c>
      <c r="C239" s="214">
        <v>40</v>
      </c>
      <c r="D239" s="214">
        <v>70</v>
      </c>
      <c r="E239" s="214">
        <v>600</v>
      </c>
      <c r="F239" s="170" t="str">
        <f t="shared" si="26"/>
        <v>6200.01</v>
      </c>
      <c r="G239" s="170" t="s">
        <v>655</v>
      </c>
      <c r="I239" s="168"/>
      <c r="J239" s="168"/>
      <c r="K239" s="168"/>
      <c r="L239" s="168"/>
      <c r="M239" s="194"/>
      <c r="N239" s="168"/>
      <c r="O239" s="168"/>
      <c r="Q239" s="169"/>
      <c r="R239" s="169"/>
      <c r="S239" s="169"/>
      <c r="T239" s="169"/>
      <c r="U239" s="169"/>
      <c r="V239" s="169"/>
      <c r="W239" s="169"/>
      <c r="X239" s="169"/>
      <c r="Z239" s="202"/>
      <c r="AA239" s="202"/>
      <c r="AB239" s="202"/>
      <c r="AC239" s="202"/>
      <c r="AD239" s="202"/>
      <c r="AE239" s="207"/>
      <c r="AF239" s="202"/>
      <c r="AG239" s="202"/>
      <c r="AI239" s="200"/>
      <c r="AJ239" s="200"/>
      <c r="AK239" s="200"/>
      <c r="AL239" s="200">
        <f>IFERROR(VLOOKUP(B239,[2]rptBudgetaryBudgetCrossOrganiza!$A$5236:$O$5854,13,FALSE),"0")</f>
        <v>0</v>
      </c>
      <c r="AM239" s="200"/>
      <c r="AN239" s="200"/>
      <c r="AO239" s="200"/>
      <c r="AP239" s="200"/>
      <c r="AQ239" s="200"/>
      <c r="AS239" s="169"/>
      <c r="AT239" s="169"/>
      <c r="AU239" s="169"/>
      <c r="AV239" s="169"/>
      <c r="AW239" s="169"/>
      <c r="AX239" s="169"/>
      <c r="AY239" s="169"/>
      <c r="AZ239" s="169"/>
    </row>
    <row r="240" spans="2:52" hidden="1" x14ac:dyDescent="0.2">
      <c r="B240" s="170" t="s">
        <v>539</v>
      </c>
      <c r="C240" s="214">
        <v>40</v>
      </c>
      <c r="D240" s="214">
        <v>70</v>
      </c>
      <c r="E240" s="214">
        <v>600</v>
      </c>
      <c r="F240" s="170" t="str">
        <f t="shared" si="26"/>
        <v>6200.02</v>
      </c>
      <c r="G240" s="170" t="s">
        <v>199</v>
      </c>
      <c r="I240" s="168"/>
      <c r="J240" s="168"/>
      <c r="K240" s="168"/>
      <c r="L240" s="168"/>
      <c r="M240" s="194"/>
      <c r="N240" s="168"/>
      <c r="O240" s="168"/>
      <c r="Q240" s="169"/>
      <c r="R240" s="169"/>
      <c r="S240" s="169"/>
      <c r="T240" s="169"/>
      <c r="U240" s="169"/>
      <c r="V240" s="169"/>
      <c r="W240" s="169"/>
      <c r="X240" s="169"/>
      <c r="Z240" s="202"/>
      <c r="AA240" s="202"/>
      <c r="AB240" s="202"/>
      <c r="AC240" s="202"/>
      <c r="AD240" s="202"/>
      <c r="AE240" s="207"/>
      <c r="AF240" s="202"/>
      <c r="AG240" s="202"/>
      <c r="AI240" s="200"/>
      <c r="AJ240" s="200"/>
      <c r="AK240" s="200"/>
      <c r="AL240" s="200">
        <f>IFERROR(VLOOKUP(B240,[2]rptBudgetaryBudgetCrossOrganiza!$A$5236:$O$5854,13,FALSE),"0")</f>
        <v>0</v>
      </c>
      <c r="AM240" s="200"/>
      <c r="AN240" s="200"/>
      <c r="AO240" s="200"/>
      <c r="AP240" s="200"/>
      <c r="AQ240" s="200"/>
      <c r="AS240" s="169"/>
      <c r="AT240" s="169"/>
      <c r="AU240" s="169"/>
      <c r="AV240" s="169"/>
      <c r="AW240" s="169"/>
      <c r="AX240" s="169"/>
      <c r="AY240" s="169"/>
      <c r="AZ240" s="169"/>
    </row>
    <row r="241" spans="2:52" hidden="1" x14ac:dyDescent="0.2">
      <c r="B241" s="170" t="s">
        <v>540</v>
      </c>
      <c r="C241" s="214">
        <v>40</v>
      </c>
      <c r="D241" s="214">
        <v>70</v>
      </c>
      <c r="E241" s="214">
        <v>600</v>
      </c>
      <c r="F241" s="170" t="str">
        <f t="shared" si="26"/>
        <v>6200.03</v>
      </c>
      <c r="G241" s="170" t="s">
        <v>200</v>
      </c>
      <c r="I241" s="168"/>
      <c r="J241" s="168"/>
      <c r="K241" s="168"/>
      <c r="L241" s="168"/>
      <c r="M241" s="194"/>
      <c r="N241" s="168"/>
      <c r="O241" s="168"/>
      <c r="Q241" s="169"/>
      <c r="R241" s="169"/>
      <c r="S241" s="169"/>
      <c r="T241" s="169"/>
      <c r="U241" s="169"/>
      <c r="V241" s="169"/>
      <c r="W241" s="169"/>
      <c r="X241" s="169"/>
      <c r="Z241" s="202"/>
      <c r="AA241" s="202"/>
      <c r="AB241" s="202"/>
      <c r="AC241" s="202"/>
      <c r="AD241" s="202"/>
      <c r="AE241" s="207"/>
      <c r="AF241" s="202"/>
      <c r="AG241" s="202"/>
      <c r="AI241" s="200"/>
      <c r="AJ241" s="200"/>
      <c r="AK241" s="200"/>
      <c r="AL241" s="200">
        <f>IFERROR(VLOOKUP(B241,[2]rptBudgetaryBudgetCrossOrganiza!$A$5236:$O$5854,13,FALSE),"0")</f>
        <v>0</v>
      </c>
      <c r="AM241" s="200"/>
      <c r="AN241" s="200"/>
      <c r="AO241" s="200"/>
      <c r="AP241" s="200"/>
      <c r="AQ241" s="200"/>
      <c r="AS241" s="169"/>
      <c r="AT241" s="169"/>
      <c r="AU241" s="169"/>
      <c r="AV241" s="169"/>
      <c r="AW241" s="169"/>
      <c r="AX241" s="169"/>
      <c r="AY241" s="169"/>
      <c r="AZ241" s="169"/>
    </row>
    <row r="242" spans="2:52" hidden="1" x14ac:dyDescent="0.2">
      <c r="B242" s="170" t="s">
        <v>541</v>
      </c>
      <c r="C242" s="214">
        <v>40</v>
      </c>
      <c r="D242" s="214">
        <v>70</v>
      </c>
      <c r="E242" s="214">
        <v>600</v>
      </c>
      <c r="F242" s="170" t="str">
        <f t="shared" si="26"/>
        <v>6200.04</v>
      </c>
      <c r="G242" s="170" t="s">
        <v>656</v>
      </c>
      <c r="I242" s="168"/>
      <c r="J242" s="168"/>
      <c r="K242" s="168"/>
      <c r="L242" s="168"/>
      <c r="M242" s="194"/>
      <c r="N242" s="168"/>
      <c r="O242" s="168"/>
      <c r="Q242" s="169"/>
      <c r="R242" s="169"/>
      <c r="S242" s="169"/>
      <c r="T242" s="169"/>
      <c r="U242" s="169"/>
      <c r="V242" s="169"/>
      <c r="W242" s="169"/>
      <c r="X242" s="169"/>
      <c r="Z242" s="202"/>
      <c r="AA242" s="202"/>
      <c r="AB242" s="202"/>
      <c r="AC242" s="202"/>
      <c r="AD242" s="202"/>
      <c r="AE242" s="207"/>
      <c r="AF242" s="202"/>
      <c r="AG242" s="202"/>
      <c r="AI242" s="200"/>
      <c r="AJ242" s="200"/>
      <c r="AK242" s="200"/>
      <c r="AL242" s="200">
        <f>IFERROR(VLOOKUP(B242,[2]rptBudgetaryBudgetCrossOrganiza!$A$5236:$O$5854,13,FALSE),"0")</f>
        <v>0</v>
      </c>
      <c r="AM242" s="200"/>
      <c r="AN242" s="200"/>
      <c r="AO242" s="200"/>
      <c r="AP242" s="200"/>
      <c r="AQ242" s="200"/>
      <c r="AS242" s="169"/>
      <c r="AT242" s="169"/>
      <c r="AU242" s="169"/>
      <c r="AV242" s="169"/>
      <c r="AW242" s="169"/>
      <c r="AX242" s="169"/>
      <c r="AY242" s="169"/>
      <c r="AZ242" s="169"/>
    </row>
    <row r="243" spans="2:52" hidden="1" x14ac:dyDescent="0.2">
      <c r="B243" s="170" t="s">
        <v>542</v>
      </c>
      <c r="C243" s="214">
        <v>40</v>
      </c>
      <c r="D243" s="214">
        <v>70</v>
      </c>
      <c r="E243" s="214">
        <v>600</v>
      </c>
      <c r="F243" s="170" t="str">
        <f t="shared" si="26"/>
        <v>6200.05</v>
      </c>
      <c r="G243" s="170" t="s">
        <v>201</v>
      </c>
      <c r="I243" s="168"/>
      <c r="J243" s="168"/>
      <c r="K243" s="168"/>
      <c r="L243" s="168"/>
      <c r="M243" s="194"/>
      <c r="N243" s="168"/>
      <c r="O243" s="168"/>
      <c r="Q243" s="169"/>
      <c r="R243" s="169"/>
      <c r="S243" s="169"/>
      <c r="T243" s="169"/>
      <c r="U243" s="169"/>
      <c r="V243" s="169"/>
      <c r="W243" s="169"/>
      <c r="X243" s="169"/>
      <c r="Z243" s="202"/>
      <c r="AA243" s="202"/>
      <c r="AB243" s="202"/>
      <c r="AC243" s="202"/>
      <c r="AD243" s="202"/>
      <c r="AE243" s="207"/>
      <c r="AF243" s="202"/>
      <c r="AG243" s="202"/>
      <c r="AI243" s="200"/>
      <c r="AJ243" s="200"/>
      <c r="AK243" s="200"/>
      <c r="AL243" s="200">
        <f>IFERROR(VLOOKUP(B243,[2]rptBudgetaryBudgetCrossOrganiza!$A$5236:$O$5854,13,FALSE),"0")</f>
        <v>0</v>
      </c>
      <c r="AM243" s="200"/>
      <c r="AN243" s="200"/>
      <c r="AO243" s="200"/>
      <c r="AP243" s="200"/>
      <c r="AQ243" s="200"/>
      <c r="AS243" s="169"/>
      <c r="AT243" s="169"/>
      <c r="AU243" s="169"/>
      <c r="AV243" s="169"/>
      <c r="AW243" s="169"/>
      <c r="AX243" s="169"/>
      <c r="AY243" s="169"/>
      <c r="AZ243" s="169"/>
    </row>
    <row r="244" spans="2:52" hidden="1" x14ac:dyDescent="0.2">
      <c r="B244" s="170" t="s">
        <v>543</v>
      </c>
      <c r="C244" s="214">
        <v>40</v>
      </c>
      <c r="D244" s="214">
        <v>70</v>
      </c>
      <c r="E244" s="214">
        <v>600</v>
      </c>
      <c r="F244" s="170" t="str">
        <f t="shared" si="26"/>
        <v>6200.09</v>
      </c>
      <c r="G244" s="170" t="s">
        <v>657</v>
      </c>
      <c r="I244" s="168"/>
      <c r="J244" s="168"/>
      <c r="K244" s="168"/>
      <c r="L244" s="168"/>
      <c r="M244" s="194"/>
      <c r="N244" s="168"/>
      <c r="O244" s="168"/>
      <c r="Q244" s="169"/>
      <c r="R244" s="169"/>
      <c r="S244" s="169"/>
      <c r="T244" s="169"/>
      <c r="U244" s="169"/>
      <c r="V244" s="169"/>
      <c r="W244" s="169"/>
      <c r="X244" s="169"/>
      <c r="Z244" s="202"/>
      <c r="AA244" s="202"/>
      <c r="AB244" s="202"/>
      <c r="AC244" s="202"/>
      <c r="AD244" s="202"/>
      <c r="AE244" s="207"/>
      <c r="AF244" s="202"/>
      <c r="AG244" s="202"/>
      <c r="AI244" s="200"/>
      <c r="AJ244" s="200"/>
      <c r="AK244" s="200"/>
      <c r="AL244" s="200">
        <f>IFERROR(VLOOKUP(B244,[2]rptBudgetaryBudgetCrossOrganiza!$A$5236:$O$5854,13,FALSE),"0")</f>
        <v>0</v>
      </c>
      <c r="AM244" s="200"/>
      <c r="AN244" s="200"/>
      <c r="AO244" s="200"/>
      <c r="AP244" s="200"/>
      <c r="AQ244" s="200"/>
      <c r="AS244" s="169"/>
      <c r="AT244" s="169"/>
      <c r="AU244" s="169"/>
      <c r="AV244" s="169"/>
      <c r="AW244" s="169"/>
      <c r="AX244" s="169"/>
      <c r="AY244" s="169"/>
      <c r="AZ244" s="169"/>
    </row>
    <row r="245" spans="2:52" hidden="1" x14ac:dyDescent="0.2">
      <c r="B245" s="170" t="s">
        <v>544</v>
      </c>
      <c r="C245" s="214">
        <v>40</v>
      </c>
      <c r="D245" s="214">
        <v>70</v>
      </c>
      <c r="E245" s="214">
        <v>600</v>
      </c>
      <c r="F245" s="170" t="str">
        <f t="shared" si="26"/>
        <v>6300.01</v>
      </c>
      <c r="G245" s="170" t="s">
        <v>658</v>
      </c>
      <c r="I245" s="168"/>
      <c r="J245" s="168"/>
      <c r="K245" s="168"/>
      <c r="L245" s="168"/>
      <c r="M245" s="194"/>
      <c r="N245" s="168"/>
      <c r="O245" s="168"/>
      <c r="Q245" s="169"/>
      <c r="R245" s="169"/>
      <c r="S245" s="169"/>
      <c r="T245" s="169"/>
      <c r="U245" s="169"/>
      <c r="V245" s="169"/>
      <c r="W245" s="169"/>
      <c r="X245" s="169"/>
      <c r="Z245" s="202"/>
      <c r="AA245" s="202"/>
      <c r="AB245" s="202"/>
      <c r="AC245" s="202"/>
      <c r="AD245" s="202"/>
      <c r="AE245" s="207"/>
      <c r="AF245" s="202"/>
      <c r="AG245" s="202"/>
      <c r="AI245" s="200"/>
      <c r="AJ245" s="200"/>
      <c r="AK245" s="200"/>
      <c r="AL245" s="200">
        <f>IFERROR(VLOOKUP(B245,[2]rptBudgetaryBudgetCrossOrganiza!$A$5236:$O$5854,13,FALSE),"0")</f>
        <v>0</v>
      </c>
      <c r="AM245" s="200"/>
      <c r="AN245" s="200"/>
      <c r="AO245" s="200"/>
      <c r="AP245" s="200"/>
      <c r="AQ245" s="200"/>
      <c r="AS245" s="169"/>
      <c r="AT245" s="169"/>
      <c r="AU245" s="169"/>
      <c r="AV245" s="169"/>
      <c r="AW245" s="169"/>
      <c r="AX245" s="169"/>
      <c r="AY245" s="169"/>
      <c r="AZ245" s="169"/>
    </row>
    <row r="246" spans="2:52" hidden="1" x14ac:dyDescent="0.2">
      <c r="B246" s="170" t="s">
        <v>545</v>
      </c>
      <c r="C246" s="214">
        <v>40</v>
      </c>
      <c r="D246" s="214">
        <v>70</v>
      </c>
      <c r="E246" s="214">
        <v>600</v>
      </c>
      <c r="F246" s="170" t="str">
        <f t="shared" si="26"/>
        <v>6300.02</v>
      </c>
      <c r="G246" s="170" t="s">
        <v>659</v>
      </c>
      <c r="I246" s="168"/>
      <c r="J246" s="168"/>
      <c r="K246" s="168"/>
      <c r="L246" s="168"/>
      <c r="M246" s="194"/>
      <c r="N246" s="168"/>
      <c r="O246" s="168"/>
      <c r="Q246" s="169"/>
      <c r="R246" s="169"/>
      <c r="S246" s="169"/>
      <c r="T246" s="169"/>
      <c r="U246" s="169"/>
      <c r="V246" s="169"/>
      <c r="W246" s="169"/>
      <c r="X246" s="169"/>
      <c r="Z246" s="202"/>
      <c r="AA246" s="202"/>
      <c r="AB246" s="202"/>
      <c r="AC246" s="202"/>
      <c r="AD246" s="202"/>
      <c r="AE246" s="207"/>
      <c r="AF246" s="202"/>
      <c r="AG246" s="202"/>
      <c r="AI246" s="200"/>
      <c r="AJ246" s="200"/>
      <c r="AK246" s="200"/>
      <c r="AL246" s="200">
        <f>IFERROR(VLOOKUP(B246,[2]rptBudgetaryBudgetCrossOrganiza!$A$5236:$O$5854,13,FALSE),"0")</f>
        <v>0</v>
      </c>
      <c r="AM246" s="200"/>
      <c r="AN246" s="200"/>
      <c r="AO246" s="200"/>
      <c r="AP246" s="200"/>
      <c r="AQ246" s="200"/>
      <c r="AS246" s="169"/>
      <c r="AT246" s="169"/>
      <c r="AU246" s="169"/>
      <c r="AV246" s="169"/>
      <c r="AW246" s="169"/>
      <c r="AX246" s="169"/>
      <c r="AY246" s="169"/>
      <c r="AZ246" s="169"/>
    </row>
    <row r="247" spans="2:52" hidden="1" x14ac:dyDescent="0.2">
      <c r="B247" s="170" t="s">
        <v>546</v>
      </c>
      <c r="C247" s="214">
        <v>40</v>
      </c>
      <c r="D247" s="214">
        <v>70</v>
      </c>
      <c r="E247" s="214">
        <v>600</v>
      </c>
      <c r="F247" s="170" t="str">
        <f t="shared" si="26"/>
        <v>6300.03</v>
      </c>
      <c r="G247" s="170" t="s">
        <v>212</v>
      </c>
      <c r="I247" s="168"/>
      <c r="J247" s="168"/>
      <c r="K247" s="168"/>
      <c r="L247" s="168"/>
      <c r="M247" s="194"/>
      <c r="N247" s="168"/>
      <c r="O247" s="168"/>
      <c r="Q247" s="169"/>
      <c r="R247" s="169"/>
      <c r="S247" s="169"/>
      <c r="T247" s="169"/>
      <c r="U247" s="169"/>
      <c r="V247" s="169"/>
      <c r="W247" s="169"/>
      <c r="X247" s="169"/>
      <c r="Z247" s="202"/>
      <c r="AA247" s="202"/>
      <c r="AB247" s="202"/>
      <c r="AC247" s="202"/>
      <c r="AD247" s="202"/>
      <c r="AE247" s="207"/>
      <c r="AF247" s="202"/>
      <c r="AG247" s="202"/>
      <c r="AI247" s="200"/>
      <c r="AJ247" s="200"/>
      <c r="AK247" s="200"/>
      <c r="AL247" s="200">
        <f>IFERROR(VLOOKUP(B247,[2]rptBudgetaryBudgetCrossOrganiza!$A$5236:$O$5854,13,FALSE),"0")</f>
        <v>0</v>
      </c>
      <c r="AM247" s="200"/>
      <c r="AN247" s="200"/>
      <c r="AO247" s="200"/>
      <c r="AP247" s="200"/>
      <c r="AQ247" s="200"/>
      <c r="AS247" s="169"/>
      <c r="AT247" s="169"/>
      <c r="AU247" s="169"/>
      <c r="AV247" s="169"/>
      <c r="AW247" s="169"/>
      <c r="AX247" s="169"/>
      <c r="AY247" s="169"/>
      <c r="AZ247" s="169"/>
    </row>
    <row r="248" spans="2:52" hidden="1" x14ac:dyDescent="0.2">
      <c r="B248" s="170" t="s">
        <v>547</v>
      </c>
      <c r="C248" s="214">
        <v>40</v>
      </c>
      <c r="D248" s="214">
        <v>70</v>
      </c>
      <c r="E248" s="214">
        <v>600</v>
      </c>
      <c r="F248" s="170" t="str">
        <f t="shared" si="26"/>
        <v>6350.01</v>
      </c>
      <c r="G248" s="170" t="s">
        <v>660</v>
      </c>
      <c r="I248" s="168"/>
      <c r="J248" s="168"/>
      <c r="K248" s="168"/>
      <c r="L248" s="168"/>
      <c r="M248" s="194"/>
      <c r="N248" s="168"/>
      <c r="O248" s="168"/>
      <c r="Q248" s="169"/>
      <c r="R248" s="169"/>
      <c r="S248" s="169"/>
      <c r="T248" s="169"/>
      <c r="U248" s="169"/>
      <c r="V248" s="169"/>
      <c r="W248" s="169"/>
      <c r="X248" s="169"/>
      <c r="Z248" s="202"/>
      <c r="AA248" s="202"/>
      <c r="AB248" s="202"/>
      <c r="AC248" s="202"/>
      <c r="AD248" s="202"/>
      <c r="AE248" s="207"/>
      <c r="AF248" s="202"/>
      <c r="AG248" s="202"/>
      <c r="AI248" s="200"/>
      <c r="AJ248" s="200"/>
      <c r="AK248" s="200"/>
      <c r="AL248" s="200">
        <f>IFERROR(VLOOKUP(B248,[2]rptBudgetaryBudgetCrossOrganiza!$A$5236:$O$5854,13,FALSE),"0")</f>
        <v>0</v>
      </c>
      <c r="AM248" s="200"/>
      <c r="AN248" s="200"/>
      <c r="AO248" s="200"/>
      <c r="AP248" s="200"/>
      <c r="AQ248" s="200"/>
      <c r="AS248" s="169"/>
      <c r="AT248" s="169"/>
      <c r="AU248" s="169"/>
      <c r="AV248" s="169"/>
      <c r="AW248" s="169"/>
      <c r="AX248" s="169"/>
      <c r="AY248" s="169"/>
      <c r="AZ248" s="169"/>
    </row>
    <row r="249" spans="2:52" hidden="1" x14ac:dyDescent="0.2">
      <c r="B249" s="170" t="s">
        <v>548</v>
      </c>
      <c r="C249" s="214">
        <v>40</v>
      </c>
      <c r="D249" s="214">
        <v>70</v>
      </c>
      <c r="E249" s="214">
        <v>600</v>
      </c>
      <c r="F249" s="170" t="str">
        <f t="shared" si="26"/>
        <v>6350.02</v>
      </c>
      <c r="G249" s="170" t="s">
        <v>661</v>
      </c>
      <c r="I249" s="168"/>
      <c r="J249" s="168"/>
      <c r="K249" s="168"/>
      <c r="L249" s="168"/>
      <c r="M249" s="194"/>
      <c r="N249" s="168"/>
      <c r="O249" s="168"/>
      <c r="Q249" s="169"/>
      <c r="R249" s="169"/>
      <c r="S249" s="169"/>
      <c r="T249" s="169"/>
      <c r="U249" s="169"/>
      <c r="V249" s="169"/>
      <c r="W249" s="169"/>
      <c r="X249" s="169"/>
      <c r="Z249" s="202"/>
      <c r="AA249" s="202"/>
      <c r="AB249" s="202"/>
      <c r="AC249" s="202"/>
      <c r="AD249" s="202"/>
      <c r="AE249" s="207"/>
      <c r="AF249" s="202"/>
      <c r="AG249" s="202"/>
      <c r="AI249" s="200"/>
      <c r="AJ249" s="200"/>
      <c r="AK249" s="200"/>
      <c r="AL249" s="200">
        <f>IFERROR(VLOOKUP(B249,[2]rptBudgetaryBudgetCrossOrganiza!$A$5236:$O$5854,13,FALSE),"0")</f>
        <v>0</v>
      </c>
      <c r="AM249" s="200"/>
      <c r="AN249" s="200"/>
      <c r="AO249" s="200"/>
      <c r="AP249" s="200"/>
      <c r="AQ249" s="200"/>
      <c r="AS249" s="169"/>
      <c r="AT249" s="169"/>
      <c r="AU249" s="169"/>
      <c r="AV249" s="169"/>
      <c r="AW249" s="169"/>
      <c r="AX249" s="169"/>
      <c r="AY249" s="169"/>
      <c r="AZ249" s="169"/>
    </row>
    <row r="250" spans="2:52" hidden="1" x14ac:dyDescent="0.2">
      <c r="B250" s="170" t="s">
        <v>549</v>
      </c>
      <c r="C250" s="214">
        <v>40</v>
      </c>
      <c r="D250" s="214">
        <v>70</v>
      </c>
      <c r="E250" s="214">
        <v>600</v>
      </c>
      <c r="F250" s="170" t="str">
        <f t="shared" si="26"/>
        <v>6350.03</v>
      </c>
      <c r="G250" s="170" t="s">
        <v>662</v>
      </c>
      <c r="I250" s="168"/>
      <c r="J250" s="168"/>
      <c r="K250" s="168"/>
      <c r="L250" s="168"/>
      <c r="M250" s="194"/>
      <c r="N250" s="168"/>
      <c r="O250" s="168"/>
      <c r="Q250" s="169"/>
      <c r="R250" s="169"/>
      <c r="S250" s="169"/>
      <c r="T250" s="169"/>
      <c r="U250" s="169"/>
      <c r="V250" s="169"/>
      <c r="W250" s="169"/>
      <c r="X250" s="169"/>
      <c r="Z250" s="202"/>
      <c r="AA250" s="202"/>
      <c r="AB250" s="202"/>
      <c r="AC250" s="202"/>
      <c r="AD250" s="202"/>
      <c r="AE250" s="207"/>
      <c r="AF250" s="202"/>
      <c r="AG250" s="202"/>
      <c r="AI250" s="200"/>
      <c r="AJ250" s="200"/>
      <c r="AK250" s="200"/>
      <c r="AL250" s="200">
        <f>IFERROR(VLOOKUP(B250,[2]rptBudgetaryBudgetCrossOrganiza!$A$5236:$O$5854,13,FALSE),"0")</f>
        <v>0</v>
      </c>
      <c r="AM250" s="200"/>
      <c r="AN250" s="200"/>
      <c r="AO250" s="200"/>
      <c r="AP250" s="200"/>
      <c r="AQ250" s="200"/>
      <c r="AS250" s="169"/>
      <c r="AT250" s="169"/>
      <c r="AU250" s="169"/>
      <c r="AV250" s="169"/>
      <c r="AW250" s="169"/>
      <c r="AX250" s="169"/>
      <c r="AY250" s="169"/>
      <c r="AZ250" s="169"/>
    </row>
    <row r="251" spans="2:52" hidden="1" x14ac:dyDescent="0.2">
      <c r="B251" s="170" t="s">
        <v>550</v>
      </c>
      <c r="C251" s="214">
        <v>40</v>
      </c>
      <c r="D251" s="214">
        <v>70</v>
      </c>
      <c r="E251" s="214">
        <v>600</v>
      </c>
      <c r="F251" s="170" t="str">
        <f t="shared" si="26"/>
        <v>6350.04</v>
      </c>
      <c r="G251" s="170" t="s">
        <v>663</v>
      </c>
      <c r="I251" s="168"/>
      <c r="J251" s="168"/>
      <c r="K251" s="168"/>
      <c r="L251" s="168"/>
      <c r="M251" s="194"/>
      <c r="N251" s="168"/>
      <c r="O251" s="168"/>
      <c r="Q251" s="169"/>
      <c r="R251" s="169"/>
      <c r="S251" s="169"/>
      <c r="T251" s="169"/>
      <c r="U251" s="169"/>
      <c r="V251" s="169"/>
      <c r="W251" s="169"/>
      <c r="X251" s="169"/>
      <c r="Z251" s="202"/>
      <c r="AA251" s="202"/>
      <c r="AB251" s="202"/>
      <c r="AC251" s="202"/>
      <c r="AD251" s="202"/>
      <c r="AE251" s="207"/>
      <c r="AF251" s="202"/>
      <c r="AG251" s="202"/>
      <c r="AI251" s="200"/>
      <c r="AJ251" s="200"/>
      <c r="AK251" s="200"/>
      <c r="AL251" s="200">
        <f>IFERROR(VLOOKUP(B251,[2]rptBudgetaryBudgetCrossOrganiza!$A$5236:$O$5854,13,FALSE),"0")</f>
        <v>0</v>
      </c>
      <c r="AM251" s="200"/>
      <c r="AN251" s="200"/>
      <c r="AO251" s="200"/>
      <c r="AP251" s="200"/>
      <c r="AQ251" s="200"/>
      <c r="AS251" s="169"/>
      <c r="AT251" s="169"/>
      <c r="AU251" s="169"/>
      <c r="AV251" s="169"/>
      <c r="AW251" s="169"/>
      <c r="AX251" s="169"/>
      <c r="AY251" s="169"/>
      <c r="AZ251" s="169"/>
    </row>
    <row r="252" spans="2:52" hidden="1" x14ac:dyDescent="0.2">
      <c r="B252" s="170" t="s">
        <v>551</v>
      </c>
      <c r="C252" s="214">
        <v>40</v>
      </c>
      <c r="D252" s="214">
        <v>70</v>
      </c>
      <c r="E252" s="214">
        <v>600</v>
      </c>
      <c r="F252" s="170" t="str">
        <f t="shared" si="26"/>
        <v>6350.05</v>
      </c>
      <c r="G252" s="170" t="s">
        <v>380</v>
      </c>
      <c r="I252" s="168"/>
      <c r="J252" s="168"/>
      <c r="K252" s="168"/>
      <c r="L252" s="168"/>
      <c r="M252" s="194"/>
      <c r="N252" s="168"/>
      <c r="O252" s="168"/>
      <c r="Q252" s="169"/>
      <c r="R252" s="169"/>
      <c r="S252" s="169"/>
      <c r="T252" s="169"/>
      <c r="U252" s="169"/>
      <c r="V252" s="169"/>
      <c r="W252" s="169"/>
      <c r="X252" s="169"/>
      <c r="Z252" s="202"/>
      <c r="AA252" s="202"/>
      <c r="AB252" s="202"/>
      <c r="AC252" s="202"/>
      <c r="AD252" s="202"/>
      <c r="AE252" s="207"/>
      <c r="AF252" s="202"/>
      <c r="AG252" s="202"/>
      <c r="AI252" s="200"/>
      <c r="AJ252" s="200"/>
      <c r="AK252" s="200"/>
      <c r="AL252" s="200">
        <f>IFERROR(VLOOKUP(B252,[2]rptBudgetaryBudgetCrossOrganiza!$A$5236:$O$5854,13,FALSE),"0")</f>
        <v>0</v>
      </c>
      <c r="AM252" s="200"/>
      <c r="AN252" s="200"/>
      <c r="AO252" s="200"/>
      <c r="AP252" s="200"/>
      <c r="AQ252" s="200"/>
      <c r="AS252" s="169"/>
      <c r="AT252" s="169"/>
      <c r="AU252" s="169"/>
      <c r="AV252" s="169"/>
      <c r="AW252" s="169"/>
      <c r="AX252" s="169"/>
      <c r="AY252" s="169"/>
      <c r="AZ252" s="169"/>
    </row>
    <row r="253" spans="2:52" hidden="1" x14ac:dyDescent="0.2">
      <c r="B253" s="170" t="s">
        <v>552</v>
      </c>
      <c r="C253" s="214">
        <v>40</v>
      </c>
      <c r="D253" s="214">
        <v>70</v>
      </c>
      <c r="E253" s="214">
        <v>600</v>
      </c>
      <c r="F253" s="170" t="str">
        <f t="shared" si="26"/>
        <v>6350.06</v>
      </c>
      <c r="G253" s="170" t="s">
        <v>487</v>
      </c>
      <c r="I253" s="168"/>
      <c r="J253" s="168"/>
      <c r="K253" s="168"/>
      <c r="L253" s="168"/>
      <c r="M253" s="194"/>
      <c r="N253" s="168"/>
      <c r="O253" s="168"/>
      <c r="Q253" s="169"/>
      <c r="R253" s="169"/>
      <c r="S253" s="169"/>
      <c r="T253" s="169"/>
      <c r="U253" s="169"/>
      <c r="V253" s="169"/>
      <c r="W253" s="169"/>
      <c r="X253" s="169"/>
      <c r="Z253" s="202"/>
      <c r="AA253" s="202"/>
      <c r="AB253" s="202"/>
      <c r="AC253" s="202"/>
      <c r="AD253" s="202"/>
      <c r="AE253" s="207"/>
      <c r="AF253" s="202"/>
      <c r="AG253" s="202"/>
      <c r="AI253" s="200"/>
      <c r="AJ253" s="200"/>
      <c r="AK253" s="200"/>
      <c r="AL253" s="200">
        <f>IFERROR(VLOOKUP(B253,[2]rptBudgetaryBudgetCrossOrganiza!$A$5236:$O$5854,13,FALSE),"0")</f>
        <v>0</v>
      </c>
      <c r="AM253" s="200"/>
      <c r="AN253" s="200"/>
      <c r="AO253" s="200"/>
      <c r="AP253" s="200"/>
      <c r="AQ253" s="200"/>
      <c r="AS253" s="169"/>
      <c r="AT253" s="169"/>
      <c r="AU253" s="169"/>
      <c r="AV253" s="169"/>
      <c r="AW253" s="169"/>
      <c r="AX253" s="169"/>
      <c r="AY253" s="169"/>
      <c r="AZ253" s="169"/>
    </row>
    <row r="254" spans="2:52" hidden="1" x14ac:dyDescent="0.2">
      <c r="B254" s="170" t="s">
        <v>553</v>
      </c>
      <c r="C254" s="214">
        <v>40</v>
      </c>
      <c r="D254" s="214">
        <v>70</v>
      </c>
      <c r="E254" s="214">
        <v>600</v>
      </c>
      <c r="F254" s="170" t="str">
        <f t="shared" si="26"/>
        <v>6400.01</v>
      </c>
      <c r="G254" s="170" t="s">
        <v>664</v>
      </c>
      <c r="I254" s="168"/>
      <c r="J254" s="168"/>
      <c r="K254" s="168"/>
      <c r="L254" s="168"/>
      <c r="M254" s="194"/>
      <c r="N254" s="168"/>
      <c r="O254" s="168"/>
      <c r="Q254" s="169"/>
      <c r="R254" s="169"/>
      <c r="S254" s="169"/>
      <c r="T254" s="169"/>
      <c r="U254" s="169"/>
      <c r="V254" s="169"/>
      <c r="W254" s="169"/>
      <c r="X254" s="169"/>
      <c r="Z254" s="202"/>
      <c r="AA254" s="202"/>
      <c r="AB254" s="202"/>
      <c r="AC254" s="202"/>
      <c r="AD254" s="202"/>
      <c r="AE254" s="207"/>
      <c r="AF254" s="202"/>
      <c r="AG254" s="202"/>
      <c r="AI254" s="200"/>
      <c r="AJ254" s="200"/>
      <c r="AK254" s="200"/>
      <c r="AL254" s="200">
        <f>IFERROR(VLOOKUP(B254,[2]rptBudgetaryBudgetCrossOrganiza!$A$5236:$O$5854,13,FALSE),"0")</f>
        <v>0</v>
      </c>
      <c r="AM254" s="200"/>
      <c r="AN254" s="200"/>
      <c r="AO254" s="200"/>
      <c r="AP254" s="200"/>
      <c r="AQ254" s="200"/>
      <c r="AS254" s="169"/>
      <c r="AT254" s="169"/>
      <c r="AU254" s="169"/>
      <c r="AV254" s="169"/>
      <c r="AW254" s="169"/>
      <c r="AX254" s="169"/>
      <c r="AY254" s="169"/>
      <c r="AZ254" s="169"/>
    </row>
    <row r="255" spans="2:52" hidden="1" x14ac:dyDescent="0.2">
      <c r="B255" s="170" t="s">
        <v>554</v>
      </c>
      <c r="C255" s="214">
        <v>40</v>
      </c>
      <c r="D255" s="214">
        <v>70</v>
      </c>
      <c r="E255" s="214">
        <v>600</v>
      </c>
      <c r="F255" s="170" t="str">
        <f t="shared" si="26"/>
        <v>6400.02</v>
      </c>
      <c r="G255" s="170" t="s">
        <v>203</v>
      </c>
      <c r="I255" s="168"/>
      <c r="J255" s="168"/>
      <c r="K255" s="168"/>
      <c r="L255" s="168"/>
      <c r="M255" s="194"/>
      <c r="N255" s="168"/>
      <c r="O255" s="168"/>
      <c r="Q255" s="169"/>
      <c r="R255" s="169"/>
      <c r="S255" s="169"/>
      <c r="T255" s="169"/>
      <c r="U255" s="169"/>
      <c r="V255" s="169"/>
      <c r="W255" s="169"/>
      <c r="X255" s="169"/>
      <c r="Z255" s="202"/>
      <c r="AA255" s="202"/>
      <c r="AB255" s="202"/>
      <c r="AC255" s="202"/>
      <c r="AD255" s="202"/>
      <c r="AE255" s="207"/>
      <c r="AF255" s="202"/>
      <c r="AG255" s="202"/>
      <c r="AI255" s="200"/>
      <c r="AJ255" s="200"/>
      <c r="AK255" s="200"/>
      <c r="AL255" s="200">
        <f>IFERROR(VLOOKUP(B255,[2]rptBudgetaryBudgetCrossOrganiza!$A$5236:$O$5854,13,FALSE),"0")</f>
        <v>0</v>
      </c>
      <c r="AM255" s="200"/>
      <c r="AN255" s="200"/>
      <c r="AO255" s="200"/>
      <c r="AP255" s="200"/>
      <c r="AQ255" s="200"/>
      <c r="AS255" s="169"/>
      <c r="AT255" s="169"/>
      <c r="AU255" s="169"/>
      <c r="AV255" s="169"/>
      <c r="AW255" s="169"/>
      <c r="AX255" s="169"/>
      <c r="AY255" s="169"/>
      <c r="AZ255" s="169"/>
    </row>
    <row r="256" spans="2:52" hidden="1" x14ac:dyDescent="0.2">
      <c r="B256" s="170" t="s">
        <v>555</v>
      </c>
      <c r="C256" s="214">
        <v>40</v>
      </c>
      <c r="D256" s="214">
        <v>70</v>
      </c>
      <c r="E256" s="214">
        <v>600</v>
      </c>
      <c r="F256" s="170" t="str">
        <f t="shared" si="26"/>
        <v>6400.03</v>
      </c>
      <c r="G256" s="170" t="s">
        <v>665</v>
      </c>
      <c r="I256" s="168"/>
      <c r="J256" s="168"/>
      <c r="K256" s="168"/>
      <c r="L256" s="168"/>
      <c r="M256" s="194"/>
      <c r="N256" s="168"/>
      <c r="O256" s="168"/>
      <c r="Q256" s="169"/>
      <c r="R256" s="169"/>
      <c r="S256" s="169"/>
      <c r="T256" s="169"/>
      <c r="U256" s="169"/>
      <c r="V256" s="169"/>
      <c r="W256" s="169"/>
      <c r="X256" s="169"/>
      <c r="Z256" s="202"/>
      <c r="AA256" s="202"/>
      <c r="AB256" s="202"/>
      <c r="AC256" s="202"/>
      <c r="AD256" s="202"/>
      <c r="AE256" s="207"/>
      <c r="AF256" s="202"/>
      <c r="AG256" s="202"/>
      <c r="AI256" s="200"/>
      <c r="AJ256" s="200"/>
      <c r="AK256" s="200"/>
      <c r="AL256" s="200">
        <f>IFERROR(VLOOKUP(B256,[2]rptBudgetaryBudgetCrossOrganiza!$A$5236:$O$5854,13,FALSE),"0")</f>
        <v>0</v>
      </c>
      <c r="AM256" s="200"/>
      <c r="AN256" s="200"/>
      <c r="AO256" s="200"/>
      <c r="AP256" s="200"/>
      <c r="AQ256" s="200"/>
      <c r="AS256" s="169"/>
      <c r="AT256" s="169"/>
      <c r="AU256" s="169"/>
      <c r="AV256" s="169"/>
      <c r="AW256" s="169"/>
      <c r="AX256" s="169"/>
      <c r="AY256" s="169"/>
      <c r="AZ256" s="169"/>
    </row>
    <row r="257" spans="2:52" hidden="1" x14ac:dyDescent="0.2">
      <c r="B257" s="170" t="s">
        <v>556</v>
      </c>
      <c r="C257" s="214">
        <v>40</v>
      </c>
      <c r="D257" s="214">
        <v>70</v>
      </c>
      <c r="E257" s="214">
        <v>600</v>
      </c>
      <c r="F257" s="170" t="str">
        <f t="shared" si="26"/>
        <v>6400.04</v>
      </c>
      <c r="G257" s="170" t="s">
        <v>204</v>
      </c>
      <c r="I257" s="168"/>
      <c r="J257" s="168"/>
      <c r="K257" s="168"/>
      <c r="L257" s="168"/>
      <c r="M257" s="194"/>
      <c r="N257" s="168"/>
      <c r="O257" s="168"/>
      <c r="Q257" s="169"/>
      <c r="R257" s="169"/>
      <c r="S257" s="169"/>
      <c r="T257" s="169"/>
      <c r="U257" s="169"/>
      <c r="V257" s="169"/>
      <c r="W257" s="169"/>
      <c r="X257" s="169"/>
      <c r="Z257" s="202"/>
      <c r="AA257" s="202"/>
      <c r="AB257" s="202"/>
      <c r="AC257" s="202"/>
      <c r="AD257" s="202"/>
      <c r="AE257" s="207"/>
      <c r="AF257" s="202"/>
      <c r="AG257" s="202"/>
      <c r="AI257" s="200"/>
      <c r="AJ257" s="200"/>
      <c r="AK257" s="200"/>
      <c r="AL257" s="200">
        <f>IFERROR(VLOOKUP(B257,[2]rptBudgetaryBudgetCrossOrganiza!$A$5236:$O$5854,13,FALSE),"0")</f>
        <v>0</v>
      </c>
      <c r="AM257" s="200"/>
      <c r="AN257" s="200"/>
      <c r="AO257" s="200"/>
      <c r="AP257" s="200"/>
      <c r="AQ257" s="200"/>
      <c r="AS257" s="169"/>
      <c r="AT257" s="169"/>
      <c r="AU257" s="169"/>
      <c r="AV257" s="169"/>
      <c r="AW257" s="169"/>
      <c r="AX257" s="169"/>
      <c r="AY257" s="169"/>
      <c r="AZ257" s="169"/>
    </row>
    <row r="258" spans="2:52" hidden="1" x14ac:dyDescent="0.2">
      <c r="B258" s="170" t="s">
        <v>557</v>
      </c>
      <c r="C258" s="214">
        <v>40</v>
      </c>
      <c r="D258" s="214">
        <v>70</v>
      </c>
      <c r="E258" s="214">
        <v>600</v>
      </c>
      <c r="F258" s="170" t="str">
        <f t="shared" si="26"/>
        <v>6400.05</v>
      </c>
      <c r="G258" s="170" t="s">
        <v>205</v>
      </c>
      <c r="I258" s="168"/>
      <c r="J258" s="168"/>
      <c r="K258" s="168"/>
      <c r="L258" s="168"/>
      <c r="M258" s="194"/>
      <c r="N258" s="168"/>
      <c r="O258" s="168"/>
      <c r="Q258" s="169"/>
      <c r="R258" s="169"/>
      <c r="S258" s="169"/>
      <c r="T258" s="169"/>
      <c r="U258" s="169"/>
      <c r="V258" s="169"/>
      <c r="W258" s="169"/>
      <c r="X258" s="169"/>
      <c r="Z258" s="202"/>
      <c r="AA258" s="202"/>
      <c r="AB258" s="202"/>
      <c r="AC258" s="202"/>
      <c r="AD258" s="202"/>
      <c r="AE258" s="207"/>
      <c r="AF258" s="202"/>
      <c r="AG258" s="202"/>
      <c r="AI258" s="200"/>
      <c r="AJ258" s="200"/>
      <c r="AK258" s="200"/>
      <c r="AL258" s="200">
        <f>IFERROR(VLOOKUP(B258,[2]rptBudgetaryBudgetCrossOrganiza!$A$5236:$O$5854,13,FALSE),"0")</f>
        <v>0</v>
      </c>
      <c r="AM258" s="200"/>
      <c r="AN258" s="200"/>
      <c r="AO258" s="200"/>
      <c r="AP258" s="200"/>
      <c r="AQ258" s="200"/>
      <c r="AS258" s="169"/>
      <c r="AT258" s="169"/>
      <c r="AU258" s="169"/>
      <c r="AV258" s="169"/>
      <c r="AW258" s="169"/>
      <c r="AX258" s="169"/>
      <c r="AY258" s="169"/>
      <c r="AZ258" s="169"/>
    </row>
    <row r="259" spans="2:52" hidden="1" x14ac:dyDescent="0.2">
      <c r="B259" s="170" t="s">
        <v>558</v>
      </c>
      <c r="C259" s="214">
        <v>40</v>
      </c>
      <c r="D259" s="214">
        <v>70</v>
      </c>
      <c r="E259" s="214">
        <v>600</v>
      </c>
      <c r="F259" s="170" t="str">
        <f t="shared" si="26"/>
        <v>6600.01</v>
      </c>
      <c r="G259" s="170" t="s">
        <v>666</v>
      </c>
      <c r="I259" s="168"/>
      <c r="J259" s="168"/>
      <c r="K259" s="168"/>
      <c r="L259" s="168"/>
      <c r="M259" s="194"/>
      <c r="N259" s="168"/>
      <c r="O259" s="168"/>
      <c r="Q259" s="169"/>
      <c r="R259" s="169"/>
      <c r="S259" s="169"/>
      <c r="T259" s="169"/>
      <c r="U259" s="169"/>
      <c r="V259" s="169"/>
      <c r="W259" s="169"/>
      <c r="X259" s="169"/>
      <c r="Z259" s="202"/>
      <c r="AA259" s="202"/>
      <c r="AB259" s="202"/>
      <c r="AC259" s="202"/>
      <c r="AD259" s="202"/>
      <c r="AE259" s="207"/>
      <c r="AF259" s="202"/>
      <c r="AG259" s="202"/>
      <c r="AI259" s="200"/>
      <c r="AJ259" s="200"/>
      <c r="AK259" s="200"/>
      <c r="AL259" s="200">
        <f>IFERROR(VLOOKUP(B259,[2]rptBudgetaryBudgetCrossOrganiza!$A$5236:$O$5854,13,FALSE),"0")</f>
        <v>0</v>
      </c>
      <c r="AM259" s="200"/>
      <c r="AN259" s="200"/>
      <c r="AO259" s="200"/>
      <c r="AP259" s="200"/>
      <c r="AQ259" s="200"/>
      <c r="AS259" s="169"/>
      <c r="AT259" s="169"/>
      <c r="AU259" s="169"/>
      <c r="AV259" s="169"/>
      <c r="AW259" s="169"/>
      <c r="AX259" s="169"/>
      <c r="AY259" s="169"/>
      <c r="AZ259" s="169"/>
    </row>
    <row r="260" spans="2:52" hidden="1" x14ac:dyDescent="0.2">
      <c r="B260" s="170" t="s">
        <v>559</v>
      </c>
      <c r="C260" s="214">
        <v>40</v>
      </c>
      <c r="D260" s="214">
        <v>70</v>
      </c>
      <c r="E260" s="214">
        <v>600</v>
      </c>
      <c r="F260" s="170" t="str">
        <f t="shared" si="26"/>
        <v>6600.03</v>
      </c>
      <c r="G260" s="170" t="s">
        <v>667</v>
      </c>
      <c r="I260" s="168"/>
      <c r="J260" s="168"/>
      <c r="K260" s="168"/>
      <c r="L260" s="168"/>
      <c r="M260" s="194"/>
      <c r="N260" s="168"/>
      <c r="O260" s="168"/>
      <c r="Q260" s="169"/>
      <c r="R260" s="169"/>
      <c r="S260" s="169"/>
      <c r="T260" s="169"/>
      <c r="U260" s="169"/>
      <c r="V260" s="169"/>
      <c r="W260" s="169"/>
      <c r="X260" s="169"/>
      <c r="Z260" s="202"/>
      <c r="AA260" s="202"/>
      <c r="AB260" s="202"/>
      <c r="AC260" s="202"/>
      <c r="AD260" s="202"/>
      <c r="AE260" s="207"/>
      <c r="AF260" s="202"/>
      <c r="AG260" s="202"/>
      <c r="AI260" s="200"/>
      <c r="AJ260" s="200"/>
      <c r="AK260" s="200"/>
      <c r="AL260" s="200">
        <f>IFERROR(VLOOKUP(B260,[2]rptBudgetaryBudgetCrossOrganiza!$A$5236:$O$5854,13,FALSE),"0")</f>
        <v>0</v>
      </c>
      <c r="AM260" s="200"/>
      <c r="AN260" s="200"/>
      <c r="AO260" s="200"/>
      <c r="AP260" s="200"/>
      <c r="AQ260" s="200"/>
      <c r="AS260" s="169"/>
      <c r="AT260" s="169"/>
      <c r="AU260" s="169"/>
      <c r="AV260" s="169"/>
      <c r="AW260" s="169"/>
      <c r="AX260" s="169"/>
      <c r="AY260" s="169"/>
      <c r="AZ260" s="169"/>
    </row>
    <row r="261" spans="2:52" hidden="1" x14ac:dyDescent="0.2">
      <c r="B261" s="170" t="s">
        <v>560</v>
      </c>
      <c r="C261" s="214">
        <v>40</v>
      </c>
      <c r="D261" s="214">
        <v>70</v>
      </c>
      <c r="E261" s="214">
        <v>600</v>
      </c>
      <c r="F261" s="170" t="str">
        <f t="shared" si="26"/>
        <v>6600.04</v>
      </c>
      <c r="G261" s="170" t="s">
        <v>207</v>
      </c>
      <c r="I261" s="168"/>
      <c r="J261" s="168"/>
      <c r="K261" s="168"/>
      <c r="L261" s="168"/>
      <c r="M261" s="194"/>
      <c r="N261" s="168"/>
      <c r="O261" s="168"/>
      <c r="Q261" s="169"/>
      <c r="R261" s="169"/>
      <c r="S261" s="169"/>
      <c r="T261" s="169"/>
      <c r="U261" s="169"/>
      <c r="V261" s="169"/>
      <c r="W261" s="169"/>
      <c r="X261" s="169"/>
      <c r="Z261" s="202"/>
      <c r="AA261" s="202"/>
      <c r="AB261" s="202"/>
      <c r="AC261" s="202"/>
      <c r="AD261" s="202"/>
      <c r="AE261" s="207"/>
      <c r="AF261" s="202"/>
      <c r="AG261" s="202"/>
      <c r="AI261" s="200"/>
      <c r="AJ261" s="200"/>
      <c r="AK261" s="200"/>
      <c r="AL261" s="200">
        <f>IFERROR(VLOOKUP(B261,[2]rptBudgetaryBudgetCrossOrganiza!$A$5236:$O$5854,13,FALSE),"0")</f>
        <v>0</v>
      </c>
      <c r="AM261" s="200"/>
      <c r="AN261" s="200"/>
      <c r="AO261" s="200"/>
      <c r="AP261" s="200"/>
      <c r="AQ261" s="200"/>
      <c r="AS261" s="169"/>
      <c r="AT261" s="169"/>
      <c r="AU261" s="169"/>
      <c r="AV261" s="169"/>
      <c r="AW261" s="169"/>
      <c r="AX261" s="169"/>
      <c r="AY261" s="169"/>
      <c r="AZ261" s="169"/>
    </row>
    <row r="262" spans="2:52" hidden="1" x14ac:dyDescent="0.2">
      <c r="B262" s="170" t="s">
        <v>561</v>
      </c>
      <c r="C262" s="214">
        <v>40</v>
      </c>
      <c r="D262" s="214">
        <v>70</v>
      </c>
      <c r="E262" s="214">
        <v>600</v>
      </c>
      <c r="F262" s="170" t="str">
        <f t="shared" si="26"/>
        <v>6600.05</v>
      </c>
      <c r="G262" s="170" t="s">
        <v>668</v>
      </c>
      <c r="I262" s="168"/>
      <c r="J262" s="168"/>
      <c r="K262" s="168"/>
      <c r="L262" s="168"/>
      <c r="M262" s="194"/>
      <c r="N262" s="168"/>
      <c r="O262" s="168"/>
      <c r="Q262" s="169"/>
      <c r="R262" s="169"/>
      <c r="S262" s="169"/>
      <c r="T262" s="169"/>
      <c r="U262" s="169"/>
      <c r="V262" s="169"/>
      <c r="W262" s="169"/>
      <c r="X262" s="169"/>
      <c r="Z262" s="202"/>
      <c r="AA262" s="202"/>
      <c r="AB262" s="202"/>
      <c r="AC262" s="202"/>
      <c r="AD262" s="202"/>
      <c r="AE262" s="207"/>
      <c r="AF262" s="202"/>
      <c r="AG262" s="202"/>
      <c r="AI262" s="200"/>
      <c r="AJ262" s="200"/>
      <c r="AK262" s="200"/>
      <c r="AL262" s="200">
        <f>IFERROR(VLOOKUP(B262,[2]rptBudgetaryBudgetCrossOrganiza!$A$5236:$O$5854,13,FALSE),"0")</f>
        <v>0</v>
      </c>
      <c r="AM262" s="200"/>
      <c r="AN262" s="200"/>
      <c r="AO262" s="200"/>
      <c r="AP262" s="200"/>
      <c r="AQ262" s="200"/>
      <c r="AS262" s="169"/>
      <c r="AT262" s="169"/>
      <c r="AU262" s="169"/>
      <c r="AV262" s="169"/>
      <c r="AW262" s="169"/>
      <c r="AX262" s="169"/>
      <c r="AY262" s="169"/>
      <c r="AZ262" s="169"/>
    </row>
    <row r="263" spans="2:52" hidden="1" x14ac:dyDescent="0.2">
      <c r="B263" s="170" t="s">
        <v>562</v>
      </c>
      <c r="C263" s="214">
        <v>40</v>
      </c>
      <c r="D263" s="214">
        <v>70</v>
      </c>
      <c r="E263" s="214">
        <v>600</v>
      </c>
      <c r="F263" s="170" t="str">
        <f t="shared" si="26"/>
        <v>6600.06</v>
      </c>
      <c r="G263" s="170" t="s">
        <v>669</v>
      </c>
      <c r="I263" s="168"/>
      <c r="J263" s="168"/>
      <c r="K263" s="168"/>
      <c r="L263" s="168"/>
      <c r="M263" s="194"/>
      <c r="N263" s="168"/>
      <c r="O263" s="168"/>
      <c r="Q263" s="169"/>
      <c r="R263" s="169"/>
      <c r="S263" s="169"/>
      <c r="T263" s="169"/>
      <c r="U263" s="169"/>
      <c r="V263" s="169"/>
      <c r="W263" s="169"/>
      <c r="X263" s="169"/>
      <c r="Z263" s="202"/>
      <c r="AA263" s="202"/>
      <c r="AB263" s="202"/>
      <c r="AC263" s="202"/>
      <c r="AD263" s="202"/>
      <c r="AE263" s="207"/>
      <c r="AF263" s="202"/>
      <c r="AG263" s="202"/>
      <c r="AI263" s="200"/>
      <c r="AJ263" s="200"/>
      <c r="AK263" s="200"/>
      <c r="AL263" s="200">
        <f>IFERROR(VLOOKUP(B263,[2]rptBudgetaryBudgetCrossOrganiza!$A$5236:$O$5854,13,FALSE),"0")</f>
        <v>0</v>
      </c>
      <c r="AM263" s="200"/>
      <c r="AN263" s="200"/>
      <c r="AO263" s="200"/>
      <c r="AP263" s="200"/>
      <c r="AQ263" s="200"/>
      <c r="AS263" s="169"/>
      <c r="AT263" s="169"/>
      <c r="AU263" s="169"/>
      <c r="AV263" s="169"/>
      <c r="AW263" s="169"/>
      <c r="AX263" s="169"/>
      <c r="AY263" s="169"/>
      <c r="AZ263" s="169"/>
    </row>
    <row r="264" spans="2:52" hidden="1" x14ac:dyDescent="0.2">
      <c r="B264" s="170" t="s">
        <v>563</v>
      </c>
      <c r="C264" s="214">
        <v>40</v>
      </c>
      <c r="D264" s="214">
        <v>70</v>
      </c>
      <c r="E264" s="214">
        <v>600</v>
      </c>
      <c r="F264" s="170" t="str">
        <f t="shared" si="26"/>
        <v>6600.07</v>
      </c>
      <c r="G264" s="170" t="s">
        <v>208</v>
      </c>
      <c r="I264" s="168"/>
      <c r="J264" s="168"/>
      <c r="K264" s="168"/>
      <c r="L264" s="168"/>
      <c r="M264" s="194"/>
      <c r="N264" s="168"/>
      <c r="O264" s="168"/>
      <c r="Q264" s="169"/>
      <c r="R264" s="169"/>
      <c r="S264" s="169"/>
      <c r="T264" s="169"/>
      <c r="U264" s="169"/>
      <c r="V264" s="169"/>
      <c r="W264" s="169"/>
      <c r="X264" s="169"/>
      <c r="Z264" s="202"/>
      <c r="AA264" s="202"/>
      <c r="AB264" s="202"/>
      <c r="AC264" s="202"/>
      <c r="AD264" s="202"/>
      <c r="AE264" s="207"/>
      <c r="AF264" s="202"/>
      <c r="AG264" s="202"/>
      <c r="AI264" s="200"/>
      <c r="AJ264" s="200"/>
      <c r="AK264" s="200"/>
      <c r="AL264" s="200">
        <f>IFERROR(VLOOKUP(B264,[2]rptBudgetaryBudgetCrossOrganiza!$A$5236:$O$5854,13,FALSE),"0")</f>
        <v>0</v>
      </c>
      <c r="AM264" s="200"/>
      <c r="AN264" s="200"/>
      <c r="AO264" s="200"/>
      <c r="AP264" s="200"/>
      <c r="AQ264" s="200"/>
      <c r="AS264" s="169"/>
      <c r="AT264" s="169"/>
      <c r="AU264" s="169"/>
      <c r="AV264" s="169"/>
      <c r="AW264" s="169"/>
      <c r="AX264" s="169"/>
      <c r="AY264" s="169"/>
      <c r="AZ264" s="169"/>
    </row>
    <row r="265" spans="2:52" hidden="1" x14ac:dyDescent="0.2">
      <c r="B265" s="170" t="s">
        <v>564</v>
      </c>
      <c r="C265" s="214">
        <v>40</v>
      </c>
      <c r="D265" s="214">
        <v>70</v>
      </c>
      <c r="E265" s="214">
        <v>600</v>
      </c>
      <c r="F265" s="170" t="str">
        <f t="shared" si="26"/>
        <v>6600.08</v>
      </c>
      <c r="G265" s="170" t="s">
        <v>670</v>
      </c>
      <c r="I265" s="168"/>
      <c r="J265" s="168"/>
      <c r="K265" s="168"/>
      <c r="L265" s="168"/>
      <c r="M265" s="194"/>
      <c r="N265" s="168"/>
      <c r="O265" s="168"/>
      <c r="Q265" s="169"/>
      <c r="R265" s="169"/>
      <c r="S265" s="169"/>
      <c r="T265" s="169"/>
      <c r="U265" s="169"/>
      <c r="V265" s="169"/>
      <c r="W265" s="169"/>
      <c r="X265" s="169"/>
      <c r="Z265" s="202"/>
      <c r="AA265" s="202"/>
      <c r="AB265" s="202"/>
      <c r="AC265" s="202"/>
      <c r="AD265" s="202"/>
      <c r="AE265" s="207"/>
      <c r="AF265" s="202"/>
      <c r="AG265" s="202"/>
      <c r="AI265" s="200"/>
      <c r="AJ265" s="200"/>
      <c r="AK265" s="200"/>
      <c r="AL265" s="200">
        <f>IFERROR(VLOOKUP(B265,[2]rptBudgetaryBudgetCrossOrganiza!$A$5236:$O$5854,13,FALSE),"0")</f>
        <v>0</v>
      </c>
      <c r="AM265" s="200"/>
      <c r="AN265" s="200"/>
      <c r="AO265" s="200"/>
      <c r="AP265" s="200"/>
      <c r="AQ265" s="200"/>
      <c r="AS265" s="169"/>
      <c r="AT265" s="169"/>
      <c r="AU265" s="169"/>
      <c r="AV265" s="169"/>
      <c r="AW265" s="169"/>
      <c r="AX265" s="169"/>
      <c r="AY265" s="169"/>
      <c r="AZ265" s="169"/>
    </row>
    <row r="266" spans="2:52" hidden="1" x14ac:dyDescent="0.2">
      <c r="B266" s="170" t="s">
        <v>565</v>
      </c>
      <c r="C266" s="214">
        <v>40</v>
      </c>
      <c r="D266" s="214">
        <v>70</v>
      </c>
      <c r="E266" s="214">
        <v>600</v>
      </c>
      <c r="F266" s="170" t="str">
        <f t="shared" si="26"/>
        <v>6600.14</v>
      </c>
      <c r="G266" s="170" t="s">
        <v>671</v>
      </c>
      <c r="I266" s="168"/>
      <c r="J266" s="168"/>
      <c r="K266" s="168"/>
      <c r="L266" s="168"/>
      <c r="M266" s="194"/>
      <c r="N266" s="168"/>
      <c r="O266" s="168"/>
      <c r="Q266" s="169"/>
      <c r="R266" s="169"/>
      <c r="S266" s="169"/>
      <c r="T266" s="169"/>
      <c r="U266" s="169"/>
      <c r="V266" s="169"/>
      <c r="W266" s="169"/>
      <c r="X266" s="169"/>
      <c r="Z266" s="202"/>
      <c r="AA266" s="202"/>
      <c r="AB266" s="202"/>
      <c r="AC266" s="202"/>
      <c r="AD266" s="202"/>
      <c r="AE266" s="207"/>
      <c r="AF266" s="202"/>
      <c r="AG266" s="202"/>
      <c r="AI266" s="200"/>
      <c r="AJ266" s="200"/>
      <c r="AK266" s="200"/>
      <c r="AL266" s="200">
        <f>IFERROR(VLOOKUP(B266,[2]rptBudgetaryBudgetCrossOrganiza!$A$5236:$O$5854,13,FALSE),"0")</f>
        <v>0</v>
      </c>
      <c r="AM266" s="200"/>
      <c r="AN266" s="200"/>
      <c r="AO266" s="200"/>
      <c r="AP266" s="200"/>
      <c r="AQ266" s="200"/>
      <c r="AS266" s="169"/>
      <c r="AT266" s="169"/>
      <c r="AU266" s="169"/>
      <c r="AV266" s="169"/>
      <c r="AW266" s="169"/>
      <c r="AX266" s="169"/>
      <c r="AY266" s="169"/>
      <c r="AZ266" s="169"/>
    </row>
    <row r="267" spans="2:52" hidden="1" x14ac:dyDescent="0.2">
      <c r="B267" s="170" t="s">
        <v>566</v>
      </c>
      <c r="C267" s="214">
        <v>40</v>
      </c>
      <c r="D267" s="214">
        <v>70</v>
      </c>
      <c r="E267" s="214">
        <v>600</v>
      </c>
      <c r="F267" s="170" t="str">
        <f t="shared" si="26"/>
        <v>6600.24</v>
      </c>
      <c r="G267" s="170" t="s">
        <v>672</v>
      </c>
      <c r="I267" s="168"/>
      <c r="J267" s="168"/>
      <c r="K267" s="168"/>
      <c r="L267" s="168"/>
      <c r="M267" s="194"/>
      <c r="N267" s="168"/>
      <c r="O267" s="168"/>
      <c r="Q267" s="169"/>
      <c r="R267" s="169"/>
      <c r="S267" s="169"/>
      <c r="T267" s="169"/>
      <c r="U267" s="169"/>
      <c r="V267" s="169"/>
      <c r="W267" s="169"/>
      <c r="X267" s="169"/>
      <c r="Z267" s="202"/>
      <c r="AA267" s="202"/>
      <c r="AB267" s="202"/>
      <c r="AC267" s="202"/>
      <c r="AD267" s="202"/>
      <c r="AE267" s="207"/>
      <c r="AF267" s="202"/>
      <c r="AG267" s="202"/>
      <c r="AI267" s="200"/>
      <c r="AJ267" s="200"/>
      <c r="AK267" s="200"/>
      <c r="AL267" s="200">
        <f>IFERROR(VLOOKUP(B267,[2]rptBudgetaryBudgetCrossOrganiza!$A$5236:$O$5854,13,FALSE),"0")</f>
        <v>0</v>
      </c>
      <c r="AM267" s="200"/>
      <c r="AN267" s="200"/>
      <c r="AO267" s="200"/>
      <c r="AP267" s="200"/>
      <c r="AQ267" s="200"/>
      <c r="AS267" s="169"/>
      <c r="AT267" s="169"/>
      <c r="AU267" s="169"/>
      <c r="AV267" s="169"/>
      <c r="AW267" s="169"/>
      <c r="AX267" s="169"/>
      <c r="AY267" s="169"/>
      <c r="AZ267" s="169"/>
    </row>
    <row r="268" spans="2:52" hidden="1" x14ac:dyDescent="0.2">
      <c r="B268" s="170" t="s">
        <v>567</v>
      </c>
      <c r="C268" s="214">
        <v>40</v>
      </c>
      <c r="D268" s="214">
        <v>70</v>
      </c>
      <c r="E268" s="214">
        <v>600</v>
      </c>
      <c r="F268" s="170" t="str">
        <f t="shared" si="26"/>
        <v>6600.25</v>
      </c>
      <c r="G268" s="170" t="s">
        <v>673</v>
      </c>
      <c r="I268" s="168"/>
      <c r="J268" s="168"/>
      <c r="K268" s="168"/>
      <c r="L268" s="168"/>
      <c r="M268" s="194"/>
      <c r="N268" s="168"/>
      <c r="O268" s="168"/>
      <c r="Q268" s="169"/>
      <c r="R268" s="169"/>
      <c r="S268" s="169"/>
      <c r="T268" s="169"/>
      <c r="U268" s="169"/>
      <c r="V268" s="169"/>
      <c r="W268" s="169"/>
      <c r="X268" s="169"/>
      <c r="Z268" s="202"/>
      <c r="AA268" s="202"/>
      <c r="AB268" s="202"/>
      <c r="AC268" s="202"/>
      <c r="AD268" s="202"/>
      <c r="AE268" s="207"/>
      <c r="AF268" s="202"/>
      <c r="AG268" s="202"/>
      <c r="AI268" s="200"/>
      <c r="AJ268" s="200"/>
      <c r="AK268" s="200"/>
      <c r="AL268" s="200">
        <f>IFERROR(VLOOKUP(B268,[2]rptBudgetaryBudgetCrossOrganiza!$A$5236:$O$5854,13,FALSE),"0")</f>
        <v>0</v>
      </c>
      <c r="AM268" s="200"/>
      <c r="AN268" s="200"/>
      <c r="AO268" s="200"/>
      <c r="AP268" s="200"/>
      <c r="AQ268" s="200"/>
      <c r="AS268" s="169"/>
      <c r="AT268" s="169"/>
      <c r="AU268" s="169"/>
      <c r="AV268" s="169"/>
      <c r="AW268" s="169"/>
      <c r="AX268" s="169"/>
      <c r="AY268" s="169"/>
      <c r="AZ268" s="169"/>
    </row>
    <row r="269" spans="2:52" hidden="1" x14ac:dyDescent="0.2">
      <c r="B269" s="170" t="s">
        <v>568</v>
      </c>
      <c r="C269" s="214">
        <v>40</v>
      </c>
      <c r="D269" s="214">
        <v>70</v>
      </c>
      <c r="E269" s="214">
        <v>600</v>
      </c>
      <c r="F269" s="170" t="str">
        <f t="shared" si="26"/>
        <v>6600.26</v>
      </c>
      <c r="G269" s="170" t="s">
        <v>209</v>
      </c>
      <c r="I269" s="168"/>
      <c r="J269" s="168"/>
      <c r="K269" s="168"/>
      <c r="L269" s="168"/>
      <c r="M269" s="194"/>
      <c r="N269" s="168"/>
      <c r="O269" s="168"/>
      <c r="Q269" s="169"/>
      <c r="R269" s="169"/>
      <c r="S269" s="169"/>
      <c r="T269" s="169"/>
      <c r="U269" s="169"/>
      <c r="V269" s="169"/>
      <c r="W269" s="169"/>
      <c r="X269" s="169"/>
      <c r="Z269" s="202"/>
      <c r="AA269" s="202"/>
      <c r="AB269" s="202"/>
      <c r="AC269" s="202"/>
      <c r="AD269" s="202"/>
      <c r="AE269" s="207"/>
      <c r="AF269" s="202"/>
      <c r="AG269" s="202"/>
      <c r="AI269" s="200"/>
      <c r="AJ269" s="200"/>
      <c r="AK269" s="200"/>
      <c r="AL269" s="200">
        <f>IFERROR(VLOOKUP(B269,[2]rptBudgetaryBudgetCrossOrganiza!$A$5236:$O$5854,13,FALSE),"0")</f>
        <v>0</v>
      </c>
      <c r="AM269" s="200"/>
      <c r="AN269" s="200"/>
      <c r="AO269" s="200"/>
      <c r="AP269" s="200"/>
      <c r="AQ269" s="200"/>
      <c r="AS269" s="169"/>
      <c r="AT269" s="169"/>
      <c r="AU269" s="169"/>
      <c r="AV269" s="169"/>
      <c r="AW269" s="169"/>
      <c r="AX269" s="169"/>
      <c r="AY269" s="169"/>
      <c r="AZ269" s="169"/>
    </row>
    <row r="270" spans="2:52" hidden="1" x14ac:dyDescent="0.2">
      <c r="B270" s="170" t="s">
        <v>569</v>
      </c>
      <c r="C270" s="214">
        <v>40</v>
      </c>
      <c r="D270" s="214">
        <v>70</v>
      </c>
      <c r="E270" s="214">
        <v>600</v>
      </c>
      <c r="F270" s="170" t="str">
        <f t="shared" si="26"/>
        <v>6600.27</v>
      </c>
      <c r="G270" s="170" t="s">
        <v>674</v>
      </c>
      <c r="I270" s="168"/>
      <c r="J270" s="168"/>
      <c r="K270" s="168"/>
      <c r="L270" s="168"/>
      <c r="M270" s="194"/>
      <c r="N270" s="168"/>
      <c r="O270" s="168"/>
      <c r="Q270" s="169"/>
      <c r="R270" s="169"/>
      <c r="S270" s="169"/>
      <c r="T270" s="169"/>
      <c r="U270" s="169"/>
      <c r="V270" s="169"/>
      <c r="W270" s="169"/>
      <c r="X270" s="169"/>
      <c r="Z270" s="202"/>
      <c r="AA270" s="202"/>
      <c r="AB270" s="202"/>
      <c r="AC270" s="202"/>
      <c r="AD270" s="202"/>
      <c r="AE270" s="207"/>
      <c r="AF270" s="202"/>
      <c r="AG270" s="202"/>
      <c r="AI270" s="200"/>
      <c r="AJ270" s="200"/>
      <c r="AK270" s="200"/>
      <c r="AL270" s="200">
        <f>IFERROR(VLOOKUP(B270,[2]rptBudgetaryBudgetCrossOrganiza!$A$5236:$O$5854,13,FALSE),"0")</f>
        <v>0</v>
      </c>
      <c r="AM270" s="200"/>
      <c r="AN270" s="200"/>
      <c r="AO270" s="200"/>
      <c r="AP270" s="200"/>
      <c r="AQ270" s="200"/>
      <c r="AS270" s="169"/>
      <c r="AT270" s="169"/>
      <c r="AU270" s="169"/>
      <c r="AV270" s="169"/>
      <c r="AW270" s="169"/>
      <c r="AX270" s="169"/>
      <c r="AY270" s="169"/>
      <c r="AZ270" s="169"/>
    </row>
    <row r="271" spans="2:52" hidden="1" x14ac:dyDescent="0.2">
      <c r="B271" s="170" t="s">
        <v>570</v>
      </c>
      <c r="C271" s="214">
        <v>40</v>
      </c>
      <c r="D271" s="214">
        <v>70</v>
      </c>
      <c r="E271" s="214">
        <v>600</v>
      </c>
      <c r="F271" s="170" t="str">
        <f t="shared" si="26"/>
        <v>6600.29</v>
      </c>
      <c r="G271" s="170" t="s">
        <v>675</v>
      </c>
      <c r="I271" s="168"/>
      <c r="J271" s="168"/>
      <c r="K271" s="168"/>
      <c r="L271" s="168"/>
      <c r="M271" s="194"/>
      <c r="N271" s="168"/>
      <c r="O271" s="168"/>
      <c r="Q271" s="169"/>
      <c r="R271" s="169"/>
      <c r="S271" s="169"/>
      <c r="T271" s="169"/>
      <c r="U271" s="169"/>
      <c r="V271" s="169"/>
      <c r="W271" s="169"/>
      <c r="X271" s="169"/>
      <c r="Z271" s="202"/>
      <c r="AA271" s="202"/>
      <c r="AB271" s="202"/>
      <c r="AC271" s="202"/>
      <c r="AD271" s="202"/>
      <c r="AE271" s="207"/>
      <c r="AF271" s="202"/>
      <c r="AG271" s="202"/>
      <c r="AI271" s="200"/>
      <c r="AJ271" s="200"/>
      <c r="AK271" s="200"/>
      <c r="AL271" s="200">
        <f>IFERROR(VLOOKUP(B271,[2]rptBudgetaryBudgetCrossOrganiza!$A$5236:$O$5854,13,FALSE),"0")</f>
        <v>0</v>
      </c>
      <c r="AM271" s="200"/>
      <c r="AN271" s="200"/>
      <c r="AO271" s="200"/>
      <c r="AP271" s="200"/>
      <c r="AQ271" s="200"/>
      <c r="AS271" s="169"/>
      <c r="AT271" s="169"/>
      <c r="AU271" s="169"/>
      <c r="AV271" s="169"/>
      <c r="AW271" s="169"/>
      <c r="AX271" s="169"/>
      <c r="AY271" s="169"/>
      <c r="AZ271" s="169"/>
    </row>
    <row r="272" spans="2:52" hidden="1" x14ac:dyDescent="0.2">
      <c r="B272" s="170" t="s">
        <v>571</v>
      </c>
      <c r="C272" s="214">
        <v>40</v>
      </c>
      <c r="D272" s="214">
        <v>70</v>
      </c>
      <c r="E272" s="214">
        <v>600</v>
      </c>
      <c r="F272" s="170" t="str">
        <f t="shared" ref="F272:F335" si="27">RIGHT(B272,7)</f>
        <v>6600.30</v>
      </c>
      <c r="G272" s="170" t="s">
        <v>676</v>
      </c>
      <c r="I272" s="168"/>
      <c r="J272" s="168"/>
      <c r="K272" s="168"/>
      <c r="L272" s="168"/>
      <c r="M272" s="194"/>
      <c r="N272" s="168"/>
      <c r="O272" s="168"/>
      <c r="Q272" s="169"/>
      <c r="R272" s="169"/>
      <c r="S272" s="169"/>
      <c r="T272" s="169"/>
      <c r="U272" s="169"/>
      <c r="V272" s="169"/>
      <c r="W272" s="169"/>
      <c r="X272" s="169"/>
      <c r="Z272" s="202"/>
      <c r="AA272" s="202"/>
      <c r="AB272" s="202"/>
      <c r="AC272" s="202"/>
      <c r="AD272" s="202"/>
      <c r="AE272" s="207"/>
      <c r="AF272" s="202"/>
      <c r="AG272" s="202"/>
      <c r="AI272" s="200"/>
      <c r="AJ272" s="200"/>
      <c r="AK272" s="200"/>
      <c r="AL272" s="200">
        <f>IFERROR(VLOOKUP(B272,[2]rptBudgetaryBudgetCrossOrganiza!$A$5236:$O$5854,13,FALSE),"0")</f>
        <v>0</v>
      </c>
      <c r="AM272" s="200"/>
      <c r="AN272" s="200"/>
      <c r="AO272" s="200"/>
      <c r="AP272" s="200"/>
      <c r="AQ272" s="200"/>
      <c r="AS272" s="169"/>
      <c r="AT272" s="169"/>
      <c r="AU272" s="169"/>
      <c r="AV272" s="169"/>
      <c r="AW272" s="169"/>
      <c r="AX272" s="169"/>
      <c r="AY272" s="169"/>
      <c r="AZ272" s="169"/>
    </row>
    <row r="273" spans="2:52" hidden="1" x14ac:dyDescent="0.2">
      <c r="B273" s="170" t="s">
        <v>572</v>
      </c>
      <c r="C273" s="214">
        <v>40</v>
      </c>
      <c r="D273" s="214">
        <v>70</v>
      </c>
      <c r="E273" s="214">
        <v>600</v>
      </c>
      <c r="F273" s="170" t="str">
        <f t="shared" si="27"/>
        <v>7000.03</v>
      </c>
      <c r="G273" s="170" t="s">
        <v>163</v>
      </c>
      <c r="I273" s="168"/>
      <c r="J273" s="168"/>
      <c r="K273" s="168"/>
      <c r="L273" s="168"/>
      <c r="M273" s="194"/>
      <c r="N273" s="168"/>
      <c r="O273" s="168"/>
      <c r="Q273" s="169"/>
      <c r="R273" s="169"/>
      <c r="S273" s="169"/>
      <c r="T273" s="169"/>
      <c r="U273" s="169"/>
      <c r="V273" s="169"/>
      <c r="W273" s="169"/>
      <c r="X273" s="169"/>
      <c r="Z273" s="202"/>
      <c r="AA273" s="202"/>
      <c r="AB273" s="202"/>
      <c r="AC273" s="202"/>
      <c r="AD273" s="202"/>
      <c r="AE273" s="207"/>
      <c r="AF273" s="202"/>
      <c r="AG273" s="202"/>
      <c r="AI273" s="200"/>
      <c r="AJ273" s="200"/>
      <c r="AK273" s="200"/>
      <c r="AL273" s="200">
        <f>IFERROR(VLOOKUP(B273,[2]rptBudgetaryBudgetCrossOrganiza!$A$5236:$O$5854,13,FALSE),"0")</f>
        <v>0</v>
      </c>
      <c r="AM273" s="200"/>
      <c r="AN273" s="200"/>
      <c r="AO273" s="200"/>
      <c r="AP273" s="200"/>
      <c r="AQ273" s="200"/>
      <c r="AS273" s="169"/>
      <c r="AT273" s="169"/>
      <c r="AU273" s="169"/>
      <c r="AV273" s="169"/>
      <c r="AW273" s="169"/>
      <c r="AX273" s="169"/>
      <c r="AY273" s="169"/>
      <c r="AZ273" s="169"/>
    </row>
    <row r="274" spans="2:52" hidden="1" x14ac:dyDescent="0.2">
      <c r="B274" s="170" t="s">
        <v>573</v>
      </c>
      <c r="C274" s="214">
        <v>40</v>
      </c>
      <c r="D274" s="214">
        <v>70</v>
      </c>
      <c r="E274" s="214">
        <v>600</v>
      </c>
      <c r="F274" s="170" t="str">
        <f t="shared" si="27"/>
        <v>7000.04</v>
      </c>
      <c r="G274" s="170" t="s">
        <v>677</v>
      </c>
      <c r="I274" s="168"/>
      <c r="J274" s="168"/>
      <c r="K274" s="168"/>
      <c r="L274" s="168"/>
      <c r="M274" s="194"/>
      <c r="N274" s="168"/>
      <c r="O274" s="168"/>
      <c r="Q274" s="169"/>
      <c r="R274" s="169"/>
      <c r="S274" s="169"/>
      <c r="T274" s="169"/>
      <c r="U274" s="169"/>
      <c r="V274" s="169"/>
      <c r="W274" s="169"/>
      <c r="X274" s="169"/>
      <c r="Z274" s="202"/>
      <c r="AA274" s="202"/>
      <c r="AB274" s="202"/>
      <c r="AC274" s="202"/>
      <c r="AD274" s="202"/>
      <c r="AE274" s="207"/>
      <c r="AF274" s="202"/>
      <c r="AG274" s="202"/>
      <c r="AI274" s="200"/>
      <c r="AJ274" s="200"/>
      <c r="AK274" s="200"/>
      <c r="AL274" s="200">
        <f>IFERROR(VLOOKUP(B274,[2]rptBudgetaryBudgetCrossOrganiza!$A$5236:$O$5854,13,FALSE),"0")</f>
        <v>0</v>
      </c>
      <c r="AM274" s="200"/>
      <c r="AN274" s="200"/>
      <c r="AO274" s="200"/>
      <c r="AP274" s="200"/>
      <c r="AQ274" s="200"/>
      <c r="AS274" s="169"/>
      <c r="AT274" s="169"/>
      <c r="AU274" s="169"/>
      <c r="AV274" s="169"/>
      <c r="AW274" s="169"/>
      <c r="AX274" s="169"/>
      <c r="AY274" s="169"/>
      <c r="AZ274" s="169"/>
    </row>
    <row r="275" spans="2:52" hidden="1" x14ac:dyDescent="0.2">
      <c r="B275" s="170" t="s">
        <v>574</v>
      </c>
      <c r="C275" s="214">
        <v>40</v>
      </c>
      <c r="D275" s="214">
        <v>70</v>
      </c>
      <c r="E275" s="214">
        <v>600</v>
      </c>
      <c r="F275" s="170" t="str">
        <f t="shared" si="27"/>
        <v>7000.07</v>
      </c>
      <c r="G275" s="170" t="s">
        <v>678</v>
      </c>
      <c r="I275" s="168"/>
      <c r="J275" s="168"/>
      <c r="K275" s="168"/>
      <c r="L275" s="168"/>
      <c r="M275" s="194"/>
      <c r="N275" s="168"/>
      <c r="O275" s="168"/>
      <c r="Q275" s="169"/>
      <c r="R275" s="169"/>
      <c r="S275" s="169"/>
      <c r="T275" s="169"/>
      <c r="U275" s="169"/>
      <c r="V275" s="169"/>
      <c r="W275" s="169"/>
      <c r="X275" s="169"/>
      <c r="Z275" s="202"/>
      <c r="AA275" s="202"/>
      <c r="AB275" s="202"/>
      <c r="AC275" s="202"/>
      <c r="AD275" s="202"/>
      <c r="AE275" s="207"/>
      <c r="AF275" s="202"/>
      <c r="AG275" s="202"/>
      <c r="AI275" s="200"/>
      <c r="AJ275" s="200"/>
      <c r="AK275" s="200"/>
      <c r="AL275" s="200">
        <f>IFERROR(VLOOKUP(B275,[2]rptBudgetaryBudgetCrossOrganiza!$A$5236:$O$5854,13,FALSE),"0")</f>
        <v>0</v>
      </c>
      <c r="AM275" s="200"/>
      <c r="AN275" s="200"/>
      <c r="AO275" s="200"/>
      <c r="AP275" s="200"/>
      <c r="AQ275" s="200"/>
      <c r="AS275" s="169"/>
      <c r="AT275" s="169"/>
      <c r="AU275" s="169"/>
      <c r="AV275" s="169"/>
      <c r="AW275" s="169"/>
      <c r="AX275" s="169"/>
      <c r="AY275" s="169"/>
      <c r="AZ275" s="169"/>
    </row>
    <row r="276" spans="2:52" hidden="1" x14ac:dyDescent="0.2">
      <c r="B276" s="170" t="s">
        <v>575</v>
      </c>
      <c r="C276" s="214">
        <v>40</v>
      </c>
      <c r="D276" s="214">
        <v>70</v>
      </c>
      <c r="E276" s="214">
        <v>600</v>
      </c>
      <c r="F276" s="170" t="str">
        <f t="shared" si="27"/>
        <v>7000.08</v>
      </c>
      <c r="G276" s="170" t="s">
        <v>679</v>
      </c>
      <c r="I276" s="168"/>
      <c r="J276" s="168"/>
      <c r="K276" s="168"/>
      <c r="L276" s="168"/>
      <c r="M276" s="194"/>
      <c r="N276" s="168"/>
      <c r="O276" s="168"/>
      <c r="Q276" s="169"/>
      <c r="R276" s="169"/>
      <c r="S276" s="169"/>
      <c r="T276" s="169"/>
      <c r="U276" s="169"/>
      <c r="V276" s="169"/>
      <c r="W276" s="169"/>
      <c r="X276" s="169"/>
      <c r="Z276" s="202"/>
      <c r="AA276" s="202"/>
      <c r="AB276" s="202"/>
      <c r="AC276" s="202"/>
      <c r="AD276" s="202"/>
      <c r="AE276" s="207"/>
      <c r="AF276" s="202"/>
      <c r="AG276" s="202"/>
      <c r="AI276" s="200"/>
      <c r="AJ276" s="200"/>
      <c r="AK276" s="200"/>
      <c r="AL276" s="200">
        <f>IFERROR(VLOOKUP(B276,[2]rptBudgetaryBudgetCrossOrganiza!$A$5236:$O$5854,13,FALSE),"0")</f>
        <v>0</v>
      </c>
      <c r="AM276" s="200"/>
      <c r="AN276" s="200"/>
      <c r="AO276" s="200"/>
      <c r="AP276" s="200"/>
      <c r="AQ276" s="200"/>
      <c r="AS276" s="169"/>
      <c r="AT276" s="169"/>
      <c r="AU276" s="169"/>
      <c r="AV276" s="169"/>
      <c r="AW276" s="169"/>
      <c r="AX276" s="169"/>
      <c r="AY276" s="169"/>
      <c r="AZ276" s="169"/>
    </row>
    <row r="277" spans="2:52" hidden="1" x14ac:dyDescent="0.2">
      <c r="B277" s="170" t="s">
        <v>576</v>
      </c>
      <c r="C277" s="214">
        <v>40</v>
      </c>
      <c r="D277" s="214">
        <v>70</v>
      </c>
      <c r="E277" s="214">
        <v>600</v>
      </c>
      <c r="F277" s="170" t="str">
        <f t="shared" si="27"/>
        <v>7000.12</v>
      </c>
      <c r="G277" s="170" t="s">
        <v>680</v>
      </c>
      <c r="I277" s="168"/>
      <c r="J277" s="168"/>
      <c r="K277" s="168"/>
      <c r="L277" s="168"/>
      <c r="M277" s="194"/>
      <c r="N277" s="168"/>
      <c r="O277" s="168"/>
      <c r="Q277" s="169"/>
      <c r="R277" s="169"/>
      <c r="S277" s="169"/>
      <c r="T277" s="169"/>
      <c r="U277" s="169"/>
      <c r="V277" s="169"/>
      <c r="W277" s="169"/>
      <c r="X277" s="169"/>
      <c r="Z277" s="202"/>
      <c r="AA277" s="202"/>
      <c r="AB277" s="202"/>
      <c r="AC277" s="202"/>
      <c r="AD277" s="202"/>
      <c r="AE277" s="207"/>
      <c r="AF277" s="202"/>
      <c r="AG277" s="202"/>
      <c r="AI277" s="200"/>
      <c r="AJ277" s="200"/>
      <c r="AK277" s="200"/>
      <c r="AL277" s="200">
        <f>IFERROR(VLOOKUP(B277,[2]rptBudgetaryBudgetCrossOrganiza!$A$5236:$O$5854,13,FALSE),"0")</f>
        <v>0</v>
      </c>
      <c r="AM277" s="200"/>
      <c r="AN277" s="200"/>
      <c r="AO277" s="200"/>
      <c r="AP277" s="200"/>
      <c r="AQ277" s="200"/>
      <c r="AS277" s="169"/>
      <c r="AT277" s="169"/>
      <c r="AU277" s="169"/>
      <c r="AV277" s="169"/>
      <c r="AW277" s="169"/>
      <c r="AX277" s="169"/>
      <c r="AY277" s="169"/>
      <c r="AZ277" s="169"/>
    </row>
    <row r="278" spans="2:52" hidden="1" x14ac:dyDescent="0.2">
      <c r="B278" s="170" t="s">
        <v>577</v>
      </c>
      <c r="C278" s="214">
        <v>40</v>
      </c>
      <c r="D278" s="214">
        <v>70</v>
      </c>
      <c r="E278" s="214">
        <v>600</v>
      </c>
      <c r="F278" s="170" t="str">
        <f t="shared" si="27"/>
        <v>7000.99</v>
      </c>
      <c r="G278" s="170" t="s">
        <v>164</v>
      </c>
      <c r="I278" s="168"/>
      <c r="J278" s="168"/>
      <c r="K278" s="168"/>
      <c r="L278" s="168"/>
      <c r="M278" s="194"/>
      <c r="N278" s="168"/>
      <c r="O278" s="168"/>
      <c r="Q278" s="169"/>
      <c r="R278" s="169"/>
      <c r="S278" s="169"/>
      <c r="T278" s="169"/>
      <c r="U278" s="169"/>
      <c r="V278" s="169"/>
      <c r="W278" s="169"/>
      <c r="X278" s="169"/>
      <c r="Z278" s="202"/>
      <c r="AA278" s="202"/>
      <c r="AB278" s="202"/>
      <c r="AC278" s="202"/>
      <c r="AD278" s="202"/>
      <c r="AE278" s="207"/>
      <c r="AF278" s="202"/>
      <c r="AG278" s="202"/>
      <c r="AI278" s="200"/>
      <c r="AJ278" s="200"/>
      <c r="AK278" s="200"/>
      <c r="AL278" s="200">
        <f>IFERROR(VLOOKUP(B278,[2]rptBudgetaryBudgetCrossOrganiza!$A$5236:$O$5854,13,FALSE),"0")</f>
        <v>0</v>
      </c>
      <c r="AM278" s="200"/>
      <c r="AN278" s="200"/>
      <c r="AO278" s="200"/>
      <c r="AP278" s="200"/>
      <c r="AQ278" s="200"/>
      <c r="AS278" s="169"/>
      <c r="AT278" s="169"/>
      <c r="AU278" s="169"/>
      <c r="AV278" s="169"/>
      <c r="AW278" s="169"/>
      <c r="AX278" s="169"/>
      <c r="AY278" s="169"/>
      <c r="AZ278" s="169"/>
    </row>
    <row r="279" spans="2:52" hidden="1" x14ac:dyDescent="0.2">
      <c r="B279" s="170" t="s">
        <v>578</v>
      </c>
      <c r="C279" s="214">
        <v>40</v>
      </c>
      <c r="D279" s="214">
        <v>70</v>
      </c>
      <c r="E279" s="214">
        <v>600</v>
      </c>
      <c r="F279" s="170" t="str">
        <f t="shared" si="27"/>
        <v>5000.01</v>
      </c>
      <c r="G279" s="170" t="s">
        <v>165</v>
      </c>
      <c r="I279" s="168"/>
      <c r="J279" s="168"/>
      <c r="K279" s="168"/>
      <c r="L279" s="168"/>
      <c r="M279" s="194"/>
      <c r="N279" s="168"/>
      <c r="O279" s="168"/>
      <c r="Q279" s="169"/>
      <c r="R279" s="169"/>
      <c r="S279" s="169"/>
      <c r="T279" s="169"/>
      <c r="U279" s="169"/>
      <c r="V279" s="169"/>
      <c r="W279" s="169"/>
      <c r="X279" s="169"/>
      <c r="Z279" s="202"/>
      <c r="AA279" s="202"/>
      <c r="AB279" s="202"/>
      <c r="AC279" s="202"/>
      <c r="AD279" s="202"/>
      <c r="AE279" s="207"/>
      <c r="AF279" s="202"/>
      <c r="AG279" s="202"/>
      <c r="AI279" s="200"/>
      <c r="AJ279" s="200"/>
      <c r="AK279" s="200"/>
      <c r="AL279" s="200">
        <f>IFERROR(VLOOKUP(B279,[2]rptBudgetaryBudgetCrossOrganiza!$A$5236:$O$5854,13,FALSE),"0")</f>
        <v>0</v>
      </c>
      <c r="AM279" s="200"/>
      <c r="AN279" s="200"/>
      <c r="AO279" s="200"/>
      <c r="AP279" s="200"/>
      <c r="AQ279" s="200"/>
      <c r="AS279" s="169"/>
      <c r="AT279" s="169"/>
      <c r="AU279" s="169"/>
      <c r="AV279" s="169"/>
      <c r="AW279" s="169"/>
      <c r="AX279" s="169"/>
      <c r="AY279" s="169"/>
      <c r="AZ279" s="169"/>
    </row>
    <row r="280" spans="2:52" hidden="1" x14ac:dyDescent="0.2">
      <c r="B280" s="170" t="s">
        <v>579</v>
      </c>
      <c r="C280" s="214">
        <v>40</v>
      </c>
      <c r="D280" s="214">
        <v>70</v>
      </c>
      <c r="E280" s="214">
        <v>600</v>
      </c>
      <c r="F280" s="170" t="str">
        <f t="shared" si="27"/>
        <v>5000.02</v>
      </c>
      <c r="G280" s="170" t="s">
        <v>166</v>
      </c>
      <c r="I280" s="168"/>
      <c r="J280" s="168"/>
      <c r="K280" s="168"/>
      <c r="L280" s="168"/>
      <c r="M280" s="194"/>
      <c r="N280" s="168"/>
      <c r="O280" s="168"/>
      <c r="Q280" s="169"/>
      <c r="R280" s="169"/>
      <c r="S280" s="169"/>
      <c r="T280" s="169"/>
      <c r="U280" s="169"/>
      <c r="V280" s="169"/>
      <c r="W280" s="169"/>
      <c r="X280" s="169"/>
      <c r="Z280" s="202"/>
      <c r="AA280" s="202"/>
      <c r="AB280" s="202"/>
      <c r="AC280" s="202"/>
      <c r="AD280" s="202"/>
      <c r="AE280" s="207"/>
      <c r="AF280" s="202"/>
      <c r="AG280" s="202"/>
      <c r="AI280" s="200"/>
      <c r="AJ280" s="200"/>
      <c r="AK280" s="200"/>
      <c r="AL280" s="200">
        <f>IFERROR(VLOOKUP(B280,[2]rptBudgetaryBudgetCrossOrganiza!$A$5236:$O$5854,13,FALSE),"0")</f>
        <v>0</v>
      </c>
      <c r="AM280" s="200"/>
      <c r="AN280" s="200"/>
      <c r="AO280" s="200"/>
      <c r="AP280" s="200"/>
      <c r="AQ280" s="200"/>
      <c r="AS280" s="169"/>
      <c r="AT280" s="169"/>
      <c r="AU280" s="169"/>
      <c r="AV280" s="169"/>
      <c r="AW280" s="169"/>
      <c r="AX280" s="169"/>
      <c r="AY280" s="169"/>
      <c r="AZ280" s="169"/>
    </row>
    <row r="281" spans="2:52" hidden="1" x14ac:dyDescent="0.2">
      <c r="B281" s="170" t="s">
        <v>580</v>
      </c>
      <c r="C281" s="214">
        <v>40</v>
      </c>
      <c r="D281" s="214">
        <v>70</v>
      </c>
      <c r="E281" s="214">
        <v>600</v>
      </c>
      <c r="F281" s="170" t="str">
        <f t="shared" si="27"/>
        <v>5000.03</v>
      </c>
      <c r="G281" s="170" t="s">
        <v>167</v>
      </c>
      <c r="I281" s="168"/>
      <c r="J281" s="168"/>
      <c r="K281" s="168"/>
      <c r="L281" s="168"/>
      <c r="M281" s="194"/>
      <c r="N281" s="168"/>
      <c r="O281" s="168"/>
      <c r="Q281" s="169"/>
      <c r="R281" s="169"/>
      <c r="S281" s="169"/>
      <c r="T281" s="169"/>
      <c r="U281" s="169"/>
      <c r="V281" s="169"/>
      <c r="W281" s="169"/>
      <c r="X281" s="169"/>
      <c r="Z281" s="202"/>
      <c r="AA281" s="202"/>
      <c r="AB281" s="202"/>
      <c r="AC281" s="202"/>
      <c r="AD281" s="202"/>
      <c r="AE281" s="207"/>
      <c r="AF281" s="202"/>
      <c r="AG281" s="202"/>
      <c r="AI281" s="200"/>
      <c r="AJ281" s="200"/>
      <c r="AK281" s="200"/>
      <c r="AL281" s="200">
        <f>IFERROR(VLOOKUP(B281,[2]rptBudgetaryBudgetCrossOrganiza!$A$5236:$O$5854,13,FALSE),"0")</f>
        <v>0</v>
      </c>
      <c r="AM281" s="200"/>
      <c r="AN281" s="200"/>
      <c r="AO281" s="200"/>
      <c r="AP281" s="200"/>
      <c r="AQ281" s="200"/>
      <c r="AS281" s="169"/>
      <c r="AT281" s="169"/>
      <c r="AU281" s="169"/>
      <c r="AV281" s="169"/>
      <c r="AW281" s="169"/>
      <c r="AX281" s="169"/>
      <c r="AY281" s="169"/>
      <c r="AZ281" s="169"/>
    </row>
    <row r="282" spans="2:52" hidden="1" x14ac:dyDescent="0.2">
      <c r="B282" s="170" t="s">
        <v>581</v>
      </c>
      <c r="C282" s="214">
        <v>40</v>
      </c>
      <c r="D282" s="214">
        <v>70</v>
      </c>
      <c r="E282" s="214">
        <v>600</v>
      </c>
      <c r="F282" s="170" t="str">
        <f t="shared" si="27"/>
        <v>5000.04</v>
      </c>
      <c r="G282" s="170" t="s">
        <v>168</v>
      </c>
      <c r="I282" s="168"/>
      <c r="J282" s="168"/>
      <c r="K282" s="168"/>
      <c r="L282" s="168"/>
      <c r="M282" s="194"/>
      <c r="N282" s="168"/>
      <c r="O282" s="168"/>
      <c r="Q282" s="169"/>
      <c r="R282" s="169"/>
      <c r="S282" s="169"/>
      <c r="T282" s="169"/>
      <c r="U282" s="169"/>
      <c r="V282" s="169"/>
      <c r="W282" s="169"/>
      <c r="X282" s="169"/>
      <c r="Z282" s="202"/>
      <c r="AA282" s="202"/>
      <c r="AB282" s="202"/>
      <c r="AC282" s="202"/>
      <c r="AD282" s="202"/>
      <c r="AE282" s="207"/>
      <c r="AF282" s="202"/>
      <c r="AG282" s="202"/>
      <c r="AI282" s="200"/>
      <c r="AJ282" s="200"/>
      <c r="AK282" s="200"/>
      <c r="AL282" s="200">
        <f>IFERROR(VLOOKUP(B282,[2]rptBudgetaryBudgetCrossOrganiza!$A$5236:$O$5854,13,FALSE),"0")</f>
        <v>0</v>
      </c>
      <c r="AM282" s="200"/>
      <c r="AN282" s="200"/>
      <c r="AO282" s="200"/>
      <c r="AP282" s="200"/>
      <c r="AQ282" s="200"/>
      <c r="AS282" s="169"/>
      <c r="AT282" s="169"/>
      <c r="AU282" s="169"/>
      <c r="AV282" s="169"/>
      <c r="AW282" s="169"/>
      <c r="AX282" s="169"/>
      <c r="AY282" s="169"/>
      <c r="AZ282" s="169"/>
    </row>
    <row r="283" spans="2:52" hidden="1" x14ac:dyDescent="0.2">
      <c r="B283" s="170" t="s">
        <v>582</v>
      </c>
      <c r="C283" s="214">
        <v>40</v>
      </c>
      <c r="D283" s="214">
        <v>70</v>
      </c>
      <c r="E283" s="214">
        <v>600</v>
      </c>
      <c r="F283" s="170" t="str">
        <f t="shared" si="27"/>
        <v>5000.06</v>
      </c>
      <c r="G283" s="170" t="s">
        <v>170</v>
      </c>
      <c r="I283" s="168"/>
      <c r="J283" s="168"/>
      <c r="K283" s="168"/>
      <c r="L283" s="168"/>
      <c r="M283" s="194"/>
      <c r="N283" s="168"/>
      <c r="O283" s="168"/>
      <c r="Q283" s="169"/>
      <c r="R283" s="169"/>
      <c r="S283" s="169"/>
      <c r="T283" s="169"/>
      <c r="U283" s="169"/>
      <c r="V283" s="169"/>
      <c r="W283" s="169"/>
      <c r="X283" s="169"/>
      <c r="Z283" s="202"/>
      <c r="AA283" s="202"/>
      <c r="AB283" s="202"/>
      <c r="AC283" s="202"/>
      <c r="AD283" s="202"/>
      <c r="AE283" s="207"/>
      <c r="AF283" s="202"/>
      <c r="AG283" s="202"/>
      <c r="AI283" s="200"/>
      <c r="AJ283" s="200"/>
      <c r="AK283" s="200"/>
      <c r="AL283" s="200">
        <f>IFERROR(VLOOKUP(B283,[2]rptBudgetaryBudgetCrossOrganiza!$A$5236:$O$5854,13,FALSE),"0")</f>
        <v>0</v>
      </c>
      <c r="AM283" s="200"/>
      <c r="AN283" s="200"/>
      <c r="AO283" s="200"/>
      <c r="AP283" s="200"/>
      <c r="AQ283" s="200"/>
      <c r="AS283" s="169"/>
      <c r="AT283" s="169"/>
      <c r="AU283" s="169"/>
      <c r="AV283" s="169"/>
      <c r="AW283" s="169"/>
      <c r="AX283" s="169"/>
      <c r="AY283" s="169"/>
      <c r="AZ283" s="169"/>
    </row>
    <row r="284" spans="2:52" hidden="1" x14ac:dyDescent="0.2">
      <c r="B284" s="170" t="s">
        <v>583</v>
      </c>
      <c r="C284" s="214">
        <v>40</v>
      </c>
      <c r="D284" s="214">
        <v>70</v>
      </c>
      <c r="E284" s="214">
        <v>600</v>
      </c>
      <c r="F284" s="170" t="str">
        <f t="shared" si="27"/>
        <v>5000.07</v>
      </c>
      <c r="G284" s="170" t="s">
        <v>171</v>
      </c>
      <c r="I284" s="168"/>
      <c r="J284" s="168"/>
      <c r="K284" s="168"/>
      <c r="L284" s="168"/>
      <c r="M284" s="194"/>
      <c r="N284" s="168"/>
      <c r="O284" s="168"/>
      <c r="Q284" s="169"/>
      <c r="R284" s="169"/>
      <c r="S284" s="169"/>
      <c r="T284" s="169"/>
      <c r="U284" s="169"/>
      <c r="V284" s="169"/>
      <c r="W284" s="169"/>
      <c r="X284" s="169"/>
      <c r="Z284" s="202"/>
      <c r="AA284" s="202"/>
      <c r="AB284" s="202"/>
      <c r="AC284" s="202"/>
      <c r="AD284" s="202"/>
      <c r="AE284" s="207"/>
      <c r="AF284" s="202"/>
      <c r="AG284" s="202"/>
      <c r="AI284" s="200"/>
      <c r="AJ284" s="200"/>
      <c r="AK284" s="200"/>
      <c r="AL284" s="200">
        <f>IFERROR(VLOOKUP(B284,[2]rptBudgetaryBudgetCrossOrganiza!$A$5236:$O$5854,13,FALSE),"0")</f>
        <v>0</v>
      </c>
      <c r="AM284" s="200"/>
      <c r="AN284" s="200"/>
      <c r="AO284" s="200"/>
      <c r="AP284" s="200"/>
      <c r="AQ284" s="200"/>
      <c r="AS284" s="169"/>
      <c r="AT284" s="169"/>
      <c r="AU284" s="169"/>
      <c r="AV284" s="169"/>
      <c r="AW284" s="169"/>
      <c r="AX284" s="169"/>
      <c r="AY284" s="169"/>
      <c r="AZ284" s="169"/>
    </row>
    <row r="285" spans="2:52" hidden="1" x14ac:dyDescent="0.2">
      <c r="B285" s="170" t="s">
        <v>584</v>
      </c>
      <c r="C285" s="214">
        <v>40</v>
      </c>
      <c r="D285" s="214">
        <v>70</v>
      </c>
      <c r="E285" s="214">
        <v>600</v>
      </c>
      <c r="F285" s="170" t="str">
        <f t="shared" si="27"/>
        <v>5000.08</v>
      </c>
      <c r="G285" s="170" t="s">
        <v>172</v>
      </c>
      <c r="I285" s="168"/>
      <c r="J285" s="168"/>
      <c r="K285" s="168"/>
      <c r="L285" s="168"/>
      <c r="M285" s="194"/>
      <c r="N285" s="168"/>
      <c r="O285" s="168"/>
      <c r="Q285" s="169"/>
      <c r="R285" s="169"/>
      <c r="S285" s="169"/>
      <c r="T285" s="169"/>
      <c r="U285" s="169"/>
      <c r="V285" s="169"/>
      <c r="W285" s="169"/>
      <c r="X285" s="169"/>
      <c r="Z285" s="202"/>
      <c r="AA285" s="202"/>
      <c r="AB285" s="202"/>
      <c r="AC285" s="202"/>
      <c r="AD285" s="202"/>
      <c r="AE285" s="207"/>
      <c r="AF285" s="202"/>
      <c r="AG285" s="202"/>
      <c r="AI285" s="200"/>
      <c r="AJ285" s="200"/>
      <c r="AK285" s="200"/>
      <c r="AL285" s="200">
        <f>IFERROR(VLOOKUP(B285,[2]rptBudgetaryBudgetCrossOrganiza!$A$5236:$O$5854,13,FALSE),"0")</f>
        <v>0</v>
      </c>
      <c r="AM285" s="200"/>
      <c r="AN285" s="200"/>
      <c r="AO285" s="200"/>
      <c r="AP285" s="200"/>
      <c r="AQ285" s="200"/>
      <c r="AS285" s="169"/>
      <c r="AT285" s="169"/>
      <c r="AU285" s="169"/>
      <c r="AV285" s="169"/>
      <c r="AW285" s="169"/>
      <c r="AX285" s="169"/>
      <c r="AY285" s="169"/>
      <c r="AZ285" s="169"/>
    </row>
    <row r="286" spans="2:52" hidden="1" x14ac:dyDescent="0.2">
      <c r="B286" s="170" t="s">
        <v>585</v>
      </c>
      <c r="C286" s="214">
        <v>40</v>
      </c>
      <c r="D286" s="214">
        <v>70</v>
      </c>
      <c r="E286" s="214">
        <v>600</v>
      </c>
      <c r="F286" s="170" t="str">
        <f t="shared" si="27"/>
        <v>5000.11</v>
      </c>
      <c r="G286" s="170" t="s">
        <v>175</v>
      </c>
      <c r="I286" s="168"/>
      <c r="J286" s="168"/>
      <c r="K286" s="168"/>
      <c r="L286" s="168"/>
      <c r="M286" s="194"/>
      <c r="N286" s="168"/>
      <c r="O286" s="168"/>
      <c r="Q286" s="169"/>
      <c r="R286" s="169"/>
      <c r="S286" s="169"/>
      <c r="T286" s="169"/>
      <c r="U286" s="169"/>
      <c r="V286" s="169"/>
      <c r="W286" s="169"/>
      <c r="X286" s="169"/>
      <c r="Z286" s="202"/>
      <c r="AA286" s="202"/>
      <c r="AB286" s="202"/>
      <c r="AC286" s="202"/>
      <c r="AD286" s="202"/>
      <c r="AE286" s="207"/>
      <c r="AF286" s="202"/>
      <c r="AG286" s="202"/>
      <c r="AI286" s="200"/>
      <c r="AJ286" s="200"/>
      <c r="AK286" s="200"/>
      <c r="AL286" s="200">
        <f>IFERROR(VLOOKUP(B286,[2]rptBudgetaryBudgetCrossOrganiza!$A$5236:$O$5854,13,FALSE),"0")</f>
        <v>0</v>
      </c>
      <c r="AM286" s="200"/>
      <c r="AN286" s="200"/>
      <c r="AO286" s="200"/>
      <c r="AP286" s="200"/>
      <c r="AQ286" s="200"/>
      <c r="AS286" s="169"/>
      <c r="AT286" s="169"/>
      <c r="AU286" s="169"/>
      <c r="AV286" s="169"/>
      <c r="AW286" s="169"/>
      <c r="AX286" s="169"/>
      <c r="AY286" s="169"/>
      <c r="AZ286" s="169"/>
    </row>
    <row r="287" spans="2:52" hidden="1" x14ac:dyDescent="0.2">
      <c r="B287" s="170" t="s">
        <v>586</v>
      </c>
      <c r="C287" s="214">
        <v>40</v>
      </c>
      <c r="D287" s="214">
        <v>70</v>
      </c>
      <c r="E287" s="214">
        <v>600</v>
      </c>
      <c r="F287" s="170" t="str">
        <f t="shared" si="27"/>
        <v>5000.99</v>
      </c>
      <c r="G287" s="170" t="s">
        <v>177</v>
      </c>
      <c r="I287" s="168"/>
      <c r="J287" s="168"/>
      <c r="K287" s="168"/>
      <c r="L287" s="168"/>
      <c r="M287" s="194"/>
      <c r="N287" s="168"/>
      <c r="O287" s="168"/>
      <c r="Q287" s="169"/>
      <c r="R287" s="169"/>
      <c r="S287" s="169"/>
      <c r="T287" s="169"/>
      <c r="U287" s="169"/>
      <c r="V287" s="169"/>
      <c r="W287" s="169"/>
      <c r="X287" s="169"/>
      <c r="Z287" s="202"/>
      <c r="AA287" s="202"/>
      <c r="AB287" s="202"/>
      <c r="AC287" s="202"/>
      <c r="AD287" s="202"/>
      <c r="AE287" s="207"/>
      <c r="AF287" s="202"/>
      <c r="AG287" s="202"/>
      <c r="AI287" s="200"/>
      <c r="AJ287" s="200"/>
      <c r="AK287" s="200"/>
      <c r="AL287" s="200">
        <f>IFERROR(VLOOKUP(B287,[2]rptBudgetaryBudgetCrossOrganiza!$A$5236:$O$5854,13,FALSE),"0")</f>
        <v>0</v>
      </c>
      <c r="AM287" s="200"/>
      <c r="AN287" s="200"/>
      <c r="AO287" s="200"/>
      <c r="AP287" s="200"/>
      <c r="AQ287" s="200"/>
      <c r="AS287" s="169"/>
      <c r="AT287" s="169"/>
      <c r="AU287" s="169"/>
      <c r="AV287" s="169"/>
      <c r="AW287" s="169"/>
      <c r="AX287" s="169"/>
      <c r="AY287" s="169"/>
      <c r="AZ287" s="169"/>
    </row>
    <row r="288" spans="2:52" hidden="1" x14ac:dyDescent="0.2">
      <c r="B288" s="170" t="s">
        <v>587</v>
      </c>
      <c r="C288" s="214">
        <v>40</v>
      </c>
      <c r="D288" s="214">
        <v>70</v>
      </c>
      <c r="E288" s="214">
        <v>600</v>
      </c>
      <c r="F288" s="170" t="str">
        <f t="shared" si="27"/>
        <v>5100.00</v>
      </c>
      <c r="G288" s="170" t="s">
        <v>178</v>
      </c>
      <c r="I288" s="168"/>
      <c r="J288" s="168"/>
      <c r="K288" s="168"/>
      <c r="L288" s="168"/>
      <c r="M288" s="194"/>
      <c r="N288" s="168"/>
      <c r="O288" s="168"/>
      <c r="Q288" s="169"/>
      <c r="R288" s="169"/>
      <c r="S288" s="169"/>
      <c r="T288" s="169"/>
      <c r="U288" s="169"/>
      <c r="V288" s="169"/>
      <c r="W288" s="169"/>
      <c r="X288" s="169"/>
      <c r="Z288" s="202"/>
      <c r="AA288" s="202"/>
      <c r="AB288" s="202"/>
      <c r="AC288" s="202"/>
      <c r="AD288" s="202"/>
      <c r="AE288" s="207"/>
      <c r="AF288" s="202"/>
      <c r="AG288" s="202"/>
      <c r="AI288" s="200"/>
      <c r="AJ288" s="200"/>
      <c r="AK288" s="200"/>
      <c r="AL288" s="200">
        <f>IFERROR(VLOOKUP(B288,[2]rptBudgetaryBudgetCrossOrganiza!$A$5236:$O$5854,13,FALSE),"0")</f>
        <v>0</v>
      </c>
      <c r="AM288" s="200"/>
      <c r="AN288" s="200"/>
      <c r="AO288" s="200"/>
      <c r="AP288" s="200"/>
      <c r="AQ288" s="200"/>
      <c r="AS288" s="169"/>
      <c r="AT288" s="169"/>
      <c r="AU288" s="169"/>
      <c r="AV288" s="169"/>
      <c r="AW288" s="169"/>
      <c r="AX288" s="169"/>
      <c r="AY288" s="169"/>
      <c r="AZ288" s="169"/>
    </row>
    <row r="289" spans="2:52" hidden="1" x14ac:dyDescent="0.2">
      <c r="B289" s="170" t="s">
        <v>588</v>
      </c>
      <c r="C289" s="214">
        <v>40</v>
      </c>
      <c r="D289" s="214">
        <v>70</v>
      </c>
      <c r="E289" s="214">
        <v>600</v>
      </c>
      <c r="F289" s="170" t="str">
        <f t="shared" si="27"/>
        <v>5100.01</v>
      </c>
      <c r="G289" s="170" t="s">
        <v>179</v>
      </c>
      <c r="I289" s="168"/>
      <c r="J289" s="168"/>
      <c r="K289" s="168"/>
      <c r="L289" s="168"/>
      <c r="M289" s="194"/>
      <c r="N289" s="168"/>
      <c r="O289" s="168"/>
      <c r="Q289" s="169"/>
      <c r="R289" s="169"/>
      <c r="S289" s="169"/>
      <c r="T289" s="169"/>
      <c r="U289" s="169"/>
      <c r="V289" s="169"/>
      <c r="W289" s="169"/>
      <c r="X289" s="169"/>
      <c r="Z289" s="202"/>
      <c r="AA289" s="202"/>
      <c r="AB289" s="202"/>
      <c r="AC289" s="202"/>
      <c r="AD289" s="202"/>
      <c r="AE289" s="207"/>
      <c r="AF289" s="202"/>
      <c r="AG289" s="202"/>
      <c r="AI289" s="200"/>
      <c r="AJ289" s="200"/>
      <c r="AK289" s="200"/>
      <c r="AL289" s="200">
        <f>IFERROR(VLOOKUP(B289,[2]rptBudgetaryBudgetCrossOrganiza!$A$5236:$O$5854,13,FALSE),"0")</f>
        <v>0</v>
      </c>
      <c r="AM289" s="200"/>
      <c r="AN289" s="200"/>
      <c r="AO289" s="200"/>
      <c r="AP289" s="200"/>
      <c r="AQ289" s="200"/>
      <c r="AS289" s="169"/>
      <c r="AT289" s="169"/>
      <c r="AU289" s="169"/>
      <c r="AV289" s="169"/>
      <c r="AW289" s="169"/>
      <c r="AX289" s="169"/>
      <c r="AY289" s="169"/>
      <c r="AZ289" s="169"/>
    </row>
    <row r="290" spans="2:52" hidden="1" x14ac:dyDescent="0.2">
      <c r="B290" s="170" t="s">
        <v>589</v>
      </c>
      <c r="C290" s="214">
        <v>40</v>
      </c>
      <c r="D290" s="214">
        <v>70</v>
      </c>
      <c r="E290" s="214">
        <v>600</v>
      </c>
      <c r="F290" s="170" t="str">
        <f t="shared" si="27"/>
        <v>5100.02</v>
      </c>
      <c r="G290" s="170" t="s">
        <v>180</v>
      </c>
      <c r="I290" s="168"/>
      <c r="J290" s="168"/>
      <c r="K290" s="168"/>
      <c r="L290" s="168"/>
      <c r="M290" s="194"/>
      <c r="N290" s="168"/>
      <c r="O290" s="168"/>
      <c r="Q290" s="169"/>
      <c r="R290" s="169"/>
      <c r="S290" s="169"/>
      <c r="T290" s="169"/>
      <c r="U290" s="169"/>
      <c r="V290" s="169"/>
      <c r="W290" s="169"/>
      <c r="X290" s="169"/>
      <c r="Z290" s="202"/>
      <c r="AA290" s="202"/>
      <c r="AB290" s="202"/>
      <c r="AC290" s="202"/>
      <c r="AD290" s="202"/>
      <c r="AE290" s="207"/>
      <c r="AF290" s="202"/>
      <c r="AG290" s="202"/>
      <c r="AI290" s="200"/>
      <c r="AJ290" s="200"/>
      <c r="AK290" s="200"/>
      <c r="AL290" s="200">
        <f>IFERROR(VLOOKUP(B290,[2]rptBudgetaryBudgetCrossOrganiza!$A$5236:$O$5854,13,FALSE),"0")</f>
        <v>0</v>
      </c>
      <c r="AM290" s="200"/>
      <c r="AN290" s="200"/>
      <c r="AO290" s="200"/>
      <c r="AP290" s="200"/>
      <c r="AQ290" s="200"/>
      <c r="AS290" s="169"/>
      <c r="AT290" s="169"/>
      <c r="AU290" s="169"/>
      <c r="AV290" s="169"/>
      <c r="AW290" s="169"/>
      <c r="AX290" s="169"/>
      <c r="AY290" s="169"/>
      <c r="AZ290" s="169"/>
    </row>
    <row r="291" spans="2:52" hidden="1" x14ac:dyDescent="0.2">
      <c r="B291" s="170" t="s">
        <v>590</v>
      </c>
      <c r="C291" s="214">
        <v>40</v>
      </c>
      <c r="D291" s="214">
        <v>70</v>
      </c>
      <c r="E291" s="214">
        <v>600</v>
      </c>
      <c r="F291" s="170" t="str">
        <f t="shared" si="27"/>
        <v>5100.03</v>
      </c>
      <c r="G291" s="170" t="s">
        <v>181</v>
      </c>
      <c r="I291" s="168"/>
      <c r="J291" s="168"/>
      <c r="K291" s="168"/>
      <c r="L291" s="168"/>
      <c r="M291" s="194"/>
      <c r="N291" s="168"/>
      <c r="O291" s="168"/>
      <c r="Q291" s="169"/>
      <c r="R291" s="169"/>
      <c r="S291" s="169"/>
      <c r="T291" s="169"/>
      <c r="U291" s="169"/>
      <c r="V291" s="169"/>
      <c r="W291" s="169"/>
      <c r="X291" s="169"/>
      <c r="Z291" s="202"/>
      <c r="AA291" s="202"/>
      <c r="AB291" s="202"/>
      <c r="AC291" s="202"/>
      <c r="AD291" s="202"/>
      <c r="AE291" s="207"/>
      <c r="AF291" s="202"/>
      <c r="AG291" s="202"/>
      <c r="AI291" s="200"/>
      <c r="AJ291" s="200"/>
      <c r="AK291" s="200"/>
      <c r="AL291" s="200">
        <f>IFERROR(VLOOKUP(B291,[2]rptBudgetaryBudgetCrossOrganiza!$A$5236:$O$5854,13,FALSE),"0")</f>
        <v>0</v>
      </c>
      <c r="AM291" s="200"/>
      <c r="AN291" s="200"/>
      <c r="AO291" s="200"/>
      <c r="AP291" s="200"/>
      <c r="AQ291" s="200"/>
      <c r="AS291" s="169"/>
      <c r="AT291" s="169"/>
      <c r="AU291" s="169"/>
      <c r="AV291" s="169"/>
      <c r="AW291" s="169"/>
      <c r="AX291" s="169"/>
      <c r="AY291" s="169"/>
      <c r="AZ291" s="169"/>
    </row>
    <row r="292" spans="2:52" hidden="1" x14ac:dyDescent="0.2">
      <c r="B292" s="170" t="s">
        <v>591</v>
      </c>
      <c r="C292" s="214">
        <v>40</v>
      </c>
      <c r="D292" s="214">
        <v>70</v>
      </c>
      <c r="E292" s="214">
        <v>600</v>
      </c>
      <c r="F292" s="170" t="str">
        <f t="shared" si="27"/>
        <v>5100.04</v>
      </c>
      <c r="G292" s="170" t="s">
        <v>182</v>
      </c>
      <c r="I292" s="168"/>
      <c r="J292" s="168"/>
      <c r="K292" s="168"/>
      <c r="L292" s="168"/>
      <c r="M292" s="194"/>
      <c r="N292" s="168"/>
      <c r="O292" s="168"/>
      <c r="Q292" s="169"/>
      <c r="R292" s="169"/>
      <c r="S292" s="169"/>
      <c r="T292" s="169"/>
      <c r="U292" s="169"/>
      <c r="V292" s="169"/>
      <c r="W292" s="169"/>
      <c r="X292" s="169"/>
      <c r="Z292" s="202"/>
      <c r="AA292" s="202"/>
      <c r="AB292" s="202"/>
      <c r="AC292" s="202"/>
      <c r="AD292" s="202"/>
      <c r="AE292" s="207"/>
      <c r="AF292" s="202"/>
      <c r="AG292" s="202"/>
      <c r="AI292" s="200"/>
      <c r="AJ292" s="200"/>
      <c r="AK292" s="200"/>
      <c r="AL292" s="200">
        <f>IFERROR(VLOOKUP(B292,[2]rptBudgetaryBudgetCrossOrganiza!$A$5236:$O$5854,13,FALSE),"0")</f>
        <v>0</v>
      </c>
      <c r="AM292" s="200"/>
      <c r="AN292" s="200"/>
      <c r="AO292" s="200"/>
      <c r="AP292" s="200"/>
      <c r="AQ292" s="200"/>
      <c r="AS292" s="169"/>
      <c r="AT292" s="169"/>
      <c r="AU292" s="169"/>
      <c r="AV292" s="169"/>
      <c r="AW292" s="169"/>
      <c r="AX292" s="169"/>
      <c r="AY292" s="169"/>
      <c r="AZ292" s="169"/>
    </row>
    <row r="293" spans="2:52" hidden="1" x14ac:dyDescent="0.2">
      <c r="B293" s="170" t="s">
        <v>592</v>
      </c>
      <c r="C293" s="214">
        <v>40</v>
      </c>
      <c r="D293" s="214">
        <v>70</v>
      </c>
      <c r="E293" s="214">
        <v>600</v>
      </c>
      <c r="F293" s="170" t="str">
        <f t="shared" si="27"/>
        <v>5100.05</v>
      </c>
      <c r="G293" s="170" t="s">
        <v>183</v>
      </c>
      <c r="I293" s="168"/>
      <c r="J293" s="168"/>
      <c r="K293" s="168"/>
      <c r="L293" s="168"/>
      <c r="M293" s="194"/>
      <c r="N293" s="168"/>
      <c r="O293" s="168"/>
      <c r="Q293" s="169"/>
      <c r="R293" s="169"/>
      <c r="S293" s="169"/>
      <c r="T293" s="169"/>
      <c r="U293" s="169"/>
      <c r="V293" s="169"/>
      <c r="W293" s="169"/>
      <c r="X293" s="169"/>
      <c r="Z293" s="202"/>
      <c r="AA293" s="202"/>
      <c r="AB293" s="202"/>
      <c r="AC293" s="202"/>
      <c r="AD293" s="202"/>
      <c r="AE293" s="207"/>
      <c r="AF293" s="202"/>
      <c r="AG293" s="202"/>
      <c r="AI293" s="200"/>
      <c r="AJ293" s="200"/>
      <c r="AK293" s="200"/>
      <c r="AL293" s="200">
        <f>IFERROR(VLOOKUP(B293,[2]rptBudgetaryBudgetCrossOrganiza!$A$5236:$O$5854,13,FALSE),"0")</f>
        <v>0</v>
      </c>
      <c r="AM293" s="200"/>
      <c r="AN293" s="200"/>
      <c r="AO293" s="200"/>
      <c r="AP293" s="200"/>
      <c r="AQ293" s="200"/>
      <c r="AS293" s="169"/>
      <c r="AT293" s="169"/>
      <c r="AU293" s="169"/>
      <c r="AV293" s="169"/>
      <c r="AW293" s="169"/>
      <c r="AX293" s="169"/>
      <c r="AY293" s="169"/>
      <c r="AZ293" s="169"/>
    </row>
    <row r="294" spans="2:52" hidden="1" x14ac:dyDescent="0.2">
      <c r="B294" s="170" t="s">
        <v>593</v>
      </c>
      <c r="C294" s="214">
        <v>40</v>
      </c>
      <c r="D294" s="214">
        <v>70</v>
      </c>
      <c r="E294" s="214">
        <v>600</v>
      </c>
      <c r="F294" s="170" t="str">
        <f t="shared" si="27"/>
        <v>5100.06</v>
      </c>
      <c r="G294" s="170" t="s">
        <v>184</v>
      </c>
      <c r="I294" s="168"/>
      <c r="J294" s="168"/>
      <c r="K294" s="168"/>
      <c r="L294" s="168"/>
      <c r="M294" s="194"/>
      <c r="N294" s="168"/>
      <c r="O294" s="168"/>
      <c r="Q294" s="169"/>
      <c r="R294" s="169"/>
      <c r="S294" s="169"/>
      <c r="T294" s="169"/>
      <c r="U294" s="169"/>
      <c r="V294" s="169"/>
      <c r="W294" s="169"/>
      <c r="X294" s="169"/>
      <c r="Z294" s="202"/>
      <c r="AA294" s="202"/>
      <c r="AB294" s="202"/>
      <c r="AC294" s="202"/>
      <c r="AD294" s="202"/>
      <c r="AE294" s="207"/>
      <c r="AF294" s="202"/>
      <c r="AG294" s="202"/>
      <c r="AI294" s="200"/>
      <c r="AJ294" s="200"/>
      <c r="AK294" s="200"/>
      <c r="AL294" s="200">
        <f>IFERROR(VLOOKUP(B294,[2]rptBudgetaryBudgetCrossOrganiza!$A$5236:$O$5854,13,FALSE),"0")</f>
        <v>0</v>
      </c>
      <c r="AM294" s="200"/>
      <c r="AN294" s="200"/>
      <c r="AO294" s="200"/>
      <c r="AP294" s="200"/>
      <c r="AQ294" s="200"/>
      <c r="AS294" s="169"/>
      <c r="AT294" s="169"/>
      <c r="AU294" s="169"/>
      <c r="AV294" s="169"/>
      <c r="AW294" s="169"/>
      <c r="AX294" s="169"/>
      <c r="AY294" s="169"/>
      <c r="AZ294" s="169"/>
    </row>
    <row r="295" spans="2:52" hidden="1" x14ac:dyDescent="0.2">
      <c r="B295" s="170" t="s">
        <v>594</v>
      </c>
      <c r="C295" s="214">
        <v>40</v>
      </c>
      <c r="D295" s="214">
        <v>70</v>
      </c>
      <c r="E295" s="214">
        <v>600</v>
      </c>
      <c r="F295" s="170" t="str">
        <f t="shared" si="27"/>
        <v>5100.07</v>
      </c>
      <c r="G295" s="170" t="s">
        <v>185</v>
      </c>
      <c r="I295" s="168"/>
      <c r="J295" s="168"/>
      <c r="K295" s="168"/>
      <c r="L295" s="168"/>
      <c r="M295" s="194"/>
      <c r="N295" s="168"/>
      <c r="O295" s="168"/>
      <c r="Q295" s="169"/>
      <c r="R295" s="169"/>
      <c r="S295" s="169"/>
      <c r="T295" s="169"/>
      <c r="U295" s="169"/>
      <c r="V295" s="169"/>
      <c r="W295" s="169"/>
      <c r="X295" s="169"/>
      <c r="Z295" s="202"/>
      <c r="AA295" s="202"/>
      <c r="AB295" s="202"/>
      <c r="AC295" s="202"/>
      <c r="AD295" s="202"/>
      <c r="AE295" s="207"/>
      <c r="AF295" s="202"/>
      <c r="AG295" s="202"/>
      <c r="AI295" s="200"/>
      <c r="AJ295" s="200"/>
      <c r="AK295" s="200"/>
      <c r="AL295" s="200">
        <f>IFERROR(VLOOKUP(B295,[2]rptBudgetaryBudgetCrossOrganiza!$A$5236:$O$5854,13,FALSE),"0")</f>
        <v>0</v>
      </c>
      <c r="AM295" s="200"/>
      <c r="AN295" s="200"/>
      <c r="AO295" s="200"/>
      <c r="AP295" s="200"/>
      <c r="AQ295" s="200"/>
      <c r="AS295" s="169"/>
      <c r="AT295" s="169"/>
      <c r="AU295" s="169"/>
      <c r="AV295" s="169"/>
      <c r="AW295" s="169"/>
      <c r="AX295" s="169"/>
      <c r="AY295" s="169"/>
      <c r="AZ295" s="169"/>
    </row>
    <row r="296" spans="2:52" hidden="1" x14ac:dyDescent="0.2">
      <c r="B296" s="170" t="s">
        <v>595</v>
      </c>
      <c r="C296" s="214">
        <v>40</v>
      </c>
      <c r="D296" s="214">
        <v>70</v>
      </c>
      <c r="E296" s="214">
        <v>600</v>
      </c>
      <c r="F296" s="170" t="str">
        <f t="shared" si="27"/>
        <v>5100.08</v>
      </c>
      <c r="G296" s="170" t="s">
        <v>186</v>
      </c>
      <c r="I296" s="168"/>
      <c r="J296" s="168"/>
      <c r="K296" s="168"/>
      <c r="L296" s="168"/>
      <c r="M296" s="194"/>
      <c r="N296" s="168"/>
      <c r="O296" s="168"/>
      <c r="Q296" s="169"/>
      <c r="R296" s="169"/>
      <c r="S296" s="169"/>
      <c r="T296" s="169"/>
      <c r="U296" s="169"/>
      <c r="V296" s="169"/>
      <c r="W296" s="169"/>
      <c r="X296" s="169"/>
      <c r="Z296" s="202"/>
      <c r="AA296" s="202"/>
      <c r="AB296" s="202"/>
      <c r="AC296" s="202"/>
      <c r="AD296" s="202"/>
      <c r="AE296" s="207"/>
      <c r="AF296" s="202"/>
      <c r="AG296" s="202"/>
      <c r="AI296" s="200"/>
      <c r="AJ296" s="200"/>
      <c r="AK296" s="200"/>
      <c r="AL296" s="200">
        <f>IFERROR(VLOOKUP(B296,[2]rptBudgetaryBudgetCrossOrganiza!$A$5236:$O$5854,13,FALSE),"0")</f>
        <v>0</v>
      </c>
      <c r="AM296" s="200"/>
      <c r="AN296" s="200"/>
      <c r="AO296" s="200"/>
      <c r="AP296" s="200"/>
      <c r="AQ296" s="200"/>
      <c r="AS296" s="169"/>
      <c r="AT296" s="169"/>
      <c r="AU296" s="169"/>
      <c r="AV296" s="169"/>
      <c r="AW296" s="169"/>
      <c r="AX296" s="169"/>
      <c r="AY296" s="169"/>
      <c r="AZ296" s="169"/>
    </row>
    <row r="297" spans="2:52" hidden="1" x14ac:dyDescent="0.2">
      <c r="B297" s="170" t="s">
        <v>596</v>
      </c>
      <c r="C297" s="214">
        <v>40</v>
      </c>
      <c r="D297" s="214">
        <v>70</v>
      </c>
      <c r="E297" s="214">
        <v>600</v>
      </c>
      <c r="F297" s="170" t="str">
        <f t="shared" si="27"/>
        <v>5100.09</v>
      </c>
      <c r="G297" s="170" t="s">
        <v>187</v>
      </c>
      <c r="I297" s="168"/>
      <c r="J297" s="168"/>
      <c r="K297" s="168"/>
      <c r="L297" s="168"/>
      <c r="M297" s="194"/>
      <c r="N297" s="168"/>
      <c r="O297" s="168"/>
      <c r="Q297" s="169"/>
      <c r="R297" s="169"/>
      <c r="S297" s="169"/>
      <c r="T297" s="169"/>
      <c r="U297" s="169"/>
      <c r="V297" s="169"/>
      <c r="W297" s="169"/>
      <c r="X297" s="169"/>
      <c r="Z297" s="202"/>
      <c r="AA297" s="202"/>
      <c r="AB297" s="202"/>
      <c r="AC297" s="202"/>
      <c r="AD297" s="202"/>
      <c r="AE297" s="207"/>
      <c r="AF297" s="202"/>
      <c r="AG297" s="202"/>
      <c r="AI297" s="200"/>
      <c r="AJ297" s="200"/>
      <c r="AK297" s="200"/>
      <c r="AL297" s="200">
        <f>IFERROR(VLOOKUP(B297,[2]rptBudgetaryBudgetCrossOrganiza!$A$5236:$O$5854,13,FALSE),"0")</f>
        <v>0</v>
      </c>
      <c r="AM297" s="200"/>
      <c r="AN297" s="200"/>
      <c r="AO297" s="200"/>
      <c r="AP297" s="200"/>
      <c r="AQ297" s="200"/>
      <c r="AS297" s="169"/>
      <c r="AT297" s="169"/>
      <c r="AU297" s="169"/>
      <c r="AV297" s="169"/>
      <c r="AW297" s="169"/>
      <c r="AX297" s="169"/>
      <c r="AY297" s="169"/>
      <c r="AZ297" s="169"/>
    </row>
    <row r="298" spans="2:52" hidden="1" x14ac:dyDescent="0.2">
      <c r="B298" s="170" t="s">
        <v>597</v>
      </c>
      <c r="C298" s="214">
        <v>40</v>
      </c>
      <c r="D298" s="214">
        <v>70</v>
      </c>
      <c r="E298" s="214">
        <v>600</v>
      </c>
      <c r="F298" s="170" t="str">
        <f t="shared" si="27"/>
        <v>5100.11</v>
      </c>
      <c r="G298" s="170" t="s">
        <v>189</v>
      </c>
      <c r="I298" s="168"/>
      <c r="J298" s="168"/>
      <c r="K298" s="168"/>
      <c r="L298" s="168"/>
      <c r="M298" s="194"/>
      <c r="N298" s="168"/>
      <c r="O298" s="168"/>
      <c r="Q298" s="169"/>
      <c r="R298" s="169"/>
      <c r="S298" s="169"/>
      <c r="T298" s="169"/>
      <c r="U298" s="169"/>
      <c r="V298" s="169"/>
      <c r="W298" s="169"/>
      <c r="X298" s="169"/>
      <c r="Z298" s="202"/>
      <c r="AA298" s="202"/>
      <c r="AB298" s="202"/>
      <c r="AC298" s="202"/>
      <c r="AD298" s="202"/>
      <c r="AE298" s="207"/>
      <c r="AF298" s="202"/>
      <c r="AG298" s="202"/>
      <c r="AI298" s="200"/>
      <c r="AJ298" s="200"/>
      <c r="AK298" s="200"/>
      <c r="AL298" s="200">
        <f>IFERROR(VLOOKUP(B298,[2]rptBudgetaryBudgetCrossOrganiza!$A$5236:$O$5854,13,FALSE),"0")</f>
        <v>0</v>
      </c>
      <c r="AM298" s="200"/>
      <c r="AN298" s="200"/>
      <c r="AO298" s="200"/>
      <c r="AP298" s="200"/>
      <c r="AQ298" s="200"/>
      <c r="AS298" s="169"/>
      <c r="AT298" s="169"/>
      <c r="AU298" s="169"/>
      <c r="AV298" s="169"/>
      <c r="AW298" s="169"/>
      <c r="AX298" s="169"/>
      <c r="AY298" s="169"/>
      <c r="AZ298" s="169"/>
    </row>
    <row r="299" spans="2:52" hidden="1" x14ac:dyDescent="0.2">
      <c r="B299" s="170" t="s">
        <v>598</v>
      </c>
      <c r="C299" s="214">
        <v>40</v>
      </c>
      <c r="D299" s="214">
        <v>70</v>
      </c>
      <c r="E299" s="214">
        <v>600</v>
      </c>
      <c r="F299" s="170" t="str">
        <f t="shared" si="27"/>
        <v>5100.15</v>
      </c>
      <c r="G299" s="170" t="s">
        <v>193</v>
      </c>
      <c r="I299" s="168"/>
      <c r="J299" s="168"/>
      <c r="K299" s="168"/>
      <c r="L299" s="168"/>
      <c r="M299" s="194"/>
      <c r="N299" s="168"/>
      <c r="O299" s="168"/>
      <c r="Q299" s="169"/>
      <c r="R299" s="169"/>
      <c r="S299" s="169"/>
      <c r="T299" s="169"/>
      <c r="U299" s="169"/>
      <c r="V299" s="169"/>
      <c r="W299" s="169"/>
      <c r="X299" s="169"/>
      <c r="Z299" s="202"/>
      <c r="AA299" s="202"/>
      <c r="AB299" s="202"/>
      <c r="AC299" s="202"/>
      <c r="AD299" s="202"/>
      <c r="AE299" s="207"/>
      <c r="AF299" s="202"/>
      <c r="AG299" s="202"/>
      <c r="AI299" s="200"/>
      <c r="AJ299" s="200"/>
      <c r="AK299" s="200"/>
      <c r="AL299" s="200">
        <f>IFERROR(VLOOKUP(B299,[2]rptBudgetaryBudgetCrossOrganiza!$A$5236:$O$5854,13,FALSE),"0")</f>
        <v>0</v>
      </c>
      <c r="AM299" s="200"/>
      <c r="AN299" s="200"/>
      <c r="AO299" s="200"/>
      <c r="AP299" s="200"/>
      <c r="AQ299" s="200"/>
      <c r="AS299" s="169"/>
      <c r="AT299" s="169"/>
      <c r="AU299" s="169"/>
      <c r="AV299" s="169"/>
      <c r="AW299" s="169"/>
      <c r="AX299" s="169"/>
      <c r="AY299" s="169"/>
      <c r="AZ299" s="169"/>
    </row>
    <row r="300" spans="2:52" hidden="1" x14ac:dyDescent="0.2">
      <c r="B300" s="170" t="s">
        <v>599</v>
      </c>
      <c r="C300" s="214">
        <v>40</v>
      </c>
      <c r="D300" s="214">
        <v>70</v>
      </c>
      <c r="E300" s="214">
        <v>600</v>
      </c>
      <c r="F300" s="170" t="str">
        <f t="shared" si="27"/>
        <v>5100.17</v>
      </c>
      <c r="G300" s="170" t="s">
        <v>300</v>
      </c>
      <c r="I300" s="168"/>
      <c r="J300" s="168"/>
      <c r="K300" s="168"/>
      <c r="L300" s="168"/>
      <c r="M300" s="194"/>
      <c r="N300" s="168"/>
      <c r="O300" s="168"/>
      <c r="Q300" s="169"/>
      <c r="R300" s="169"/>
      <c r="S300" s="169"/>
      <c r="T300" s="169"/>
      <c r="U300" s="169"/>
      <c r="V300" s="169"/>
      <c r="W300" s="169"/>
      <c r="X300" s="169"/>
      <c r="Z300" s="202"/>
      <c r="AA300" s="202"/>
      <c r="AB300" s="202"/>
      <c r="AC300" s="202"/>
      <c r="AD300" s="202"/>
      <c r="AE300" s="207"/>
      <c r="AF300" s="202"/>
      <c r="AG300" s="202"/>
      <c r="AI300" s="200"/>
      <c r="AJ300" s="200"/>
      <c r="AK300" s="200"/>
      <c r="AL300" s="200">
        <f>IFERROR(VLOOKUP(B300,[2]rptBudgetaryBudgetCrossOrganiza!$A$5236:$O$5854,13,FALSE),"0")</f>
        <v>0</v>
      </c>
      <c r="AM300" s="200"/>
      <c r="AN300" s="200"/>
      <c r="AO300" s="200"/>
      <c r="AP300" s="200"/>
      <c r="AQ300" s="200"/>
      <c r="AS300" s="169"/>
      <c r="AT300" s="169"/>
      <c r="AU300" s="169"/>
      <c r="AV300" s="169"/>
      <c r="AW300" s="169"/>
      <c r="AX300" s="169"/>
      <c r="AY300" s="169"/>
      <c r="AZ300" s="169"/>
    </row>
    <row r="301" spans="2:52" hidden="1" x14ac:dyDescent="0.2">
      <c r="B301" s="170" t="s">
        <v>600</v>
      </c>
      <c r="C301" s="214">
        <v>40</v>
      </c>
      <c r="D301" s="214">
        <v>70</v>
      </c>
      <c r="E301" s="214">
        <v>600</v>
      </c>
      <c r="F301" s="170" t="str">
        <f t="shared" si="27"/>
        <v>6000.01</v>
      </c>
      <c r="G301" s="170" t="s">
        <v>195</v>
      </c>
      <c r="I301" s="168"/>
      <c r="J301" s="168"/>
      <c r="K301" s="168"/>
      <c r="L301" s="168"/>
      <c r="M301" s="194"/>
      <c r="N301" s="168"/>
      <c r="O301" s="168"/>
      <c r="Q301" s="169"/>
      <c r="R301" s="169"/>
      <c r="S301" s="169"/>
      <c r="T301" s="169"/>
      <c r="U301" s="169"/>
      <c r="V301" s="169"/>
      <c r="W301" s="169"/>
      <c r="X301" s="169"/>
      <c r="Z301" s="202"/>
      <c r="AA301" s="202"/>
      <c r="AB301" s="202"/>
      <c r="AC301" s="202"/>
      <c r="AD301" s="202"/>
      <c r="AE301" s="207"/>
      <c r="AF301" s="202"/>
      <c r="AG301" s="202"/>
      <c r="AI301" s="200"/>
      <c r="AJ301" s="200"/>
      <c r="AK301" s="200"/>
      <c r="AL301" s="200">
        <f>IFERROR(VLOOKUP(B301,[2]rptBudgetaryBudgetCrossOrganiza!$A$5236:$O$5854,13,FALSE),"0")</f>
        <v>0</v>
      </c>
      <c r="AM301" s="200"/>
      <c r="AN301" s="200"/>
      <c r="AO301" s="200"/>
      <c r="AP301" s="200"/>
      <c r="AQ301" s="200"/>
      <c r="AS301" s="169"/>
      <c r="AT301" s="169"/>
      <c r="AU301" s="169"/>
      <c r="AV301" s="169"/>
      <c r="AW301" s="169"/>
      <c r="AX301" s="169"/>
      <c r="AY301" s="169"/>
      <c r="AZ301" s="169"/>
    </row>
    <row r="302" spans="2:52" hidden="1" x14ac:dyDescent="0.2">
      <c r="B302" s="170" t="s">
        <v>601</v>
      </c>
      <c r="C302" s="214">
        <v>40</v>
      </c>
      <c r="D302" s="214">
        <v>70</v>
      </c>
      <c r="E302" s="214">
        <v>600</v>
      </c>
      <c r="F302" s="170" t="str">
        <f t="shared" si="27"/>
        <v>6000.10</v>
      </c>
      <c r="G302" s="170" t="s">
        <v>649</v>
      </c>
      <c r="I302" s="168"/>
      <c r="J302" s="168"/>
      <c r="K302" s="168"/>
      <c r="L302" s="168"/>
      <c r="M302" s="194"/>
      <c r="N302" s="168"/>
      <c r="O302" s="168"/>
      <c r="Q302" s="169"/>
      <c r="R302" s="169"/>
      <c r="S302" s="169"/>
      <c r="T302" s="169"/>
      <c r="U302" s="169"/>
      <c r="V302" s="169"/>
      <c r="W302" s="169"/>
      <c r="X302" s="169"/>
      <c r="Z302" s="202"/>
      <c r="AA302" s="202"/>
      <c r="AB302" s="202"/>
      <c r="AC302" s="202"/>
      <c r="AD302" s="202"/>
      <c r="AE302" s="207"/>
      <c r="AF302" s="202"/>
      <c r="AG302" s="202"/>
      <c r="AI302" s="200"/>
      <c r="AJ302" s="200"/>
      <c r="AK302" s="200"/>
      <c r="AL302" s="200">
        <f>IFERROR(VLOOKUP(B302,[2]rptBudgetaryBudgetCrossOrganiza!$A$5236:$O$5854,13,FALSE),"0")</f>
        <v>0</v>
      </c>
      <c r="AM302" s="200"/>
      <c r="AN302" s="200"/>
      <c r="AO302" s="200"/>
      <c r="AP302" s="200"/>
      <c r="AQ302" s="200"/>
      <c r="AS302" s="169"/>
      <c r="AT302" s="169"/>
      <c r="AU302" s="169"/>
      <c r="AV302" s="169"/>
      <c r="AW302" s="169"/>
      <c r="AX302" s="169"/>
      <c r="AY302" s="169"/>
      <c r="AZ302" s="169"/>
    </row>
    <row r="303" spans="2:52" hidden="1" x14ac:dyDescent="0.2">
      <c r="B303" s="170" t="s">
        <v>602</v>
      </c>
      <c r="C303" s="214">
        <v>40</v>
      </c>
      <c r="D303" s="214">
        <v>70</v>
      </c>
      <c r="E303" s="214">
        <v>600</v>
      </c>
      <c r="F303" s="170" t="str">
        <f t="shared" si="27"/>
        <v>6000.12</v>
      </c>
      <c r="G303" s="170" t="s">
        <v>197</v>
      </c>
      <c r="I303" s="168"/>
      <c r="J303" s="168"/>
      <c r="K303" s="168"/>
      <c r="L303" s="168"/>
      <c r="M303" s="194"/>
      <c r="N303" s="168"/>
      <c r="O303" s="168"/>
      <c r="Q303" s="169"/>
      <c r="R303" s="169"/>
      <c r="S303" s="169"/>
      <c r="T303" s="169"/>
      <c r="U303" s="169"/>
      <c r="V303" s="169"/>
      <c r="W303" s="169"/>
      <c r="X303" s="169"/>
      <c r="Z303" s="202"/>
      <c r="AA303" s="202"/>
      <c r="AB303" s="202"/>
      <c r="AC303" s="202"/>
      <c r="AD303" s="202"/>
      <c r="AE303" s="207"/>
      <c r="AF303" s="202"/>
      <c r="AG303" s="202"/>
      <c r="AI303" s="200"/>
      <c r="AJ303" s="200"/>
      <c r="AK303" s="200"/>
      <c r="AL303" s="200">
        <f>IFERROR(VLOOKUP(B303,[2]rptBudgetaryBudgetCrossOrganiza!$A$5236:$O$5854,13,FALSE),"0")</f>
        <v>0</v>
      </c>
      <c r="AM303" s="200"/>
      <c r="AN303" s="200"/>
      <c r="AO303" s="200"/>
      <c r="AP303" s="200"/>
      <c r="AQ303" s="200"/>
      <c r="AS303" s="169"/>
      <c r="AT303" s="169"/>
      <c r="AU303" s="169"/>
      <c r="AV303" s="169"/>
      <c r="AW303" s="169"/>
      <c r="AX303" s="169"/>
      <c r="AY303" s="169"/>
      <c r="AZ303" s="169"/>
    </row>
    <row r="304" spans="2:52" hidden="1" x14ac:dyDescent="0.2">
      <c r="B304" s="170" t="s">
        <v>603</v>
      </c>
      <c r="C304" s="214">
        <v>40</v>
      </c>
      <c r="D304" s="214">
        <v>70</v>
      </c>
      <c r="E304" s="214">
        <v>600</v>
      </c>
      <c r="F304" s="170" t="str">
        <f t="shared" si="27"/>
        <v>6000.13</v>
      </c>
      <c r="G304" s="170" t="s">
        <v>650</v>
      </c>
      <c r="I304" s="168"/>
      <c r="J304" s="168"/>
      <c r="K304" s="168"/>
      <c r="L304" s="168"/>
      <c r="M304" s="194"/>
      <c r="N304" s="168"/>
      <c r="O304" s="168"/>
      <c r="Q304" s="169"/>
      <c r="R304" s="169"/>
      <c r="S304" s="169"/>
      <c r="T304" s="169"/>
      <c r="U304" s="169"/>
      <c r="V304" s="169"/>
      <c r="W304" s="169"/>
      <c r="X304" s="169"/>
      <c r="Z304" s="202"/>
      <c r="AA304" s="202"/>
      <c r="AB304" s="202"/>
      <c r="AC304" s="202"/>
      <c r="AD304" s="202"/>
      <c r="AE304" s="207"/>
      <c r="AF304" s="202"/>
      <c r="AG304" s="202"/>
      <c r="AI304" s="200"/>
      <c r="AJ304" s="200"/>
      <c r="AK304" s="200"/>
      <c r="AL304" s="200">
        <f>IFERROR(VLOOKUP(B304,[2]rptBudgetaryBudgetCrossOrganiza!$A$5236:$O$5854,13,FALSE),"0")</f>
        <v>0</v>
      </c>
      <c r="AM304" s="200"/>
      <c r="AN304" s="200"/>
      <c r="AO304" s="200"/>
      <c r="AP304" s="200"/>
      <c r="AQ304" s="200"/>
      <c r="AS304" s="169"/>
      <c r="AT304" s="169"/>
      <c r="AU304" s="169"/>
      <c r="AV304" s="169"/>
      <c r="AW304" s="169"/>
      <c r="AX304" s="169"/>
      <c r="AY304" s="169"/>
      <c r="AZ304" s="169"/>
    </row>
    <row r="305" spans="2:52" hidden="1" x14ac:dyDescent="0.2">
      <c r="B305" s="170" t="s">
        <v>604</v>
      </c>
      <c r="C305" s="214">
        <v>40</v>
      </c>
      <c r="D305" s="214">
        <v>70</v>
      </c>
      <c r="E305" s="214">
        <v>600</v>
      </c>
      <c r="F305" s="170" t="str">
        <f t="shared" si="27"/>
        <v>6000.14</v>
      </c>
      <c r="G305" s="170" t="s">
        <v>651</v>
      </c>
      <c r="I305" s="168"/>
      <c r="J305" s="168"/>
      <c r="K305" s="168"/>
      <c r="L305" s="168"/>
      <c r="M305" s="194"/>
      <c r="N305" s="168"/>
      <c r="O305" s="168"/>
      <c r="Q305" s="169"/>
      <c r="R305" s="169"/>
      <c r="S305" s="169"/>
      <c r="T305" s="169"/>
      <c r="U305" s="169"/>
      <c r="V305" s="169"/>
      <c r="W305" s="169"/>
      <c r="X305" s="169"/>
      <c r="Z305" s="202"/>
      <c r="AA305" s="202"/>
      <c r="AB305" s="202"/>
      <c r="AC305" s="202"/>
      <c r="AD305" s="202"/>
      <c r="AE305" s="207"/>
      <c r="AF305" s="202"/>
      <c r="AG305" s="202"/>
      <c r="AI305" s="200"/>
      <c r="AJ305" s="200"/>
      <c r="AK305" s="200"/>
      <c r="AL305" s="200">
        <f>IFERROR(VLOOKUP(B305,[2]rptBudgetaryBudgetCrossOrganiza!$A$5236:$O$5854,13,FALSE),"0")</f>
        <v>0</v>
      </c>
      <c r="AM305" s="200"/>
      <c r="AN305" s="200"/>
      <c r="AO305" s="200"/>
      <c r="AP305" s="200"/>
      <c r="AQ305" s="200"/>
      <c r="AS305" s="169"/>
      <c r="AT305" s="169"/>
      <c r="AU305" s="169"/>
      <c r="AV305" s="169"/>
      <c r="AW305" s="169"/>
      <c r="AX305" s="169"/>
      <c r="AY305" s="169"/>
      <c r="AZ305" s="169"/>
    </row>
    <row r="306" spans="2:52" hidden="1" x14ac:dyDescent="0.2">
      <c r="B306" s="170" t="s">
        <v>605</v>
      </c>
      <c r="C306" s="214">
        <v>40</v>
      </c>
      <c r="D306" s="214">
        <v>70</v>
      </c>
      <c r="E306" s="214">
        <v>600</v>
      </c>
      <c r="F306" s="170" t="str">
        <f t="shared" si="27"/>
        <v>6000.18</v>
      </c>
      <c r="G306" s="170" t="s">
        <v>652</v>
      </c>
      <c r="I306" s="168"/>
      <c r="J306" s="168"/>
      <c r="K306" s="168"/>
      <c r="L306" s="168"/>
      <c r="M306" s="194"/>
      <c r="N306" s="168"/>
      <c r="O306" s="168"/>
      <c r="Q306" s="169"/>
      <c r="R306" s="169"/>
      <c r="S306" s="169"/>
      <c r="T306" s="169"/>
      <c r="U306" s="169"/>
      <c r="V306" s="169"/>
      <c r="W306" s="169"/>
      <c r="X306" s="169"/>
      <c r="Z306" s="202"/>
      <c r="AA306" s="202"/>
      <c r="AB306" s="202"/>
      <c r="AC306" s="202"/>
      <c r="AD306" s="202"/>
      <c r="AE306" s="207"/>
      <c r="AF306" s="202"/>
      <c r="AG306" s="202"/>
      <c r="AI306" s="200"/>
      <c r="AJ306" s="200"/>
      <c r="AK306" s="200"/>
      <c r="AL306" s="200">
        <f>IFERROR(VLOOKUP(B306,[2]rptBudgetaryBudgetCrossOrganiza!$A$5236:$O$5854,13,FALSE),"0")</f>
        <v>0</v>
      </c>
      <c r="AM306" s="200"/>
      <c r="AN306" s="200"/>
      <c r="AO306" s="200"/>
      <c r="AP306" s="200"/>
      <c r="AQ306" s="200"/>
      <c r="AS306" s="169"/>
      <c r="AT306" s="169"/>
      <c r="AU306" s="169"/>
      <c r="AV306" s="169"/>
      <c r="AW306" s="169"/>
      <c r="AX306" s="169"/>
      <c r="AY306" s="169"/>
      <c r="AZ306" s="169"/>
    </row>
    <row r="307" spans="2:52" hidden="1" x14ac:dyDescent="0.2">
      <c r="B307" s="170" t="s">
        <v>606</v>
      </c>
      <c r="C307" s="214">
        <v>40</v>
      </c>
      <c r="D307" s="214">
        <v>70</v>
      </c>
      <c r="E307" s="214">
        <v>600</v>
      </c>
      <c r="F307" s="170" t="str">
        <f t="shared" si="27"/>
        <v>6100.01</v>
      </c>
      <c r="G307" s="170" t="s">
        <v>198</v>
      </c>
      <c r="I307" s="168"/>
      <c r="J307" s="168"/>
      <c r="K307" s="168"/>
      <c r="L307" s="168"/>
      <c r="M307" s="194"/>
      <c r="N307" s="168"/>
      <c r="O307" s="168"/>
      <c r="Q307" s="169"/>
      <c r="R307" s="169"/>
      <c r="S307" s="169"/>
      <c r="T307" s="169"/>
      <c r="U307" s="169"/>
      <c r="V307" s="169"/>
      <c r="W307" s="169"/>
      <c r="X307" s="169"/>
      <c r="Z307" s="202"/>
      <c r="AA307" s="202"/>
      <c r="AB307" s="202"/>
      <c r="AC307" s="202"/>
      <c r="AD307" s="202"/>
      <c r="AE307" s="207"/>
      <c r="AF307" s="202"/>
      <c r="AG307" s="202"/>
      <c r="AI307" s="200"/>
      <c r="AJ307" s="200"/>
      <c r="AK307" s="200"/>
      <c r="AL307" s="200">
        <f>IFERROR(VLOOKUP(B307,[2]rptBudgetaryBudgetCrossOrganiza!$A$5236:$O$5854,13,FALSE),"0")</f>
        <v>0</v>
      </c>
      <c r="AM307" s="200"/>
      <c r="AN307" s="200"/>
      <c r="AO307" s="200"/>
      <c r="AP307" s="200"/>
      <c r="AQ307" s="200"/>
      <c r="AS307" s="169"/>
      <c r="AT307" s="169"/>
      <c r="AU307" s="169"/>
      <c r="AV307" s="169"/>
      <c r="AW307" s="169"/>
      <c r="AX307" s="169"/>
      <c r="AY307" s="169"/>
      <c r="AZ307" s="169"/>
    </row>
    <row r="308" spans="2:52" hidden="1" x14ac:dyDescent="0.2">
      <c r="B308" s="170" t="s">
        <v>607</v>
      </c>
      <c r="C308" s="214">
        <v>40</v>
      </c>
      <c r="D308" s="214">
        <v>70</v>
      </c>
      <c r="E308" s="214">
        <v>600</v>
      </c>
      <c r="F308" s="170" t="str">
        <f t="shared" si="27"/>
        <v>6100.02</v>
      </c>
      <c r="G308" s="170" t="s">
        <v>653</v>
      </c>
      <c r="I308" s="168"/>
      <c r="J308" s="168"/>
      <c r="K308" s="168"/>
      <c r="L308" s="168"/>
      <c r="M308" s="194"/>
      <c r="N308" s="168"/>
      <c r="O308" s="168"/>
      <c r="Q308" s="169"/>
      <c r="R308" s="169"/>
      <c r="S308" s="169"/>
      <c r="T308" s="169"/>
      <c r="U308" s="169"/>
      <c r="V308" s="169"/>
      <c r="W308" s="169"/>
      <c r="X308" s="169"/>
      <c r="Z308" s="202"/>
      <c r="AA308" s="202"/>
      <c r="AB308" s="202"/>
      <c r="AC308" s="202"/>
      <c r="AD308" s="202"/>
      <c r="AE308" s="207"/>
      <c r="AF308" s="202"/>
      <c r="AG308" s="202"/>
      <c r="AI308" s="200"/>
      <c r="AJ308" s="200"/>
      <c r="AK308" s="200"/>
      <c r="AL308" s="200">
        <f>IFERROR(VLOOKUP(B308,[2]rptBudgetaryBudgetCrossOrganiza!$A$5236:$O$5854,13,FALSE),"0")</f>
        <v>0</v>
      </c>
      <c r="AM308" s="200"/>
      <c r="AN308" s="200"/>
      <c r="AO308" s="200"/>
      <c r="AP308" s="200"/>
      <c r="AQ308" s="200"/>
      <c r="AS308" s="169"/>
      <c r="AT308" s="169"/>
      <c r="AU308" s="169"/>
      <c r="AV308" s="169"/>
      <c r="AW308" s="169"/>
      <c r="AX308" s="169"/>
      <c r="AY308" s="169"/>
      <c r="AZ308" s="169"/>
    </row>
    <row r="309" spans="2:52" hidden="1" x14ac:dyDescent="0.2">
      <c r="B309" s="170" t="s">
        <v>608</v>
      </c>
      <c r="C309" s="214">
        <v>40</v>
      </c>
      <c r="D309" s="214">
        <v>70</v>
      </c>
      <c r="E309" s="214">
        <v>600</v>
      </c>
      <c r="F309" s="170" t="str">
        <f t="shared" si="27"/>
        <v>6100.03</v>
      </c>
      <c r="G309" s="170" t="s">
        <v>654</v>
      </c>
      <c r="I309" s="168"/>
      <c r="J309" s="168"/>
      <c r="K309" s="168"/>
      <c r="L309" s="168"/>
      <c r="M309" s="194"/>
      <c r="N309" s="168"/>
      <c r="O309" s="168"/>
      <c r="Q309" s="169"/>
      <c r="R309" s="169"/>
      <c r="S309" s="169"/>
      <c r="T309" s="169"/>
      <c r="U309" s="169"/>
      <c r="V309" s="169"/>
      <c r="W309" s="169"/>
      <c r="X309" s="169"/>
      <c r="Z309" s="202"/>
      <c r="AA309" s="202"/>
      <c r="AB309" s="202"/>
      <c r="AC309" s="202"/>
      <c r="AD309" s="202"/>
      <c r="AE309" s="207"/>
      <c r="AF309" s="202"/>
      <c r="AG309" s="202"/>
      <c r="AI309" s="200"/>
      <c r="AJ309" s="200"/>
      <c r="AK309" s="200"/>
      <c r="AL309" s="200">
        <f>IFERROR(VLOOKUP(B309,[2]rptBudgetaryBudgetCrossOrganiza!$A$5236:$O$5854,13,FALSE),"0")</f>
        <v>0</v>
      </c>
      <c r="AM309" s="200"/>
      <c r="AN309" s="200"/>
      <c r="AO309" s="200"/>
      <c r="AP309" s="200"/>
      <c r="AQ309" s="200"/>
      <c r="AS309" s="169"/>
      <c r="AT309" s="169"/>
      <c r="AU309" s="169"/>
      <c r="AV309" s="169"/>
      <c r="AW309" s="169"/>
      <c r="AX309" s="169"/>
      <c r="AY309" s="169"/>
      <c r="AZ309" s="169"/>
    </row>
    <row r="310" spans="2:52" hidden="1" x14ac:dyDescent="0.2">
      <c r="B310" s="170" t="s">
        <v>609</v>
      </c>
      <c r="C310" s="214">
        <v>40</v>
      </c>
      <c r="D310" s="214">
        <v>70</v>
      </c>
      <c r="E310" s="214">
        <v>600</v>
      </c>
      <c r="F310" s="170" t="str">
        <f t="shared" si="27"/>
        <v>6200.01</v>
      </c>
      <c r="G310" s="170" t="s">
        <v>655</v>
      </c>
      <c r="I310" s="168"/>
      <c r="J310" s="168"/>
      <c r="K310" s="168"/>
      <c r="L310" s="168"/>
      <c r="M310" s="194"/>
      <c r="N310" s="168"/>
      <c r="O310" s="168"/>
      <c r="Q310" s="169"/>
      <c r="R310" s="169"/>
      <c r="S310" s="169"/>
      <c r="T310" s="169"/>
      <c r="U310" s="169"/>
      <c r="V310" s="169"/>
      <c r="W310" s="169"/>
      <c r="X310" s="169"/>
      <c r="Z310" s="202"/>
      <c r="AA310" s="202"/>
      <c r="AB310" s="202"/>
      <c r="AC310" s="202"/>
      <c r="AD310" s="202"/>
      <c r="AE310" s="207"/>
      <c r="AF310" s="202"/>
      <c r="AG310" s="202"/>
      <c r="AI310" s="200"/>
      <c r="AJ310" s="200"/>
      <c r="AK310" s="200"/>
      <c r="AL310" s="200">
        <f>IFERROR(VLOOKUP(B310,[2]rptBudgetaryBudgetCrossOrganiza!$A$5236:$O$5854,13,FALSE),"0")</f>
        <v>0</v>
      </c>
      <c r="AM310" s="200"/>
      <c r="AN310" s="200"/>
      <c r="AO310" s="200"/>
      <c r="AP310" s="200"/>
      <c r="AQ310" s="200"/>
      <c r="AS310" s="169"/>
      <c r="AT310" s="169"/>
      <c r="AU310" s="169"/>
      <c r="AV310" s="169"/>
      <c r="AW310" s="169"/>
      <c r="AX310" s="169"/>
      <c r="AY310" s="169"/>
      <c r="AZ310" s="169"/>
    </row>
    <row r="311" spans="2:52" hidden="1" x14ac:dyDescent="0.2">
      <c r="B311" s="170" t="s">
        <v>610</v>
      </c>
      <c r="C311" s="214">
        <v>40</v>
      </c>
      <c r="D311" s="214">
        <v>70</v>
      </c>
      <c r="E311" s="214">
        <v>600</v>
      </c>
      <c r="F311" s="170" t="str">
        <f t="shared" si="27"/>
        <v>6200.02</v>
      </c>
      <c r="G311" s="170" t="s">
        <v>199</v>
      </c>
      <c r="I311" s="168"/>
      <c r="J311" s="168"/>
      <c r="K311" s="168"/>
      <c r="L311" s="168"/>
      <c r="M311" s="194"/>
      <c r="N311" s="168"/>
      <c r="O311" s="168"/>
      <c r="Q311" s="169"/>
      <c r="R311" s="169"/>
      <c r="S311" s="169"/>
      <c r="T311" s="169"/>
      <c r="U311" s="169"/>
      <c r="V311" s="169"/>
      <c r="W311" s="169"/>
      <c r="X311" s="169"/>
      <c r="Z311" s="202"/>
      <c r="AA311" s="202"/>
      <c r="AB311" s="202"/>
      <c r="AC311" s="202"/>
      <c r="AD311" s="202"/>
      <c r="AE311" s="207"/>
      <c r="AF311" s="202"/>
      <c r="AG311" s="202"/>
      <c r="AI311" s="200"/>
      <c r="AJ311" s="200"/>
      <c r="AK311" s="200"/>
      <c r="AL311" s="200">
        <f>IFERROR(VLOOKUP(B311,[2]rptBudgetaryBudgetCrossOrganiza!$A$5236:$O$5854,13,FALSE),"0")</f>
        <v>0</v>
      </c>
      <c r="AM311" s="200"/>
      <c r="AN311" s="200"/>
      <c r="AO311" s="200"/>
      <c r="AP311" s="200"/>
      <c r="AQ311" s="200"/>
      <c r="AS311" s="169"/>
      <c r="AT311" s="169"/>
      <c r="AU311" s="169"/>
      <c r="AV311" s="169"/>
      <c r="AW311" s="169"/>
      <c r="AX311" s="169"/>
      <c r="AY311" s="169"/>
      <c r="AZ311" s="169"/>
    </row>
    <row r="312" spans="2:52" hidden="1" x14ac:dyDescent="0.2">
      <c r="B312" s="170" t="s">
        <v>611</v>
      </c>
      <c r="C312" s="214">
        <v>40</v>
      </c>
      <c r="D312" s="214">
        <v>70</v>
      </c>
      <c r="E312" s="214">
        <v>600</v>
      </c>
      <c r="F312" s="170" t="str">
        <f t="shared" si="27"/>
        <v>6200.03</v>
      </c>
      <c r="G312" s="170" t="s">
        <v>200</v>
      </c>
      <c r="I312" s="168"/>
      <c r="J312" s="168"/>
      <c r="K312" s="168"/>
      <c r="L312" s="168"/>
      <c r="M312" s="194"/>
      <c r="N312" s="168"/>
      <c r="O312" s="168"/>
      <c r="Q312" s="169"/>
      <c r="R312" s="169"/>
      <c r="S312" s="169"/>
      <c r="T312" s="169"/>
      <c r="U312" s="169"/>
      <c r="V312" s="169"/>
      <c r="W312" s="169"/>
      <c r="X312" s="169"/>
      <c r="Z312" s="202"/>
      <c r="AA312" s="202"/>
      <c r="AB312" s="202"/>
      <c r="AC312" s="202"/>
      <c r="AD312" s="202"/>
      <c r="AE312" s="207"/>
      <c r="AF312" s="202"/>
      <c r="AG312" s="202"/>
      <c r="AI312" s="200"/>
      <c r="AJ312" s="200"/>
      <c r="AK312" s="200"/>
      <c r="AL312" s="200">
        <f>IFERROR(VLOOKUP(B312,[2]rptBudgetaryBudgetCrossOrganiza!$A$5236:$O$5854,13,FALSE),"0")</f>
        <v>0</v>
      </c>
      <c r="AM312" s="200"/>
      <c r="AN312" s="200"/>
      <c r="AO312" s="200"/>
      <c r="AP312" s="200"/>
      <c r="AQ312" s="200"/>
      <c r="AS312" s="169"/>
      <c r="AT312" s="169"/>
      <c r="AU312" s="169"/>
      <c r="AV312" s="169"/>
      <c r="AW312" s="169"/>
      <c r="AX312" s="169"/>
      <c r="AY312" s="169"/>
      <c r="AZ312" s="169"/>
    </row>
    <row r="313" spans="2:52" hidden="1" x14ac:dyDescent="0.2">
      <c r="B313" s="170" t="s">
        <v>612</v>
      </c>
      <c r="C313" s="214">
        <v>40</v>
      </c>
      <c r="D313" s="214">
        <v>70</v>
      </c>
      <c r="E313" s="214">
        <v>600</v>
      </c>
      <c r="F313" s="170" t="str">
        <f t="shared" si="27"/>
        <v>6200.04</v>
      </c>
      <c r="G313" s="170" t="s">
        <v>656</v>
      </c>
      <c r="I313" s="168"/>
      <c r="J313" s="168"/>
      <c r="K313" s="168"/>
      <c r="L313" s="168"/>
      <c r="M313" s="194"/>
      <c r="N313" s="168"/>
      <c r="O313" s="168"/>
      <c r="Q313" s="169"/>
      <c r="R313" s="169"/>
      <c r="S313" s="169"/>
      <c r="T313" s="169"/>
      <c r="U313" s="169"/>
      <c r="V313" s="169"/>
      <c r="W313" s="169"/>
      <c r="X313" s="169"/>
      <c r="Z313" s="202"/>
      <c r="AA313" s="202"/>
      <c r="AB313" s="202"/>
      <c r="AC313" s="202"/>
      <c r="AD313" s="202"/>
      <c r="AE313" s="207"/>
      <c r="AF313" s="202"/>
      <c r="AG313" s="202"/>
      <c r="AI313" s="200"/>
      <c r="AJ313" s="200"/>
      <c r="AK313" s="200"/>
      <c r="AL313" s="200">
        <f>IFERROR(VLOOKUP(B313,[2]rptBudgetaryBudgetCrossOrganiza!$A$5236:$O$5854,13,FALSE),"0")</f>
        <v>0</v>
      </c>
      <c r="AM313" s="200"/>
      <c r="AN313" s="200"/>
      <c r="AO313" s="200"/>
      <c r="AP313" s="200"/>
      <c r="AQ313" s="200"/>
      <c r="AS313" s="169"/>
      <c r="AT313" s="169"/>
      <c r="AU313" s="169"/>
      <c r="AV313" s="169"/>
      <c r="AW313" s="169"/>
      <c r="AX313" s="169"/>
      <c r="AY313" s="169"/>
      <c r="AZ313" s="169"/>
    </row>
    <row r="314" spans="2:52" hidden="1" x14ac:dyDescent="0.2">
      <c r="B314" s="170" t="s">
        <v>613</v>
      </c>
      <c r="C314" s="214">
        <v>40</v>
      </c>
      <c r="D314" s="214">
        <v>70</v>
      </c>
      <c r="E314" s="214">
        <v>600</v>
      </c>
      <c r="F314" s="170" t="str">
        <f t="shared" si="27"/>
        <v>6200.05</v>
      </c>
      <c r="G314" s="170" t="s">
        <v>201</v>
      </c>
      <c r="I314" s="168"/>
      <c r="J314" s="168"/>
      <c r="K314" s="168"/>
      <c r="L314" s="168"/>
      <c r="M314" s="194"/>
      <c r="N314" s="168"/>
      <c r="O314" s="168"/>
      <c r="Q314" s="169"/>
      <c r="R314" s="169"/>
      <c r="S314" s="169"/>
      <c r="T314" s="169"/>
      <c r="U314" s="169"/>
      <c r="V314" s="169"/>
      <c r="W314" s="169"/>
      <c r="X314" s="169"/>
      <c r="Z314" s="202"/>
      <c r="AA314" s="202"/>
      <c r="AB314" s="202"/>
      <c r="AC314" s="202"/>
      <c r="AD314" s="202"/>
      <c r="AE314" s="207"/>
      <c r="AF314" s="202"/>
      <c r="AG314" s="202"/>
      <c r="AI314" s="200"/>
      <c r="AJ314" s="200"/>
      <c r="AK314" s="200"/>
      <c r="AL314" s="200">
        <f>IFERROR(VLOOKUP(B314,[2]rptBudgetaryBudgetCrossOrganiza!$A$5236:$O$5854,13,FALSE),"0")</f>
        <v>0</v>
      </c>
      <c r="AM314" s="200"/>
      <c r="AN314" s="200"/>
      <c r="AO314" s="200"/>
      <c r="AP314" s="200"/>
      <c r="AQ314" s="200"/>
      <c r="AS314" s="169"/>
      <c r="AT314" s="169"/>
      <c r="AU314" s="169"/>
      <c r="AV314" s="169"/>
      <c r="AW314" s="169"/>
      <c r="AX314" s="169"/>
      <c r="AY314" s="169"/>
      <c r="AZ314" s="169"/>
    </row>
    <row r="315" spans="2:52" hidden="1" x14ac:dyDescent="0.2">
      <c r="B315" s="170" t="s">
        <v>614</v>
      </c>
      <c r="C315" s="214">
        <v>40</v>
      </c>
      <c r="D315" s="214">
        <v>70</v>
      </c>
      <c r="E315" s="214">
        <v>600</v>
      </c>
      <c r="F315" s="170" t="str">
        <f t="shared" si="27"/>
        <v>6200.09</v>
      </c>
      <c r="G315" s="170" t="s">
        <v>657</v>
      </c>
      <c r="I315" s="168"/>
      <c r="J315" s="168"/>
      <c r="K315" s="168"/>
      <c r="L315" s="168"/>
      <c r="M315" s="194"/>
      <c r="N315" s="168"/>
      <c r="O315" s="168"/>
      <c r="Q315" s="169"/>
      <c r="R315" s="169"/>
      <c r="S315" s="169"/>
      <c r="T315" s="169"/>
      <c r="U315" s="169"/>
      <c r="V315" s="169"/>
      <c r="W315" s="169"/>
      <c r="X315" s="169"/>
      <c r="Z315" s="202"/>
      <c r="AA315" s="202"/>
      <c r="AB315" s="202"/>
      <c r="AC315" s="202"/>
      <c r="AD315" s="202"/>
      <c r="AE315" s="207"/>
      <c r="AF315" s="202"/>
      <c r="AG315" s="202"/>
      <c r="AI315" s="200"/>
      <c r="AJ315" s="200"/>
      <c r="AK315" s="200"/>
      <c r="AL315" s="200">
        <f>IFERROR(VLOOKUP(B315,[2]rptBudgetaryBudgetCrossOrganiza!$A$5236:$O$5854,13,FALSE),"0")</f>
        <v>0</v>
      </c>
      <c r="AM315" s="200"/>
      <c r="AN315" s="200"/>
      <c r="AO315" s="200"/>
      <c r="AP315" s="200"/>
      <c r="AQ315" s="200"/>
      <c r="AS315" s="169"/>
      <c r="AT315" s="169"/>
      <c r="AU315" s="169"/>
      <c r="AV315" s="169"/>
      <c r="AW315" s="169"/>
      <c r="AX315" s="169"/>
      <c r="AY315" s="169"/>
      <c r="AZ315" s="169"/>
    </row>
    <row r="316" spans="2:52" hidden="1" x14ac:dyDescent="0.2">
      <c r="B316" s="170" t="s">
        <v>615</v>
      </c>
      <c r="C316" s="214">
        <v>40</v>
      </c>
      <c r="D316" s="214">
        <v>70</v>
      </c>
      <c r="E316" s="214">
        <v>600</v>
      </c>
      <c r="F316" s="170" t="str">
        <f t="shared" si="27"/>
        <v>6300.01</v>
      </c>
      <c r="G316" s="170" t="s">
        <v>658</v>
      </c>
      <c r="I316" s="168"/>
      <c r="J316" s="168"/>
      <c r="K316" s="168"/>
      <c r="L316" s="168"/>
      <c r="M316" s="194"/>
      <c r="N316" s="168"/>
      <c r="O316" s="168"/>
      <c r="Q316" s="169"/>
      <c r="R316" s="169"/>
      <c r="S316" s="169"/>
      <c r="T316" s="169"/>
      <c r="U316" s="169"/>
      <c r="V316" s="169"/>
      <c r="W316" s="169"/>
      <c r="X316" s="169"/>
      <c r="Z316" s="202"/>
      <c r="AA316" s="202"/>
      <c r="AB316" s="202"/>
      <c r="AC316" s="202"/>
      <c r="AD316" s="202"/>
      <c r="AE316" s="207"/>
      <c r="AF316" s="202"/>
      <c r="AG316" s="202"/>
      <c r="AI316" s="200"/>
      <c r="AJ316" s="200"/>
      <c r="AK316" s="200"/>
      <c r="AL316" s="200">
        <f>IFERROR(VLOOKUP(B316,[2]rptBudgetaryBudgetCrossOrganiza!$A$5236:$O$5854,13,FALSE),"0")</f>
        <v>0</v>
      </c>
      <c r="AM316" s="200"/>
      <c r="AN316" s="200"/>
      <c r="AO316" s="200"/>
      <c r="AP316" s="200"/>
      <c r="AQ316" s="200"/>
      <c r="AS316" s="169"/>
      <c r="AT316" s="169"/>
      <c r="AU316" s="169"/>
      <c r="AV316" s="169"/>
      <c r="AW316" s="169"/>
      <c r="AX316" s="169"/>
      <c r="AY316" s="169"/>
      <c r="AZ316" s="169"/>
    </row>
    <row r="317" spans="2:52" hidden="1" x14ac:dyDescent="0.2">
      <c r="B317" s="170" t="s">
        <v>616</v>
      </c>
      <c r="C317" s="214">
        <v>40</v>
      </c>
      <c r="D317" s="214">
        <v>70</v>
      </c>
      <c r="E317" s="214">
        <v>600</v>
      </c>
      <c r="F317" s="170" t="str">
        <f t="shared" si="27"/>
        <v>6300.02</v>
      </c>
      <c r="G317" s="170" t="s">
        <v>659</v>
      </c>
      <c r="I317" s="168"/>
      <c r="J317" s="168"/>
      <c r="K317" s="168"/>
      <c r="L317" s="168"/>
      <c r="M317" s="194"/>
      <c r="N317" s="168"/>
      <c r="O317" s="168"/>
      <c r="Q317" s="169"/>
      <c r="R317" s="169"/>
      <c r="S317" s="169"/>
      <c r="T317" s="169"/>
      <c r="U317" s="169"/>
      <c r="V317" s="169"/>
      <c r="W317" s="169"/>
      <c r="X317" s="169"/>
      <c r="Z317" s="202"/>
      <c r="AA317" s="202"/>
      <c r="AB317" s="202"/>
      <c r="AC317" s="202"/>
      <c r="AD317" s="202"/>
      <c r="AE317" s="207"/>
      <c r="AF317" s="202"/>
      <c r="AG317" s="202"/>
      <c r="AI317" s="200"/>
      <c r="AJ317" s="200"/>
      <c r="AK317" s="200"/>
      <c r="AL317" s="200">
        <f>IFERROR(VLOOKUP(B317,[2]rptBudgetaryBudgetCrossOrganiza!$A$5236:$O$5854,13,FALSE),"0")</f>
        <v>0</v>
      </c>
      <c r="AM317" s="200"/>
      <c r="AN317" s="200"/>
      <c r="AO317" s="200"/>
      <c r="AP317" s="200"/>
      <c r="AQ317" s="200"/>
      <c r="AS317" s="169"/>
      <c r="AT317" s="169"/>
      <c r="AU317" s="169"/>
      <c r="AV317" s="169"/>
      <c r="AW317" s="169"/>
      <c r="AX317" s="169"/>
      <c r="AY317" s="169"/>
      <c r="AZ317" s="169"/>
    </row>
    <row r="318" spans="2:52" hidden="1" x14ac:dyDescent="0.2">
      <c r="B318" s="170" t="s">
        <v>617</v>
      </c>
      <c r="C318" s="214">
        <v>40</v>
      </c>
      <c r="D318" s="214">
        <v>70</v>
      </c>
      <c r="E318" s="214">
        <v>600</v>
      </c>
      <c r="F318" s="170" t="str">
        <f t="shared" si="27"/>
        <v>6300.03</v>
      </c>
      <c r="G318" s="170" t="s">
        <v>212</v>
      </c>
      <c r="I318" s="168"/>
      <c r="J318" s="168"/>
      <c r="K318" s="168"/>
      <c r="L318" s="168"/>
      <c r="M318" s="194"/>
      <c r="N318" s="168"/>
      <c r="O318" s="168"/>
      <c r="Q318" s="169"/>
      <c r="R318" s="169"/>
      <c r="S318" s="169"/>
      <c r="T318" s="169"/>
      <c r="U318" s="169"/>
      <c r="V318" s="169"/>
      <c r="W318" s="169"/>
      <c r="X318" s="169"/>
      <c r="Z318" s="202"/>
      <c r="AA318" s="202"/>
      <c r="AB318" s="202"/>
      <c r="AC318" s="202"/>
      <c r="AD318" s="202"/>
      <c r="AE318" s="207"/>
      <c r="AF318" s="202"/>
      <c r="AG318" s="202"/>
      <c r="AI318" s="200"/>
      <c r="AJ318" s="200"/>
      <c r="AK318" s="200"/>
      <c r="AL318" s="200">
        <f>IFERROR(VLOOKUP(B318,[2]rptBudgetaryBudgetCrossOrganiza!$A$5236:$O$5854,13,FALSE),"0")</f>
        <v>0</v>
      </c>
      <c r="AM318" s="200"/>
      <c r="AN318" s="200"/>
      <c r="AO318" s="200"/>
      <c r="AP318" s="200"/>
      <c r="AQ318" s="200"/>
      <c r="AS318" s="169"/>
      <c r="AT318" s="169"/>
      <c r="AU318" s="169"/>
      <c r="AV318" s="169"/>
      <c r="AW318" s="169"/>
      <c r="AX318" s="169"/>
      <c r="AY318" s="169"/>
      <c r="AZ318" s="169"/>
    </row>
    <row r="319" spans="2:52" hidden="1" x14ac:dyDescent="0.2">
      <c r="B319" s="170" t="s">
        <v>618</v>
      </c>
      <c r="C319" s="214">
        <v>40</v>
      </c>
      <c r="D319" s="214">
        <v>70</v>
      </c>
      <c r="E319" s="214">
        <v>600</v>
      </c>
      <c r="F319" s="170" t="str">
        <f t="shared" si="27"/>
        <v>6350.01</v>
      </c>
      <c r="G319" s="170" t="s">
        <v>660</v>
      </c>
      <c r="I319" s="168"/>
      <c r="J319" s="168"/>
      <c r="K319" s="168"/>
      <c r="L319" s="168"/>
      <c r="M319" s="194"/>
      <c r="N319" s="168"/>
      <c r="O319" s="168"/>
      <c r="Q319" s="169"/>
      <c r="R319" s="169"/>
      <c r="S319" s="169"/>
      <c r="T319" s="169"/>
      <c r="U319" s="169"/>
      <c r="V319" s="169"/>
      <c r="W319" s="169"/>
      <c r="X319" s="169"/>
      <c r="Z319" s="202"/>
      <c r="AA319" s="202"/>
      <c r="AB319" s="202"/>
      <c r="AC319" s="202"/>
      <c r="AD319" s="202"/>
      <c r="AE319" s="207"/>
      <c r="AF319" s="202"/>
      <c r="AG319" s="202"/>
      <c r="AI319" s="200"/>
      <c r="AJ319" s="200"/>
      <c r="AK319" s="200"/>
      <c r="AL319" s="200">
        <f>IFERROR(VLOOKUP(B319,[2]rptBudgetaryBudgetCrossOrganiza!$A$5236:$O$5854,13,FALSE),"0")</f>
        <v>0</v>
      </c>
      <c r="AM319" s="200"/>
      <c r="AN319" s="200"/>
      <c r="AO319" s="200"/>
      <c r="AP319" s="200"/>
      <c r="AQ319" s="200"/>
      <c r="AS319" s="169"/>
      <c r="AT319" s="169"/>
      <c r="AU319" s="169"/>
      <c r="AV319" s="169"/>
      <c r="AW319" s="169"/>
      <c r="AX319" s="169"/>
      <c r="AY319" s="169"/>
      <c r="AZ319" s="169"/>
    </row>
    <row r="320" spans="2:52" hidden="1" x14ac:dyDescent="0.2">
      <c r="B320" s="170" t="s">
        <v>619</v>
      </c>
      <c r="C320" s="214">
        <v>40</v>
      </c>
      <c r="D320" s="214">
        <v>70</v>
      </c>
      <c r="E320" s="214">
        <v>600</v>
      </c>
      <c r="F320" s="170" t="str">
        <f t="shared" si="27"/>
        <v>6350.02</v>
      </c>
      <c r="G320" s="170" t="s">
        <v>661</v>
      </c>
      <c r="I320" s="168"/>
      <c r="J320" s="168"/>
      <c r="K320" s="168"/>
      <c r="L320" s="168"/>
      <c r="M320" s="194"/>
      <c r="N320" s="168"/>
      <c r="O320" s="168"/>
      <c r="Q320" s="169"/>
      <c r="R320" s="169"/>
      <c r="S320" s="169"/>
      <c r="T320" s="169"/>
      <c r="U320" s="169"/>
      <c r="V320" s="169"/>
      <c r="W320" s="169"/>
      <c r="X320" s="169"/>
      <c r="Z320" s="202"/>
      <c r="AA320" s="202"/>
      <c r="AB320" s="202"/>
      <c r="AC320" s="202"/>
      <c r="AD320" s="202"/>
      <c r="AE320" s="207"/>
      <c r="AF320" s="202"/>
      <c r="AG320" s="202"/>
      <c r="AI320" s="200"/>
      <c r="AJ320" s="200"/>
      <c r="AK320" s="200"/>
      <c r="AL320" s="200">
        <f>IFERROR(VLOOKUP(B320,[2]rptBudgetaryBudgetCrossOrganiza!$A$5236:$O$5854,13,FALSE),"0")</f>
        <v>0</v>
      </c>
      <c r="AM320" s="200"/>
      <c r="AN320" s="200"/>
      <c r="AO320" s="200"/>
      <c r="AP320" s="200"/>
      <c r="AQ320" s="200"/>
      <c r="AS320" s="169"/>
      <c r="AT320" s="169"/>
      <c r="AU320" s="169"/>
      <c r="AV320" s="169"/>
      <c r="AW320" s="169"/>
      <c r="AX320" s="169"/>
      <c r="AY320" s="169"/>
      <c r="AZ320" s="169"/>
    </row>
    <row r="321" spans="2:52" hidden="1" x14ac:dyDescent="0.2">
      <c r="B321" s="170" t="s">
        <v>620</v>
      </c>
      <c r="C321" s="214">
        <v>40</v>
      </c>
      <c r="D321" s="214">
        <v>70</v>
      </c>
      <c r="E321" s="214">
        <v>600</v>
      </c>
      <c r="F321" s="170" t="str">
        <f t="shared" si="27"/>
        <v>6350.03</v>
      </c>
      <c r="G321" s="170" t="s">
        <v>662</v>
      </c>
      <c r="I321" s="168"/>
      <c r="J321" s="168"/>
      <c r="K321" s="168"/>
      <c r="L321" s="168"/>
      <c r="M321" s="194"/>
      <c r="N321" s="168"/>
      <c r="O321" s="168"/>
      <c r="Q321" s="169"/>
      <c r="R321" s="169"/>
      <c r="S321" s="169"/>
      <c r="T321" s="169"/>
      <c r="U321" s="169"/>
      <c r="V321" s="169"/>
      <c r="W321" s="169"/>
      <c r="X321" s="169"/>
      <c r="Z321" s="202"/>
      <c r="AA321" s="202"/>
      <c r="AB321" s="202"/>
      <c r="AC321" s="202"/>
      <c r="AD321" s="202"/>
      <c r="AE321" s="207"/>
      <c r="AF321" s="202"/>
      <c r="AG321" s="202"/>
      <c r="AI321" s="200"/>
      <c r="AJ321" s="200"/>
      <c r="AK321" s="200"/>
      <c r="AL321" s="200">
        <f>IFERROR(VLOOKUP(B321,[2]rptBudgetaryBudgetCrossOrganiza!$A$5236:$O$5854,13,FALSE),"0")</f>
        <v>0</v>
      </c>
      <c r="AM321" s="200"/>
      <c r="AN321" s="200"/>
      <c r="AO321" s="200"/>
      <c r="AP321" s="200"/>
      <c r="AQ321" s="200"/>
      <c r="AS321" s="169"/>
      <c r="AT321" s="169"/>
      <c r="AU321" s="169"/>
      <c r="AV321" s="169"/>
      <c r="AW321" s="169"/>
      <c r="AX321" s="169"/>
      <c r="AY321" s="169"/>
      <c r="AZ321" s="169"/>
    </row>
    <row r="322" spans="2:52" hidden="1" x14ac:dyDescent="0.2">
      <c r="B322" s="170" t="s">
        <v>621</v>
      </c>
      <c r="C322" s="214">
        <v>40</v>
      </c>
      <c r="D322" s="214">
        <v>70</v>
      </c>
      <c r="E322" s="214">
        <v>600</v>
      </c>
      <c r="F322" s="170" t="str">
        <f t="shared" si="27"/>
        <v>6350.04</v>
      </c>
      <c r="G322" s="170" t="s">
        <v>663</v>
      </c>
      <c r="I322" s="168"/>
      <c r="J322" s="168"/>
      <c r="K322" s="168"/>
      <c r="L322" s="168"/>
      <c r="M322" s="194"/>
      <c r="N322" s="168"/>
      <c r="O322" s="168"/>
      <c r="Q322" s="169"/>
      <c r="R322" s="169"/>
      <c r="S322" s="169"/>
      <c r="T322" s="169"/>
      <c r="U322" s="169"/>
      <c r="V322" s="169"/>
      <c r="W322" s="169"/>
      <c r="X322" s="169"/>
      <c r="Z322" s="202"/>
      <c r="AA322" s="202"/>
      <c r="AB322" s="202"/>
      <c r="AC322" s="202"/>
      <c r="AD322" s="202"/>
      <c r="AE322" s="207"/>
      <c r="AF322" s="202"/>
      <c r="AG322" s="202"/>
      <c r="AI322" s="200"/>
      <c r="AJ322" s="200"/>
      <c r="AK322" s="200"/>
      <c r="AL322" s="200">
        <f>IFERROR(VLOOKUP(B322,[2]rptBudgetaryBudgetCrossOrganiza!$A$5236:$O$5854,13,FALSE),"0")</f>
        <v>0</v>
      </c>
      <c r="AM322" s="200"/>
      <c r="AN322" s="200"/>
      <c r="AO322" s="200"/>
      <c r="AP322" s="200"/>
      <c r="AQ322" s="200"/>
      <c r="AS322" s="169"/>
      <c r="AT322" s="169"/>
      <c r="AU322" s="169"/>
      <c r="AV322" s="169"/>
      <c r="AW322" s="169"/>
      <c r="AX322" s="169"/>
      <c r="AY322" s="169"/>
      <c r="AZ322" s="169"/>
    </row>
    <row r="323" spans="2:52" hidden="1" x14ac:dyDescent="0.2">
      <c r="B323" s="170" t="s">
        <v>622</v>
      </c>
      <c r="C323" s="214">
        <v>40</v>
      </c>
      <c r="D323" s="214">
        <v>70</v>
      </c>
      <c r="E323" s="214">
        <v>600</v>
      </c>
      <c r="F323" s="170" t="str">
        <f t="shared" si="27"/>
        <v>6350.05</v>
      </c>
      <c r="G323" s="170" t="s">
        <v>380</v>
      </c>
      <c r="I323" s="168"/>
      <c r="J323" s="168"/>
      <c r="K323" s="168"/>
      <c r="L323" s="168"/>
      <c r="M323" s="194"/>
      <c r="N323" s="168"/>
      <c r="O323" s="168"/>
      <c r="Q323" s="169"/>
      <c r="R323" s="169"/>
      <c r="S323" s="169"/>
      <c r="T323" s="169"/>
      <c r="U323" s="169"/>
      <c r="V323" s="169"/>
      <c r="W323" s="169"/>
      <c r="X323" s="169"/>
      <c r="Z323" s="202"/>
      <c r="AA323" s="202"/>
      <c r="AB323" s="202"/>
      <c r="AC323" s="202"/>
      <c r="AD323" s="202"/>
      <c r="AE323" s="207"/>
      <c r="AF323" s="202"/>
      <c r="AG323" s="202"/>
      <c r="AI323" s="200"/>
      <c r="AJ323" s="200"/>
      <c r="AK323" s="200"/>
      <c r="AL323" s="200">
        <f>IFERROR(VLOOKUP(B323,[2]rptBudgetaryBudgetCrossOrganiza!$A$5236:$O$5854,13,FALSE),"0")</f>
        <v>0</v>
      </c>
      <c r="AM323" s="200"/>
      <c r="AN323" s="200"/>
      <c r="AO323" s="200"/>
      <c r="AP323" s="200"/>
      <c r="AQ323" s="200"/>
      <c r="AS323" s="169"/>
      <c r="AT323" s="169"/>
      <c r="AU323" s="169"/>
      <c r="AV323" s="169"/>
      <c r="AW323" s="169"/>
      <c r="AX323" s="169"/>
      <c r="AY323" s="169"/>
      <c r="AZ323" s="169"/>
    </row>
    <row r="324" spans="2:52" hidden="1" x14ac:dyDescent="0.2">
      <c r="B324" s="170" t="s">
        <v>623</v>
      </c>
      <c r="C324" s="214">
        <v>40</v>
      </c>
      <c r="D324" s="214">
        <v>70</v>
      </c>
      <c r="E324" s="214">
        <v>600</v>
      </c>
      <c r="F324" s="170" t="str">
        <f t="shared" si="27"/>
        <v>6350.06</v>
      </c>
      <c r="G324" s="170" t="s">
        <v>487</v>
      </c>
      <c r="I324" s="168"/>
      <c r="J324" s="168"/>
      <c r="K324" s="168"/>
      <c r="L324" s="168"/>
      <c r="M324" s="194"/>
      <c r="N324" s="168"/>
      <c r="O324" s="168"/>
      <c r="Q324" s="169"/>
      <c r="R324" s="169"/>
      <c r="S324" s="169"/>
      <c r="T324" s="169"/>
      <c r="U324" s="169"/>
      <c r="V324" s="169"/>
      <c r="W324" s="169"/>
      <c r="X324" s="169"/>
      <c r="Z324" s="202"/>
      <c r="AA324" s="202"/>
      <c r="AB324" s="202"/>
      <c r="AC324" s="202"/>
      <c r="AD324" s="202"/>
      <c r="AE324" s="207"/>
      <c r="AF324" s="202"/>
      <c r="AG324" s="202"/>
      <c r="AI324" s="200"/>
      <c r="AJ324" s="200"/>
      <c r="AK324" s="200"/>
      <c r="AL324" s="200">
        <f>IFERROR(VLOOKUP(B324,[2]rptBudgetaryBudgetCrossOrganiza!$A$5236:$O$5854,13,FALSE),"0")</f>
        <v>0</v>
      </c>
      <c r="AM324" s="200"/>
      <c r="AN324" s="200"/>
      <c r="AO324" s="200"/>
      <c r="AP324" s="200"/>
      <c r="AQ324" s="200"/>
      <c r="AS324" s="169"/>
      <c r="AT324" s="169"/>
      <c r="AU324" s="169"/>
      <c r="AV324" s="169"/>
      <c r="AW324" s="169"/>
      <c r="AX324" s="169"/>
      <c r="AY324" s="169"/>
      <c r="AZ324" s="169"/>
    </row>
    <row r="325" spans="2:52" hidden="1" x14ac:dyDescent="0.2">
      <c r="B325" s="170" t="s">
        <v>624</v>
      </c>
      <c r="C325" s="214">
        <v>40</v>
      </c>
      <c r="D325" s="214">
        <v>70</v>
      </c>
      <c r="E325" s="214">
        <v>600</v>
      </c>
      <c r="F325" s="170" t="str">
        <f t="shared" si="27"/>
        <v>6400.01</v>
      </c>
      <c r="G325" s="170" t="s">
        <v>664</v>
      </c>
      <c r="I325" s="168"/>
      <c r="J325" s="168"/>
      <c r="K325" s="168"/>
      <c r="L325" s="168"/>
      <c r="M325" s="194"/>
      <c r="N325" s="168"/>
      <c r="O325" s="168"/>
      <c r="Q325" s="169"/>
      <c r="R325" s="169"/>
      <c r="S325" s="169"/>
      <c r="T325" s="169"/>
      <c r="U325" s="169"/>
      <c r="V325" s="169"/>
      <c r="W325" s="169"/>
      <c r="X325" s="169"/>
      <c r="Z325" s="202"/>
      <c r="AA325" s="202"/>
      <c r="AB325" s="202"/>
      <c r="AC325" s="202"/>
      <c r="AD325" s="202"/>
      <c r="AE325" s="207"/>
      <c r="AF325" s="202"/>
      <c r="AG325" s="202"/>
      <c r="AI325" s="200"/>
      <c r="AJ325" s="200"/>
      <c r="AK325" s="200"/>
      <c r="AL325" s="200">
        <f>IFERROR(VLOOKUP(B325,[2]rptBudgetaryBudgetCrossOrganiza!$A$5236:$O$5854,13,FALSE),"0")</f>
        <v>0</v>
      </c>
      <c r="AM325" s="200"/>
      <c r="AN325" s="200"/>
      <c r="AO325" s="200"/>
      <c r="AP325" s="200"/>
      <c r="AQ325" s="200"/>
      <c r="AS325" s="169"/>
      <c r="AT325" s="169"/>
      <c r="AU325" s="169"/>
      <c r="AV325" s="169"/>
      <c r="AW325" s="169"/>
      <c r="AX325" s="169"/>
      <c r="AY325" s="169"/>
      <c r="AZ325" s="169"/>
    </row>
    <row r="326" spans="2:52" hidden="1" x14ac:dyDescent="0.2">
      <c r="B326" s="170" t="s">
        <v>625</v>
      </c>
      <c r="C326" s="214">
        <v>40</v>
      </c>
      <c r="D326" s="214">
        <v>70</v>
      </c>
      <c r="E326" s="214">
        <v>600</v>
      </c>
      <c r="F326" s="170" t="str">
        <f t="shared" si="27"/>
        <v>6400.02</v>
      </c>
      <c r="G326" s="170" t="s">
        <v>203</v>
      </c>
      <c r="I326" s="168"/>
      <c r="J326" s="168"/>
      <c r="K326" s="168"/>
      <c r="L326" s="168"/>
      <c r="M326" s="194"/>
      <c r="N326" s="168"/>
      <c r="O326" s="168"/>
      <c r="Q326" s="169"/>
      <c r="R326" s="169"/>
      <c r="S326" s="169"/>
      <c r="T326" s="169"/>
      <c r="U326" s="169"/>
      <c r="V326" s="169"/>
      <c r="W326" s="169"/>
      <c r="X326" s="169"/>
      <c r="Z326" s="202"/>
      <c r="AA326" s="202"/>
      <c r="AB326" s="202"/>
      <c r="AC326" s="202"/>
      <c r="AD326" s="202"/>
      <c r="AE326" s="207"/>
      <c r="AF326" s="202"/>
      <c r="AG326" s="202"/>
      <c r="AI326" s="200"/>
      <c r="AJ326" s="200"/>
      <c r="AK326" s="200"/>
      <c r="AL326" s="200">
        <f>IFERROR(VLOOKUP(B326,[2]rptBudgetaryBudgetCrossOrganiza!$A$5236:$O$5854,13,FALSE),"0")</f>
        <v>0</v>
      </c>
      <c r="AM326" s="200"/>
      <c r="AN326" s="200"/>
      <c r="AO326" s="200"/>
      <c r="AP326" s="200"/>
      <c r="AQ326" s="200"/>
      <c r="AS326" s="169"/>
      <c r="AT326" s="169"/>
      <c r="AU326" s="169"/>
      <c r="AV326" s="169"/>
      <c r="AW326" s="169"/>
      <c r="AX326" s="169"/>
      <c r="AY326" s="169"/>
      <c r="AZ326" s="169"/>
    </row>
    <row r="327" spans="2:52" hidden="1" x14ac:dyDescent="0.2">
      <c r="B327" s="170" t="s">
        <v>626</v>
      </c>
      <c r="C327" s="214">
        <v>40</v>
      </c>
      <c r="D327" s="214">
        <v>70</v>
      </c>
      <c r="E327" s="214">
        <v>600</v>
      </c>
      <c r="F327" s="170" t="str">
        <f t="shared" si="27"/>
        <v>6400.03</v>
      </c>
      <c r="G327" s="170" t="s">
        <v>665</v>
      </c>
      <c r="I327" s="168"/>
      <c r="J327" s="168"/>
      <c r="K327" s="168"/>
      <c r="L327" s="168"/>
      <c r="M327" s="194"/>
      <c r="N327" s="168"/>
      <c r="O327" s="168"/>
      <c r="Q327" s="169"/>
      <c r="R327" s="169"/>
      <c r="S327" s="169"/>
      <c r="T327" s="169"/>
      <c r="U327" s="169"/>
      <c r="V327" s="169"/>
      <c r="W327" s="169"/>
      <c r="X327" s="169"/>
      <c r="Z327" s="202"/>
      <c r="AA327" s="202"/>
      <c r="AB327" s="202"/>
      <c r="AC327" s="202"/>
      <c r="AD327" s="202"/>
      <c r="AE327" s="207"/>
      <c r="AF327" s="202"/>
      <c r="AG327" s="202"/>
      <c r="AI327" s="200"/>
      <c r="AJ327" s="200"/>
      <c r="AK327" s="200"/>
      <c r="AL327" s="200">
        <f>IFERROR(VLOOKUP(B327,[2]rptBudgetaryBudgetCrossOrganiza!$A$5236:$O$5854,13,FALSE),"0")</f>
        <v>0</v>
      </c>
      <c r="AM327" s="200"/>
      <c r="AN327" s="200"/>
      <c r="AO327" s="200"/>
      <c r="AP327" s="200"/>
      <c r="AQ327" s="200"/>
      <c r="AS327" s="169"/>
      <c r="AT327" s="169"/>
      <c r="AU327" s="169"/>
      <c r="AV327" s="169"/>
      <c r="AW327" s="169"/>
      <c r="AX327" s="169"/>
      <c r="AY327" s="169"/>
      <c r="AZ327" s="169"/>
    </row>
    <row r="328" spans="2:52" hidden="1" x14ac:dyDescent="0.2">
      <c r="B328" s="170" t="s">
        <v>627</v>
      </c>
      <c r="C328" s="214">
        <v>40</v>
      </c>
      <c r="D328" s="214">
        <v>70</v>
      </c>
      <c r="E328" s="214">
        <v>600</v>
      </c>
      <c r="F328" s="170" t="str">
        <f t="shared" si="27"/>
        <v>6400.04</v>
      </c>
      <c r="G328" s="170" t="s">
        <v>204</v>
      </c>
      <c r="I328" s="168"/>
      <c r="J328" s="168"/>
      <c r="K328" s="168"/>
      <c r="L328" s="168"/>
      <c r="M328" s="194"/>
      <c r="N328" s="168"/>
      <c r="O328" s="168"/>
      <c r="Q328" s="169"/>
      <c r="R328" s="169"/>
      <c r="S328" s="169"/>
      <c r="T328" s="169"/>
      <c r="U328" s="169"/>
      <c r="V328" s="169"/>
      <c r="W328" s="169"/>
      <c r="X328" s="169"/>
      <c r="Z328" s="202"/>
      <c r="AA328" s="202"/>
      <c r="AB328" s="202"/>
      <c r="AC328" s="202"/>
      <c r="AD328" s="202"/>
      <c r="AE328" s="207"/>
      <c r="AF328" s="202"/>
      <c r="AG328" s="202"/>
      <c r="AI328" s="200"/>
      <c r="AJ328" s="200"/>
      <c r="AK328" s="200"/>
      <c r="AL328" s="200">
        <f>IFERROR(VLOOKUP(B328,[2]rptBudgetaryBudgetCrossOrganiza!$A$5236:$O$5854,13,FALSE),"0")</f>
        <v>0</v>
      </c>
      <c r="AM328" s="200"/>
      <c r="AN328" s="200"/>
      <c r="AO328" s="200"/>
      <c r="AP328" s="200"/>
      <c r="AQ328" s="200"/>
      <c r="AS328" s="169"/>
      <c r="AT328" s="169"/>
      <c r="AU328" s="169"/>
      <c r="AV328" s="169"/>
      <c r="AW328" s="169"/>
      <c r="AX328" s="169"/>
      <c r="AY328" s="169"/>
      <c r="AZ328" s="169"/>
    </row>
    <row r="329" spans="2:52" hidden="1" x14ac:dyDescent="0.2">
      <c r="B329" s="170" t="s">
        <v>628</v>
      </c>
      <c r="C329" s="214">
        <v>40</v>
      </c>
      <c r="D329" s="214">
        <v>70</v>
      </c>
      <c r="E329" s="214">
        <v>600</v>
      </c>
      <c r="F329" s="170" t="str">
        <f t="shared" si="27"/>
        <v>6400.05</v>
      </c>
      <c r="G329" s="170" t="s">
        <v>205</v>
      </c>
      <c r="I329" s="168"/>
      <c r="J329" s="168"/>
      <c r="K329" s="168"/>
      <c r="L329" s="168"/>
      <c r="M329" s="194"/>
      <c r="N329" s="168"/>
      <c r="O329" s="168"/>
      <c r="Q329" s="169"/>
      <c r="R329" s="169"/>
      <c r="S329" s="169"/>
      <c r="T329" s="169"/>
      <c r="U329" s="169"/>
      <c r="V329" s="169"/>
      <c r="W329" s="169"/>
      <c r="X329" s="169"/>
      <c r="Z329" s="202"/>
      <c r="AA329" s="202"/>
      <c r="AB329" s="202"/>
      <c r="AC329" s="202"/>
      <c r="AD329" s="202"/>
      <c r="AE329" s="207"/>
      <c r="AF329" s="202"/>
      <c r="AG329" s="202"/>
      <c r="AI329" s="200"/>
      <c r="AJ329" s="200"/>
      <c r="AK329" s="200"/>
      <c r="AL329" s="200">
        <f>IFERROR(VLOOKUP(B329,[2]rptBudgetaryBudgetCrossOrganiza!$A$5236:$O$5854,13,FALSE),"0")</f>
        <v>0</v>
      </c>
      <c r="AM329" s="200"/>
      <c r="AN329" s="200"/>
      <c r="AO329" s="200"/>
      <c r="AP329" s="200"/>
      <c r="AQ329" s="200"/>
      <c r="AS329" s="169"/>
      <c r="AT329" s="169"/>
      <c r="AU329" s="169"/>
      <c r="AV329" s="169"/>
      <c r="AW329" s="169"/>
      <c r="AX329" s="169"/>
      <c r="AY329" s="169"/>
      <c r="AZ329" s="169"/>
    </row>
    <row r="330" spans="2:52" hidden="1" x14ac:dyDescent="0.2">
      <c r="B330" s="170" t="s">
        <v>629</v>
      </c>
      <c r="C330" s="214">
        <v>40</v>
      </c>
      <c r="D330" s="214">
        <v>70</v>
      </c>
      <c r="E330" s="214">
        <v>600</v>
      </c>
      <c r="F330" s="170" t="str">
        <f t="shared" si="27"/>
        <v>6600.01</v>
      </c>
      <c r="G330" s="170" t="s">
        <v>666</v>
      </c>
      <c r="I330" s="168"/>
      <c r="J330" s="168"/>
      <c r="K330" s="168"/>
      <c r="L330" s="168"/>
      <c r="M330" s="194"/>
      <c r="N330" s="168"/>
      <c r="O330" s="168"/>
      <c r="Q330" s="169"/>
      <c r="R330" s="169"/>
      <c r="S330" s="169"/>
      <c r="T330" s="169"/>
      <c r="U330" s="169"/>
      <c r="V330" s="169"/>
      <c r="W330" s="169"/>
      <c r="X330" s="169"/>
      <c r="Z330" s="202"/>
      <c r="AA330" s="202"/>
      <c r="AB330" s="202"/>
      <c r="AC330" s="202"/>
      <c r="AD330" s="202"/>
      <c r="AE330" s="207"/>
      <c r="AF330" s="202"/>
      <c r="AG330" s="202"/>
      <c r="AI330" s="200"/>
      <c r="AJ330" s="200"/>
      <c r="AK330" s="200"/>
      <c r="AL330" s="200">
        <f>IFERROR(VLOOKUP(B330,[2]rptBudgetaryBudgetCrossOrganiza!$A$5236:$O$5854,13,FALSE),"0")</f>
        <v>0</v>
      </c>
      <c r="AM330" s="200"/>
      <c r="AN330" s="200"/>
      <c r="AO330" s="200"/>
      <c r="AP330" s="200"/>
      <c r="AQ330" s="200"/>
      <c r="AS330" s="169"/>
      <c r="AT330" s="169"/>
      <c r="AU330" s="169"/>
      <c r="AV330" s="169"/>
      <c r="AW330" s="169"/>
      <c r="AX330" s="169"/>
      <c r="AY330" s="169"/>
      <c r="AZ330" s="169"/>
    </row>
    <row r="331" spans="2:52" hidden="1" x14ac:dyDescent="0.2">
      <c r="B331" s="170" t="s">
        <v>630</v>
      </c>
      <c r="C331" s="214">
        <v>40</v>
      </c>
      <c r="D331" s="214">
        <v>70</v>
      </c>
      <c r="E331" s="214">
        <v>600</v>
      </c>
      <c r="F331" s="170" t="str">
        <f t="shared" si="27"/>
        <v>6600.03</v>
      </c>
      <c r="G331" s="170" t="s">
        <v>667</v>
      </c>
      <c r="I331" s="168"/>
      <c r="J331" s="168"/>
      <c r="K331" s="168"/>
      <c r="L331" s="168"/>
      <c r="M331" s="194"/>
      <c r="N331" s="168"/>
      <c r="O331" s="168"/>
      <c r="Q331" s="169"/>
      <c r="R331" s="169"/>
      <c r="S331" s="169"/>
      <c r="T331" s="169"/>
      <c r="U331" s="169"/>
      <c r="V331" s="169"/>
      <c r="W331" s="169"/>
      <c r="X331" s="169"/>
      <c r="Z331" s="202"/>
      <c r="AA331" s="202"/>
      <c r="AB331" s="202"/>
      <c r="AC331" s="202"/>
      <c r="AD331" s="202"/>
      <c r="AE331" s="207"/>
      <c r="AF331" s="202"/>
      <c r="AG331" s="202"/>
      <c r="AI331" s="200"/>
      <c r="AJ331" s="200"/>
      <c r="AK331" s="200"/>
      <c r="AL331" s="200">
        <f>IFERROR(VLOOKUP(B331,[2]rptBudgetaryBudgetCrossOrganiza!$A$5236:$O$5854,13,FALSE),"0")</f>
        <v>0</v>
      </c>
      <c r="AM331" s="200"/>
      <c r="AN331" s="200"/>
      <c r="AO331" s="200"/>
      <c r="AP331" s="200"/>
      <c r="AQ331" s="200"/>
      <c r="AS331" s="169"/>
      <c r="AT331" s="169"/>
      <c r="AU331" s="169"/>
      <c r="AV331" s="169"/>
      <c r="AW331" s="169"/>
      <c r="AX331" s="169"/>
      <c r="AY331" s="169"/>
      <c r="AZ331" s="169"/>
    </row>
    <row r="332" spans="2:52" hidden="1" x14ac:dyDescent="0.2">
      <c r="B332" s="170" t="s">
        <v>631</v>
      </c>
      <c r="C332" s="214">
        <v>40</v>
      </c>
      <c r="D332" s="214">
        <v>70</v>
      </c>
      <c r="E332" s="214">
        <v>600</v>
      </c>
      <c r="F332" s="170" t="str">
        <f t="shared" si="27"/>
        <v>6600.04</v>
      </c>
      <c r="G332" s="170" t="s">
        <v>207</v>
      </c>
      <c r="I332" s="168"/>
      <c r="J332" s="168"/>
      <c r="K332" s="168"/>
      <c r="L332" s="168"/>
      <c r="M332" s="194"/>
      <c r="N332" s="168"/>
      <c r="O332" s="168"/>
      <c r="Q332" s="169"/>
      <c r="R332" s="169"/>
      <c r="S332" s="169"/>
      <c r="T332" s="169"/>
      <c r="U332" s="169"/>
      <c r="V332" s="169"/>
      <c r="W332" s="169"/>
      <c r="X332" s="169"/>
      <c r="Z332" s="202"/>
      <c r="AA332" s="202"/>
      <c r="AB332" s="202"/>
      <c r="AC332" s="202"/>
      <c r="AD332" s="202"/>
      <c r="AE332" s="207"/>
      <c r="AF332" s="202"/>
      <c r="AG332" s="202"/>
      <c r="AI332" s="200"/>
      <c r="AJ332" s="200"/>
      <c r="AK332" s="200"/>
      <c r="AL332" s="200">
        <f>IFERROR(VLOOKUP(B332,[2]rptBudgetaryBudgetCrossOrganiza!$A$5236:$O$5854,13,FALSE),"0")</f>
        <v>0</v>
      </c>
      <c r="AM332" s="200"/>
      <c r="AN332" s="200"/>
      <c r="AO332" s="200"/>
      <c r="AP332" s="200"/>
      <c r="AQ332" s="200"/>
      <c r="AS332" s="169"/>
      <c r="AT332" s="169"/>
      <c r="AU332" s="169"/>
      <c r="AV332" s="169"/>
      <c r="AW332" s="169"/>
      <c r="AX332" s="169"/>
      <c r="AY332" s="169"/>
      <c r="AZ332" s="169"/>
    </row>
    <row r="333" spans="2:52" hidden="1" x14ac:dyDescent="0.2">
      <c r="B333" s="170" t="s">
        <v>632</v>
      </c>
      <c r="C333" s="214">
        <v>40</v>
      </c>
      <c r="D333" s="214">
        <v>70</v>
      </c>
      <c r="E333" s="214">
        <v>600</v>
      </c>
      <c r="F333" s="170" t="str">
        <f t="shared" si="27"/>
        <v>6600.05</v>
      </c>
      <c r="G333" s="170" t="s">
        <v>668</v>
      </c>
      <c r="I333" s="168"/>
      <c r="J333" s="168"/>
      <c r="K333" s="168"/>
      <c r="L333" s="168"/>
      <c r="M333" s="194"/>
      <c r="N333" s="168"/>
      <c r="O333" s="168"/>
      <c r="Q333" s="169"/>
      <c r="R333" s="169"/>
      <c r="S333" s="169"/>
      <c r="T333" s="169"/>
      <c r="U333" s="169"/>
      <c r="V333" s="169"/>
      <c r="W333" s="169"/>
      <c r="X333" s="169"/>
      <c r="Z333" s="202"/>
      <c r="AA333" s="202"/>
      <c r="AB333" s="202"/>
      <c r="AC333" s="202"/>
      <c r="AD333" s="202"/>
      <c r="AE333" s="207"/>
      <c r="AF333" s="202"/>
      <c r="AG333" s="202"/>
      <c r="AI333" s="200"/>
      <c r="AJ333" s="200"/>
      <c r="AK333" s="200"/>
      <c r="AL333" s="200">
        <f>IFERROR(VLOOKUP(B333,[2]rptBudgetaryBudgetCrossOrganiza!$A$5236:$O$5854,13,FALSE),"0")</f>
        <v>0</v>
      </c>
      <c r="AM333" s="200"/>
      <c r="AN333" s="200"/>
      <c r="AO333" s="200"/>
      <c r="AP333" s="200"/>
      <c r="AQ333" s="200"/>
      <c r="AS333" s="169"/>
      <c r="AT333" s="169"/>
      <c r="AU333" s="169"/>
      <c r="AV333" s="169"/>
      <c r="AW333" s="169"/>
      <c r="AX333" s="169"/>
      <c r="AY333" s="169"/>
      <c r="AZ333" s="169"/>
    </row>
    <row r="334" spans="2:52" hidden="1" x14ac:dyDescent="0.2">
      <c r="B334" s="170" t="s">
        <v>633</v>
      </c>
      <c r="C334" s="214">
        <v>40</v>
      </c>
      <c r="D334" s="214">
        <v>70</v>
      </c>
      <c r="E334" s="214">
        <v>600</v>
      </c>
      <c r="F334" s="170" t="str">
        <f t="shared" si="27"/>
        <v>6600.06</v>
      </c>
      <c r="G334" s="170" t="s">
        <v>669</v>
      </c>
      <c r="I334" s="168"/>
      <c r="J334" s="168"/>
      <c r="K334" s="168"/>
      <c r="L334" s="168"/>
      <c r="M334" s="194"/>
      <c r="N334" s="168"/>
      <c r="O334" s="168"/>
      <c r="Q334" s="169"/>
      <c r="R334" s="169"/>
      <c r="S334" s="169"/>
      <c r="T334" s="169"/>
      <c r="U334" s="169"/>
      <c r="V334" s="169"/>
      <c r="W334" s="169"/>
      <c r="X334" s="169"/>
      <c r="Z334" s="202"/>
      <c r="AA334" s="202"/>
      <c r="AB334" s="202"/>
      <c r="AC334" s="202"/>
      <c r="AD334" s="202"/>
      <c r="AE334" s="207"/>
      <c r="AF334" s="202"/>
      <c r="AG334" s="202"/>
      <c r="AI334" s="200"/>
      <c r="AJ334" s="200"/>
      <c r="AK334" s="200"/>
      <c r="AL334" s="200">
        <f>IFERROR(VLOOKUP(B334,[2]rptBudgetaryBudgetCrossOrganiza!$A$5236:$O$5854,13,FALSE),"0")</f>
        <v>0</v>
      </c>
      <c r="AM334" s="200"/>
      <c r="AN334" s="200"/>
      <c r="AO334" s="200"/>
      <c r="AP334" s="200"/>
      <c r="AQ334" s="200"/>
      <c r="AS334" s="169"/>
      <c r="AT334" s="169"/>
      <c r="AU334" s="169"/>
      <c r="AV334" s="169"/>
      <c r="AW334" s="169"/>
      <c r="AX334" s="169"/>
      <c r="AY334" s="169"/>
      <c r="AZ334" s="169"/>
    </row>
    <row r="335" spans="2:52" hidden="1" x14ac:dyDescent="0.2">
      <c r="B335" s="170" t="s">
        <v>634</v>
      </c>
      <c r="C335" s="214">
        <v>40</v>
      </c>
      <c r="D335" s="214">
        <v>70</v>
      </c>
      <c r="E335" s="214">
        <v>600</v>
      </c>
      <c r="F335" s="170" t="str">
        <f t="shared" si="27"/>
        <v>6600.07</v>
      </c>
      <c r="G335" s="170" t="s">
        <v>208</v>
      </c>
      <c r="I335" s="168"/>
      <c r="J335" s="168"/>
      <c r="K335" s="168"/>
      <c r="L335" s="168"/>
      <c r="M335" s="194"/>
      <c r="N335" s="168"/>
      <c r="O335" s="168"/>
      <c r="Q335" s="169"/>
      <c r="R335" s="169"/>
      <c r="S335" s="169"/>
      <c r="T335" s="169"/>
      <c r="U335" s="169"/>
      <c r="V335" s="169"/>
      <c r="W335" s="169"/>
      <c r="X335" s="169"/>
      <c r="Z335" s="202"/>
      <c r="AA335" s="202"/>
      <c r="AB335" s="202"/>
      <c r="AC335" s="202"/>
      <c r="AD335" s="202"/>
      <c r="AE335" s="207"/>
      <c r="AF335" s="202"/>
      <c r="AG335" s="202"/>
      <c r="AI335" s="200"/>
      <c r="AJ335" s="200"/>
      <c r="AK335" s="200"/>
      <c r="AL335" s="200">
        <f>IFERROR(VLOOKUP(B335,[2]rptBudgetaryBudgetCrossOrganiza!$A$5236:$O$5854,13,FALSE),"0")</f>
        <v>0</v>
      </c>
      <c r="AM335" s="200"/>
      <c r="AN335" s="200"/>
      <c r="AO335" s="200"/>
      <c r="AP335" s="200"/>
      <c r="AQ335" s="200"/>
      <c r="AS335" s="169"/>
      <c r="AT335" s="169"/>
      <c r="AU335" s="169"/>
      <c r="AV335" s="169"/>
      <c r="AW335" s="169"/>
      <c r="AX335" s="169"/>
      <c r="AY335" s="169"/>
      <c r="AZ335" s="169"/>
    </row>
    <row r="336" spans="2:52" hidden="1" x14ac:dyDescent="0.2">
      <c r="B336" s="170" t="s">
        <v>635</v>
      </c>
      <c r="C336" s="214">
        <v>40</v>
      </c>
      <c r="D336" s="214">
        <v>70</v>
      </c>
      <c r="E336" s="214">
        <v>600</v>
      </c>
      <c r="F336" s="170" t="str">
        <f t="shared" ref="F336:F349" si="28">RIGHT(B336,7)</f>
        <v>6600.08</v>
      </c>
      <c r="G336" s="170" t="s">
        <v>670</v>
      </c>
      <c r="I336" s="168"/>
      <c r="J336" s="168"/>
      <c r="K336" s="168"/>
      <c r="L336" s="168"/>
      <c r="M336" s="194"/>
      <c r="N336" s="168"/>
      <c r="O336" s="168"/>
      <c r="Q336" s="169"/>
      <c r="R336" s="169"/>
      <c r="S336" s="169"/>
      <c r="T336" s="169"/>
      <c r="U336" s="169"/>
      <c r="V336" s="169"/>
      <c r="W336" s="169"/>
      <c r="X336" s="169"/>
      <c r="Z336" s="202"/>
      <c r="AA336" s="202"/>
      <c r="AB336" s="202"/>
      <c r="AC336" s="202"/>
      <c r="AD336" s="202"/>
      <c r="AE336" s="207"/>
      <c r="AF336" s="202"/>
      <c r="AG336" s="202"/>
      <c r="AI336" s="200"/>
      <c r="AJ336" s="200"/>
      <c r="AK336" s="200"/>
      <c r="AL336" s="200">
        <f>IFERROR(VLOOKUP(B336,[2]rptBudgetaryBudgetCrossOrganiza!$A$5236:$O$5854,13,FALSE),"0")</f>
        <v>0</v>
      </c>
      <c r="AM336" s="200"/>
      <c r="AN336" s="200"/>
      <c r="AO336" s="200"/>
      <c r="AP336" s="200"/>
      <c r="AQ336" s="200"/>
      <c r="AS336" s="169"/>
      <c r="AT336" s="169"/>
      <c r="AU336" s="169"/>
      <c r="AV336" s="169"/>
      <c r="AW336" s="169"/>
      <c r="AX336" s="169"/>
      <c r="AY336" s="169"/>
      <c r="AZ336" s="169"/>
    </row>
    <row r="337" spans="2:52" hidden="1" x14ac:dyDescent="0.2">
      <c r="B337" s="170" t="s">
        <v>636</v>
      </c>
      <c r="C337" s="214">
        <v>40</v>
      </c>
      <c r="D337" s="214">
        <v>70</v>
      </c>
      <c r="E337" s="214">
        <v>600</v>
      </c>
      <c r="F337" s="170" t="str">
        <f t="shared" si="28"/>
        <v>6600.14</v>
      </c>
      <c r="G337" s="170" t="s">
        <v>671</v>
      </c>
      <c r="I337" s="168"/>
      <c r="J337" s="168"/>
      <c r="K337" s="168"/>
      <c r="L337" s="168"/>
      <c r="M337" s="194"/>
      <c r="N337" s="168"/>
      <c r="O337" s="168"/>
      <c r="Q337" s="169"/>
      <c r="R337" s="169"/>
      <c r="S337" s="169"/>
      <c r="T337" s="169"/>
      <c r="U337" s="169"/>
      <c r="V337" s="169"/>
      <c r="W337" s="169"/>
      <c r="X337" s="169"/>
      <c r="Z337" s="202"/>
      <c r="AA337" s="202"/>
      <c r="AB337" s="202"/>
      <c r="AC337" s="202"/>
      <c r="AD337" s="202"/>
      <c r="AE337" s="207"/>
      <c r="AF337" s="202"/>
      <c r="AG337" s="202"/>
      <c r="AI337" s="200"/>
      <c r="AJ337" s="200"/>
      <c r="AK337" s="200"/>
      <c r="AL337" s="200">
        <f>IFERROR(VLOOKUP(B337,[2]rptBudgetaryBudgetCrossOrganiza!$A$5236:$O$5854,13,FALSE),"0")</f>
        <v>0</v>
      </c>
      <c r="AM337" s="200"/>
      <c r="AN337" s="200"/>
      <c r="AO337" s="200"/>
      <c r="AP337" s="200"/>
      <c r="AQ337" s="200"/>
      <c r="AS337" s="169"/>
      <c r="AT337" s="169"/>
      <c r="AU337" s="169"/>
      <c r="AV337" s="169"/>
      <c r="AW337" s="169"/>
      <c r="AX337" s="169"/>
      <c r="AY337" s="169"/>
      <c r="AZ337" s="169"/>
    </row>
    <row r="338" spans="2:52" hidden="1" x14ac:dyDescent="0.2">
      <c r="B338" s="170" t="s">
        <v>637</v>
      </c>
      <c r="C338" s="214">
        <v>40</v>
      </c>
      <c r="D338" s="214">
        <v>70</v>
      </c>
      <c r="E338" s="214">
        <v>600</v>
      </c>
      <c r="F338" s="170" t="str">
        <f t="shared" si="28"/>
        <v>6600.24</v>
      </c>
      <c r="G338" s="170" t="s">
        <v>672</v>
      </c>
      <c r="I338" s="168"/>
      <c r="J338" s="168"/>
      <c r="K338" s="168"/>
      <c r="L338" s="168"/>
      <c r="M338" s="194"/>
      <c r="N338" s="168"/>
      <c r="O338" s="168"/>
      <c r="Q338" s="169"/>
      <c r="R338" s="169"/>
      <c r="S338" s="169"/>
      <c r="T338" s="169"/>
      <c r="U338" s="169"/>
      <c r="V338" s="169"/>
      <c r="W338" s="169"/>
      <c r="X338" s="169"/>
      <c r="Z338" s="202"/>
      <c r="AA338" s="202"/>
      <c r="AB338" s="202"/>
      <c r="AC338" s="202"/>
      <c r="AD338" s="202"/>
      <c r="AE338" s="207"/>
      <c r="AF338" s="202"/>
      <c r="AG338" s="202"/>
      <c r="AI338" s="200"/>
      <c r="AJ338" s="200"/>
      <c r="AK338" s="200"/>
      <c r="AL338" s="200">
        <f>IFERROR(VLOOKUP(B338,[2]rptBudgetaryBudgetCrossOrganiza!$A$5236:$O$5854,13,FALSE),"0")</f>
        <v>0</v>
      </c>
      <c r="AM338" s="200"/>
      <c r="AN338" s="200"/>
      <c r="AO338" s="200"/>
      <c r="AP338" s="200"/>
      <c r="AQ338" s="200"/>
      <c r="AS338" s="169"/>
      <c r="AT338" s="169"/>
      <c r="AU338" s="169"/>
      <c r="AV338" s="169"/>
      <c r="AW338" s="169"/>
      <c r="AX338" s="169"/>
      <c r="AY338" s="169"/>
      <c r="AZ338" s="169"/>
    </row>
    <row r="339" spans="2:52" hidden="1" x14ac:dyDescent="0.2">
      <c r="B339" s="170" t="s">
        <v>638</v>
      </c>
      <c r="C339" s="214">
        <v>40</v>
      </c>
      <c r="D339" s="214">
        <v>70</v>
      </c>
      <c r="E339" s="214">
        <v>600</v>
      </c>
      <c r="F339" s="170" t="str">
        <f t="shared" si="28"/>
        <v>6600.25</v>
      </c>
      <c r="G339" s="170" t="s">
        <v>673</v>
      </c>
      <c r="I339" s="168"/>
      <c r="J339" s="168"/>
      <c r="K339" s="168"/>
      <c r="L339" s="168"/>
      <c r="M339" s="194"/>
      <c r="N339" s="168"/>
      <c r="O339" s="168"/>
      <c r="Q339" s="169"/>
      <c r="R339" s="169"/>
      <c r="S339" s="169"/>
      <c r="T339" s="169"/>
      <c r="U339" s="169"/>
      <c r="V339" s="169"/>
      <c r="W339" s="169"/>
      <c r="X339" s="169"/>
      <c r="Z339" s="202"/>
      <c r="AA339" s="202"/>
      <c r="AB339" s="202"/>
      <c r="AC339" s="202"/>
      <c r="AD339" s="202"/>
      <c r="AE339" s="207"/>
      <c r="AF339" s="202"/>
      <c r="AG339" s="202"/>
      <c r="AI339" s="200"/>
      <c r="AJ339" s="200"/>
      <c r="AK339" s="200"/>
      <c r="AL339" s="200">
        <f>IFERROR(VLOOKUP(B339,[2]rptBudgetaryBudgetCrossOrganiza!$A$5236:$O$5854,13,FALSE),"0")</f>
        <v>0</v>
      </c>
      <c r="AM339" s="200"/>
      <c r="AN339" s="200"/>
      <c r="AO339" s="200"/>
      <c r="AP339" s="200"/>
      <c r="AQ339" s="200"/>
      <c r="AS339" s="169"/>
      <c r="AT339" s="169"/>
      <c r="AU339" s="169"/>
      <c r="AV339" s="169"/>
      <c r="AW339" s="169"/>
      <c r="AX339" s="169"/>
      <c r="AY339" s="169"/>
      <c r="AZ339" s="169"/>
    </row>
    <row r="340" spans="2:52" hidden="1" x14ac:dyDescent="0.2">
      <c r="B340" s="170" t="s">
        <v>639</v>
      </c>
      <c r="C340" s="214">
        <v>40</v>
      </c>
      <c r="D340" s="214">
        <v>70</v>
      </c>
      <c r="E340" s="214">
        <v>600</v>
      </c>
      <c r="F340" s="170" t="str">
        <f t="shared" si="28"/>
        <v>6600.26</v>
      </c>
      <c r="G340" s="170" t="s">
        <v>209</v>
      </c>
      <c r="I340" s="168"/>
      <c r="J340" s="168"/>
      <c r="K340" s="168"/>
      <c r="L340" s="168"/>
      <c r="M340" s="194"/>
      <c r="N340" s="168"/>
      <c r="O340" s="168"/>
      <c r="Q340" s="169"/>
      <c r="R340" s="169"/>
      <c r="S340" s="169"/>
      <c r="T340" s="169"/>
      <c r="U340" s="169"/>
      <c r="V340" s="169"/>
      <c r="W340" s="169"/>
      <c r="X340" s="169"/>
      <c r="Z340" s="202"/>
      <c r="AA340" s="202"/>
      <c r="AB340" s="202"/>
      <c r="AC340" s="202"/>
      <c r="AD340" s="202"/>
      <c r="AE340" s="207"/>
      <c r="AF340" s="202"/>
      <c r="AG340" s="202"/>
      <c r="AI340" s="200"/>
      <c r="AJ340" s="200"/>
      <c r="AK340" s="200"/>
      <c r="AL340" s="200">
        <f>IFERROR(VLOOKUP(B340,[2]rptBudgetaryBudgetCrossOrganiza!$A$5236:$O$5854,13,FALSE),"0")</f>
        <v>0</v>
      </c>
      <c r="AM340" s="200"/>
      <c r="AN340" s="200"/>
      <c r="AO340" s="200"/>
      <c r="AP340" s="200"/>
      <c r="AQ340" s="200"/>
      <c r="AS340" s="169"/>
      <c r="AT340" s="169"/>
      <c r="AU340" s="169"/>
      <c r="AV340" s="169"/>
      <c r="AW340" s="169"/>
      <c r="AX340" s="169"/>
      <c r="AY340" s="169"/>
      <c r="AZ340" s="169"/>
    </row>
    <row r="341" spans="2:52" hidden="1" x14ac:dyDescent="0.2">
      <c r="B341" s="170" t="s">
        <v>640</v>
      </c>
      <c r="C341" s="214">
        <v>40</v>
      </c>
      <c r="D341" s="214">
        <v>70</v>
      </c>
      <c r="E341" s="214">
        <v>600</v>
      </c>
      <c r="F341" s="170" t="str">
        <f t="shared" si="28"/>
        <v>6600.27</v>
      </c>
      <c r="G341" s="170" t="s">
        <v>674</v>
      </c>
      <c r="I341" s="168"/>
      <c r="J341" s="168"/>
      <c r="K341" s="168"/>
      <c r="L341" s="168"/>
      <c r="M341" s="194"/>
      <c r="N341" s="168"/>
      <c r="O341" s="168"/>
      <c r="Q341" s="169"/>
      <c r="R341" s="169"/>
      <c r="S341" s="169"/>
      <c r="T341" s="169"/>
      <c r="U341" s="169"/>
      <c r="V341" s="169"/>
      <c r="W341" s="169"/>
      <c r="X341" s="169"/>
      <c r="Z341" s="202"/>
      <c r="AA341" s="202"/>
      <c r="AB341" s="202"/>
      <c r="AC341" s="202"/>
      <c r="AD341" s="202"/>
      <c r="AE341" s="207"/>
      <c r="AF341" s="202"/>
      <c r="AG341" s="202"/>
      <c r="AI341" s="200"/>
      <c r="AJ341" s="200"/>
      <c r="AK341" s="200"/>
      <c r="AL341" s="200">
        <f>IFERROR(VLOOKUP(B341,[2]rptBudgetaryBudgetCrossOrganiza!$A$5236:$O$5854,13,FALSE),"0")</f>
        <v>0</v>
      </c>
      <c r="AM341" s="200"/>
      <c r="AN341" s="200"/>
      <c r="AO341" s="200"/>
      <c r="AP341" s="200"/>
      <c r="AQ341" s="200"/>
      <c r="AS341" s="169"/>
      <c r="AT341" s="169"/>
      <c r="AU341" s="169"/>
      <c r="AV341" s="169"/>
      <c r="AW341" s="169"/>
      <c r="AX341" s="169"/>
      <c r="AY341" s="169"/>
      <c r="AZ341" s="169"/>
    </row>
    <row r="342" spans="2:52" hidden="1" x14ac:dyDescent="0.2">
      <c r="B342" s="170" t="s">
        <v>641</v>
      </c>
      <c r="C342" s="214">
        <v>40</v>
      </c>
      <c r="D342" s="214">
        <v>70</v>
      </c>
      <c r="E342" s="214">
        <v>600</v>
      </c>
      <c r="F342" s="170" t="str">
        <f t="shared" si="28"/>
        <v>6600.29</v>
      </c>
      <c r="G342" s="170" t="s">
        <v>675</v>
      </c>
      <c r="I342" s="168"/>
      <c r="J342" s="168"/>
      <c r="K342" s="168"/>
      <c r="L342" s="168"/>
      <c r="M342" s="194"/>
      <c r="N342" s="168"/>
      <c r="O342" s="168"/>
      <c r="Q342" s="169"/>
      <c r="R342" s="169"/>
      <c r="S342" s="169"/>
      <c r="T342" s="169"/>
      <c r="U342" s="169"/>
      <c r="V342" s="169"/>
      <c r="W342" s="169"/>
      <c r="X342" s="169"/>
      <c r="Z342" s="202"/>
      <c r="AA342" s="202"/>
      <c r="AB342" s="202"/>
      <c r="AC342" s="202"/>
      <c r="AD342" s="202"/>
      <c r="AE342" s="207"/>
      <c r="AF342" s="202"/>
      <c r="AG342" s="202"/>
      <c r="AI342" s="200"/>
      <c r="AJ342" s="200"/>
      <c r="AK342" s="200"/>
      <c r="AL342" s="200">
        <f>IFERROR(VLOOKUP(B342,[2]rptBudgetaryBudgetCrossOrganiza!$A$5236:$O$5854,13,FALSE),"0")</f>
        <v>0</v>
      </c>
      <c r="AM342" s="200"/>
      <c r="AN342" s="200"/>
      <c r="AO342" s="200"/>
      <c r="AP342" s="200"/>
      <c r="AQ342" s="200"/>
      <c r="AS342" s="169"/>
      <c r="AT342" s="169"/>
      <c r="AU342" s="169"/>
      <c r="AV342" s="169"/>
      <c r="AW342" s="169"/>
      <c r="AX342" s="169"/>
      <c r="AY342" s="169"/>
      <c r="AZ342" s="169"/>
    </row>
    <row r="343" spans="2:52" hidden="1" x14ac:dyDescent="0.2">
      <c r="B343" s="170" t="s">
        <v>642</v>
      </c>
      <c r="C343" s="214">
        <v>40</v>
      </c>
      <c r="D343" s="214">
        <v>70</v>
      </c>
      <c r="E343" s="214">
        <v>600</v>
      </c>
      <c r="F343" s="170" t="str">
        <f t="shared" si="28"/>
        <v>6600.30</v>
      </c>
      <c r="G343" s="170" t="s">
        <v>676</v>
      </c>
      <c r="I343" s="168"/>
      <c r="J343" s="168"/>
      <c r="K343" s="168"/>
      <c r="L343" s="168"/>
      <c r="M343" s="194"/>
      <c r="N343" s="168"/>
      <c r="O343" s="168"/>
      <c r="Q343" s="169"/>
      <c r="R343" s="169"/>
      <c r="S343" s="169"/>
      <c r="T343" s="169"/>
      <c r="U343" s="169"/>
      <c r="V343" s="169"/>
      <c r="W343" s="169"/>
      <c r="X343" s="169"/>
      <c r="Z343" s="202"/>
      <c r="AA343" s="202"/>
      <c r="AB343" s="202"/>
      <c r="AC343" s="202"/>
      <c r="AD343" s="202"/>
      <c r="AE343" s="207"/>
      <c r="AF343" s="202"/>
      <c r="AG343" s="202"/>
      <c r="AI343" s="200"/>
      <c r="AJ343" s="200"/>
      <c r="AK343" s="200"/>
      <c r="AL343" s="200">
        <f>IFERROR(VLOOKUP(B343,[2]rptBudgetaryBudgetCrossOrganiza!$A$5236:$O$5854,13,FALSE),"0")</f>
        <v>0</v>
      </c>
      <c r="AM343" s="200"/>
      <c r="AN343" s="200"/>
      <c r="AO343" s="200"/>
      <c r="AP343" s="200"/>
      <c r="AQ343" s="200"/>
      <c r="AS343" s="169"/>
      <c r="AT343" s="169"/>
      <c r="AU343" s="169"/>
      <c r="AV343" s="169"/>
      <c r="AW343" s="169"/>
      <c r="AX343" s="169"/>
      <c r="AY343" s="169"/>
      <c r="AZ343" s="169"/>
    </row>
    <row r="344" spans="2:52" hidden="1" x14ac:dyDescent="0.2">
      <c r="B344" s="170" t="s">
        <v>643</v>
      </c>
      <c r="C344" s="214">
        <v>40</v>
      </c>
      <c r="D344" s="214">
        <v>70</v>
      </c>
      <c r="E344" s="214">
        <v>600</v>
      </c>
      <c r="F344" s="170" t="str">
        <f t="shared" si="28"/>
        <v>7000.03</v>
      </c>
      <c r="G344" s="170" t="s">
        <v>163</v>
      </c>
      <c r="I344" s="168"/>
      <c r="J344" s="168"/>
      <c r="K344" s="168"/>
      <c r="L344" s="168"/>
      <c r="M344" s="194"/>
      <c r="N344" s="168"/>
      <c r="O344" s="168"/>
      <c r="Q344" s="169"/>
      <c r="R344" s="169"/>
      <c r="S344" s="169"/>
      <c r="T344" s="169"/>
      <c r="U344" s="169"/>
      <c r="V344" s="169"/>
      <c r="W344" s="169"/>
      <c r="X344" s="169"/>
      <c r="Z344" s="202"/>
      <c r="AA344" s="202"/>
      <c r="AB344" s="202"/>
      <c r="AC344" s="202"/>
      <c r="AD344" s="202"/>
      <c r="AE344" s="207"/>
      <c r="AF344" s="202"/>
      <c r="AG344" s="202"/>
      <c r="AI344" s="200"/>
      <c r="AJ344" s="200"/>
      <c r="AK344" s="200"/>
      <c r="AL344" s="200">
        <f>IFERROR(VLOOKUP(B344,[2]rptBudgetaryBudgetCrossOrganiza!$A$5236:$O$5854,13,FALSE),"0")</f>
        <v>0</v>
      </c>
      <c r="AM344" s="200"/>
      <c r="AN344" s="200"/>
      <c r="AO344" s="200"/>
      <c r="AP344" s="200"/>
      <c r="AQ344" s="200"/>
      <c r="AS344" s="169"/>
      <c r="AT344" s="169"/>
      <c r="AU344" s="169"/>
      <c r="AV344" s="169"/>
      <c r="AW344" s="169"/>
      <c r="AX344" s="169"/>
      <c r="AY344" s="169"/>
      <c r="AZ344" s="169"/>
    </row>
    <row r="345" spans="2:52" hidden="1" x14ac:dyDescent="0.2">
      <c r="B345" s="170" t="s">
        <v>644</v>
      </c>
      <c r="C345" s="214">
        <v>40</v>
      </c>
      <c r="D345" s="214">
        <v>70</v>
      </c>
      <c r="E345" s="214">
        <v>600</v>
      </c>
      <c r="F345" s="170" t="str">
        <f t="shared" si="28"/>
        <v>7000.04</v>
      </c>
      <c r="G345" s="170" t="s">
        <v>677</v>
      </c>
      <c r="I345" s="168"/>
      <c r="J345" s="168"/>
      <c r="K345" s="168"/>
      <c r="L345" s="168"/>
      <c r="M345" s="194"/>
      <c r="N345" s="168"/>
      <c r="O345" s="168"/>
      <c r="Q345" s="169"/>
      <c r="R345" s="169"/>
      <c r="S345" s="169"/>
      <c r="T345" s="169"/>
      <c r="U345" s="169"/>
      <c r="V345" s="169"/>
      <c r="W345" s="169"/>
      <c r="X345" s="169"/>
      <c r="Z345" s="202"/>
      <c r="AA345" s="202"/>
      <c r="AB345" s="202"/>
      <c r="AC345" s="202"/>
      <c r="AD345" s="202"/>
      <c r="AE345" s="207"/>
      <c r="AF345" s="202"/>
      <c r="AG345" s="202"/>
      <c r="AI345" s="200"/>
      <c r="AJ345" s="200"/>
      <c r="AK345" s="200"/>
      <c r="AL345" s="200">
        <f>IFERROR(VLOOKUP(B345,[2]rptBudgetaryBudgetCrossOrganiza!$A$5236:$O$5854,13,FALSE),"0")</f>
        <v>0</v>
      </c>
      <c r="AM345" s="200"/>
      <c r="AN345" s="200"/>
      <c r="AO345" s="200"/>
      <c r="AP345" s="200"/>
      <c r="AQ345" s="200"/>
      <c r="AS345" s="169"/>
      <c r="AT345" s="169"/>
      <c r="AU345" s="169"/>
      <c r="AV345" s="169"/>
      <c r="AW345" s="169"/>
      <c r="AX345" s="169"/>
      <c r="AY345" s="169"/>
      <c r="AZ345" s="169"/>
    </row>
    <row r="346" spans="2:52" hidden="1" x14ac:dyDescent="0.2">
      <c r="B346" s="170" t="s">
        <v>645</v>
      </c>
      <c r="C346" s="214">
        <v>40</v>
      </c>
      <c r="D346" s="214">
        <v>70</v>
      </c>
      <c r="E346" s="214">
        <v>600</v>
      </c>
      <c r="F346" s="170" t="str">
        <f t="shared" si="28"/>
        <v>7000.07</v>
      </c>
      <c r="G346" s="170" t="s">
        <v>678</v>
      </c>
      <c r="I346" s="168"/>
      <c r="J346" s="168"/>
      <c r="K346" s="168"/>
      <c r="L346" s="168"/>
      <c r="M346" s="194"/>
      <c r="N346" s="168"/>
      <c r="O346" s="168"/>
      <c r="Q346" s="169"/>
      <c r="R346" s="169"/>
      <c r="S346" s="169"/>
      <c r="T346" s="169"/>
      <c r="U346" s="169"/>
      <c r="V346" s="169"/>
      <c r="W346" s="169"/>
      <c r="X346" s="169"/>
      <c r="Z346" s="202"/>
      <c r="AA346" s="202"/>
      <c r="AB346" s="202"/>
      <c r="AC346" s="202"/>
      <c r="AD346" s="202"/>
      <c r="AE346" s="207"/>
      <c r="AF346" s="202"/>
      <c r="AG346" s="202"/>
      <c r="AI346" s="200"/>
      <c r="AJ346" s="200"/>
      <c r="AK346" s="200"/>
      <c r="AL346" s="200">
        <f>IFERROR(VLOOKUP(B346,[2]rptBudgetaryBudgetCrossOrganiza!$A$5236:$O$5854,13,FALSE),"0")</f>
        <v>0</v>
      </c>
      <c r="AM346" s="200"/>
      <c r="AN346" s="200"/>
      <c r="AO346" s="200"/>
      <c r="AP346" s="200"/>
      <c r="AQ346" s="200"/>
      <c r="AS346" s="169"/>
      <c r="AT346" s="169"/>
      <c r="AU346" s="169"/>
      <c r="AV346" s="169"/>
      <c r="AW346" s="169"/>
      <c r="AX346" s="169"/>
      <c r="AY346" s="169"/>
      <c r="AZ346" s="169"/>
    </row>
    <row r="347" spans="2:52" hidden="1" x14ac:dyDescent="0.2">
      <c r="B347" s="170" t="s">
        <v>646</v>
      </c>
      <c r="C347" s="214">
        <v>40</v>
      </c>
      <c r="D347" s="214">
        <v>70</v>
      </c>
      <c r="E347" s="214">
        <v>600</v>
      </c>
      <c r="F347" s="170" t="str">
        <f t="shared" si="28"/>
        <v>7000.08</v>
      </c>
      <c r="G347" s="170" t="s">
        <v>679</v>
      </c>
      <c r="I347" s="168"/>
      <c r="J347" s="168"/>
      <c r="K347" s="168"/>
      <c r="L347" s="168"/>
      <c r="M347" s="194"/>
      <c r="N347" s="168"/>
      <c r="O347" s="168"/>
      <c r="Q347" s="169"/>
      <c r="R347" s="169"/>
      <c r="S347" s="169"/>
      <c r="T347" s="169"/>
      <c r="U347" s="169"/>
      <c r="V347" s="169"/>
      <c r="W347" s="169"/>
      <c r="X347" s="169"/>
      <c r="Z347" s="202"/>
      <c r="AA347" s="202"/>
      <c r="AB347" s="202"/>
      <c r="AC347" s="202"/>
      <c r="AD347" s="202"/>
      <c r="AE347" s="207"/>
      <c r="AF347" s="202"/>
      <c r="AG347" s="202"/>
      <c r="AI347" s="200"/>
      <c r="AJ347" s="200"/>
      <c r="AK347" s="200"/>
      <c r="AL347" s="200">
        <f>IFERROR(VLOOKUP(B347,[2]rptBudgetaryBudgetCrossOrganiza!$A$5236:$O$5854,13,FALSE),"0")</f>
        <v>0</v>
      </c>
      <c r="AM347" s="200"/>
      <c r="AN347" s="200"/>
      <c r="AO347" s="200"/>
      <c r="AP347" s="200"/>
      <c r="AQ347" s="200"/>
      <c r="AS347" s="169"/>
      <c r="AT347" s="169"/>
      <c r="AU347" s="169"/>
      <c r="AV347" s="169"/>
      <c r="AW347" s="169"/>
      <c r="AX347" s="169"/>
      <c r="AY347" s="169"/>
      <c r="AZ347" s="169"/>
    </row>
    <row r="348" spans="2:52" hidden="1" x14ac:dyDescent="0.2">
      <c r="B348" s="170" t="s">
        <v>647</v>
      </c>
      <c r="C348" s="214">
        <v>40</v>
      </c>
      <c r="D348" s="214">
        <v>70</v>
      </c>
      <c r="E348" s="214">
        <v>600</v>
      </c>
      <c r="F348" s="170" t="str">
        <f t="shared" si="28"/>
        <v>7000.12</v>
      </c>
      <c r="G348" s="170" t="s">
        <v>680</v>
      </c>
      <c r="I348" s="168"/>
      <c r="J348" s="168"/>
      <c r="K348" s="168"/>
      <c r="L348" s="168"/>
      <c r="M348" s="194"/>
      <c r="N348" s="168"/>
      <c r="O348" s="168"/>
      <c r="Q348" s="169"/>
      <c r="R348" s="169"/>
      <c r="S348" s="169"/>
      <c r="T348" s="169"/>
      <c r="U348" s="169"/>
      <c r="V348" s="169"/>
      <c r="W348" s="169"/>
      <c r="X348" s="169"/>
      <c r="Z348" s="202"/>
      <c r="AA348" s="202"/>
      <c r="AB348" s="202"/>
      <c r="AC348" s="202"/>
      <c r="AD348" s="202"/>
      <c r="AE348" s="207"/>
      <c r="AF348" s="202"/>
      <c r="AG348" s="202"/>
      <c r="AI348" s="200"/>
      <c r="AJ348" s="200"/>
      <c r="AK348" s="200"/>
      <c r="AL348" s="200">
        <f>IFERROR(VLOOKUP(B348,[2]rptBudgetaryBudgetCrossOrganiza!$A$5236:$O$5854,13,FALSE),"0")</f>
        <v>0</v>
      </c>
      <c r="AM348" s="200"/>
      <c r="AN348" s="200"/>
      <c r="AO348" s="200"/>
      <c r="AP348" s="200"/>
      <c r="AQ348" s="200"/>
      <c r="AS348" s="169"/>
      <c r="AT348" s="169"/>
      <c r="AU348" s="169"/>
      <c r="AV348" s="169"/>
      <c r="AW348" s="169"/>
      <c r="AX348" s="169"/>
      <c r="AY348" s="169"/>
      <c r="AZ348" s="169"/>
    </row>
    <row r="349" spans="2:52" hidden="1" x14ac:dyDescent="0.2">
      <c r="B349" s="170" t="s">
        <v>648</v>
      </c>
      <c r="C349" s="214">
        <v>40</v>
      </c>
      <c r="D349" s="214">
        <v>70</v>
      </c>
      <c r="E349" s="214">
        <v>600</v>
      </c>
      <c r="F349" s="170" t="str">
        <f t="shared" si="28"/>
        <v>7000.99</v>
      </c>
      <c r="G349" s="170" t="s">
        <v>164</v>
      </c>
      <c r="I349" s="168"/>
      <c r="J349" s="168"/>
      <c r="K349" s="168"/>
      <c r="L349" s="168"/>
      <c r="M349" s="194"/>
      <c r="N349" s="168"/>
      <c r="O349" s="168"/>
      <c r="Q349" s="169"/>
      <c r="R349" s="169"/>
      <c r="S349" s="169"/>
      <c r="T349" s="169"/>
      <c r="U349" s="169"/>
      <c r="V349" s="169"/>
      <c r="W349" s="169"/>
      <c r="X349" s="169"/>
      <c r="Z349" s="202"/>
      <c r="AA349" s="202"/>
      <c r="AB349" s="202"/>
      <c r="AC349" s="202"/>
      <c r="AD349" s="202"/>
      <c r="AE349" s="207"/>
      <c r="AF349" s="202"/>
      <c r="AG349" s="202"/>
      <c r="AI349" s="200"/>
      <c r="AJ349" s="200"/>
      <c r="AK349" s="200"/>
      <c r="AL349" s="200">
        <f>IFERROR(VLOOKUP(B349,[2]rptBudgetaryBudgetCrossOrganiza!$A$5236:$O$5854,13,FALSE),"0")</f>
        <v>0</v>
      </c>
      <c r="AM349" s="200"/>
      <c r="AN349" s="200"/>
      <c r="AO349" s="200"/>
      <c r="AP349" s="200"/>
      <c r="AQ349" s="200"/>
      <c r="AS349" s="169"/>
      <c r="AT349" s="169"/>
      <c r="AU349" s="169"/>
      <c r="AV349" s="169"/>
      <c r="AW349" s="169"/>
      <c r="AX349" s="169"/>
      <c r="AY349" s="169"/>
      <c r="AZ349" s="169"/>
    </row>
    <row r="350" spans="2:52" x14ac:dyDescent="0.2">
      <c r="I350" s="170">
        <f>SUBTOTAL(9,I3:I349)</f>
        <v>425150</v>
      </c>
      <c r="J350" s="170">
        <f>SUM(J3:J349)</f>
        <v>0</v>
      </c>
      <c r="K350" s="170">
        <f>SUM(K3:K349)</f>
        <v>0</v>
      </c>
      <c r="L350" s="170">
        <f>SUM(L3:L349)</f>
        <v>0</v>
      </c>
      <c r="M350" s="170">
        <f>SUM(M3:M349)</f>
        <v>1719086.5600000005</v>
      </c>
      <c r="N350" s="170">
        <f>SUBTOTAL(9,N3:N349)</f>
        <v>373234.69000000006</v>
      </c>
      <c r="O350" s="170">
        <f>SUM(O3:O349)</f>
        <v>-212275.65999999997</v>
      </c>
      <c r="Q350" s="170">
        <f t="shared" ref="Q350:W350" si="29">SUBTOTAL(9,Q3:Q349)</f>
        <v>476615</v>
      </c>
      <c r="R350" s="170">
        <f t="shared" si="29"/>
        <v>467150</v>
      </c>
      <c r="S350" s="170">
        <f t="shared" si="29"/>
        <v>0</v>
      </c>
      <c r="T350" s="170">
        <f t="shared" si="29"/>
        <v>0</v>
      </c>
      <c r="U350" s="170">
        <f t="shared" si="29"/>
        <v>0</v>
      </c>
      <c r="V350" s="170">
        <f t="shared" si="29"/>
        <v>426664.32</v>
      </c>
      <c r="W350" s="170">
        <f t="shared" si="29"/>
        <v>426664.32</v>
      </c>
      <c r="X350" s="170">
        <f>SUM(X3:X349)</f>
        <v>-643947.89999999991</v>
      </c>
      <c r="Z350" s="170">
        <f t="shared" ref="Z350:AG350" si="30">SUBTOTAL(9,Z3:Z349)</f>
        <v>450205</v>
      </c>
      <c r="AA350" s="170">
        <f t="shared" si="30"/>
        <v>467205</v>
      </c>
      <c r="AB350" s="170">
        <f t="shared" si="30"/>
        <v>0</v>
      </c>
      <c r="AC350" s="170">
        <f t="shared" si="30"/>
        <v>0</v>
      </c>
      <c r="AD350" s="170">
        <f t="shared" si="30"/>
        <v>0</v>
      </c>
      <c r="AE350" s="214">
        <f t="shared" si="30"/>
        <v>555526.68000000005</v>
      </c>
      <c r="AF350" s="170">
        <f t="shared" si="30"/>
        <v>555526.68000000005</v>
      </c>
      <c r="AG350" s="170">
        <f t="shared" si="30"/>
        <v>88321.680000000022</v>
      </c>
      <c r="AI350" s="170">
        <f t="shared" ref="AI350:AQ350" si="31">SUM(AI3:AI349)</f>
        <v>4487142</v>
      </c>
      <c r="AJ350" s="170">
        <f t="shared" si="31"/>
        <v>4487142</v>
      </c>
      <c r="AK350" s="170">
        <f t="shared" si="31"/>
        <v>5666827</v>
      </c>
      <c r="AL350" s="170">
        <f t="shared" si="31"/>
        <v>508932.99000000011</v>
      </c>
      <c r="AM350" s="170">
        <f t="shared" si="31"/>
        <v>0</v>
      </c>
      <c r="AN350" s="170">
        <f t="shared" si="31"/>
        <v>0</v>
      </c>
      <c r="AO350" s="170">
        <f t="shared" si="31"/>
        <v>0</v>
      </c>
      <c r="AP350" s="170">
        <f t="shared" si="31"/>
        <v>0</v>
      </c>
      <c r="AQ350" s="170" t="e">
        <f t="shared" si="31"/>
        <v>#VALUE!</v>
      </c>
      <c r="AS350" s="170">
        <f t="shared" ref="AS350:AZ350" si="32">SUM(AS3:AS349)</f>
        <v>0</v>
      </c>
      <c r="AT350" s="170">
        <f t="shared" si="32"/>
        <v>0</v>
      </c>
      <c r="AU350" s="170">
        <f t="shared" si="32"/>
        <v>0</v>
      </c>
      <c r="AV350" s="170">
        <f t="shared" si="32"/>
        <v>0</v>
      </c>
      <c r="AW350" s="170">
        <f t="shared" si="32"/>
        <v>0</v>
      </c>
      <c r="AX350" s="170">
        <f t="shared" si="32"/>
        <v>0</v>
      </c>
      <c r="AY350" s="170">
        <f t="shared" si="32"/>
        <v>0</v>
      </c>
      <c r="AZ350" s="170">
        <f t="shared" si="32"/>
        <v>0</v>
      </c>
    </row>
    <row r="355" spans="37:37" x14ac:dyDescent="0.2">
      <c r="AK355" s="170">
        <f>AK350-AJ350</f>
        <v>1179685</v>
      </c>
    </row>
  </sheetData>
  <autoFilter ref="A2:BJ349">
    <filterColumn colId="36">
      <colorFilter dxfId="0"/>
    </filterColumn>
  </autoFilter>
  <mergeCells count="5">
    <mergeCell ref="H1:O1"/>
    <mergeCell ref="Q1:X1"/>
    <mergeCell ref="Z1:AG1"/>
    <mergeCell ref="AI1:AQ1"/>
    <mergeCell ref="AS1:AZ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4"/>
  <sheetViews>
    <sheetView zoomScale="90" zoomScaleNormal="90" workbookViewId="0">
      <selection activeCell="N13" sqref="N13"/>
    </sheetView>
  </sheetViews>
  <sheetFormatPr defaultRowHeight="12.75" outlineLevelCol="1" x14ac:dyDescent="0.2"/>
  <cols>
    <col min="1" max="1" width="9.140625" style="154"/>
    <col min="2" max="2" width="20.42578125" style="155" bestFit="1" customWidth="1"/>
    <col min="3" max="3" width="9.42578125" style="156" customWidth="1"/>
    <col min="4" max="4" width="8" style="156" customWidth="1"/>
    <col min="5" max="5" width="12.5703125" style="171" customWidth="1"/>
    <col min="6" max="6" width="7.140625" style="157" customWidth="1"/>
    <col min="7" max="7" width="54.28515625" style="157" customWidth="1"/>
    <col min="8" max="9" width="11.85546875" style="158" hidden="1" customWidth="1" outlineLevel="1"/>
    <col min="10" max="13" width="15.42578125" style="158" hidden="1" customWidth="1" outlineLevel="1"/>
    <col min="14" max="14" width="10.5703125" style="158" bestFit="1" customWidth="1" collapsed="1"/>
    <col min="15" max="15" width="13.28515625" style="158" hidden="1" customWidth="1" outlineLevel="1"/>
    <col min="16" max="16" width="2.7109375" style="158" customWidth="1" collapsed="1"/>
    <col min="17" max="17" width="12.42578125" style="158" hidden="1" customWidth="1" outlineLevel="1"/>
    <col min="18" max="18" width="11.85546875" style="158" hidden="1" customWidth="1" outlineLevel="1"/>
    <col min="19" max="22" width="15.42578125" style="158" hidden="1" customWidth="1" outlineLevel="1"/>
    <col min="23" max="23" width="10.5703125" style="158" bestFit="1" customWidth="1" collapsed="1"/>
    <col min="24" max="24" width="14.85546875" style="158" hidden="1" customWidth="1" outlineLevel="1"/>
    <col min="25" max="25" width="2.7109375" style="158" customWidth="1" collapsed="1"/>
    <col min="26" max="26" width="12.42578125" style="158" hidden="1" customWidth="1" outlineLevel="1"/>
    <col min="27" max="27" width="11.85546875" style="158" bestFit="1" customWidth="1" collapsed="1"/>
    <col min="28" max="31" width="15.42578125" style="158" hidden="1" customWidth="1" outlineLevel="1"/>
    <col min="32" max="32" width="13.7109375" style="158" bestFit="1" customWidth="1" collapsed="1"/>
    <col min="33" max="33" width="13.28515625" style="158" hidden="1" customWidth="1" outlineLevel="1"/>
    <col min="34" max="34" width="2.7109375" style="158" customWidth="1" collapsed="1"/>
    <col min="35" max="35" width="10.7109375" style="158" hidden="1" customWidth="1" outlineLevel="1"/>
    <col min="36" max="36" width="11.85546875" style="158" bestFit="1" customWidth="1" collapsed="1"/>
    <col min="37" max="37" width="11.85546875" style="158" customWidth="1"/>
    <col min="38" max="41" width="15.42578125" style="158" hidden="1" customWidth="1" outlineLevel="1"/>
    <col min="42" max="42" width="13.7109375" style="158" bestFit="1" customWidth="1" collapsed="1"/>
    <col min="43" max="43" width="14.85546875" style="158" hidden="1" customWidth="1" outlineLevel="1"/>
    <col min="44" max="44" width="2.7109375" style="158" customWidth="1" collapsed="1"/>
    <col min="45" max="45" width="10.7109375" style="158" customWidth="1"/>
    <col min="46" max="46" width="11.85546875" style="158" bestFit="1" customWidth="1"/>
    <col min="47" max="50" width="15.42578125" style="158" bestFit="1" customWidth="1"/>
    <col min="51" max="51" width="13.7109375" style="158" bestFit="1" customWidth="1"/>
    <col min="52" max="52" width="17.7109375" style="158" bestFit="1" customWidth="1"/>
    <col min="53" max="62" width="9.140625" style="158"/>
    <col min="63" max="258" width="9.140625" style="157"/>
    <col min="259" max="259" width="20.42578125" style="157" bestFit="1" customWidth="1"/>
    <col min="260" max="260" width="9.42578125" style="157" customWidth="1"/>
    <col min="261" max="261" width="8" style="157" customWidth="1"/>
    <col min="262" max="262" width="12.5703125" style="157" customWidth="1"/>
    <col min="263" max="263" width="7.140625" style="157" customWidth="1"/>
    <col min="264" max="264" width="54.28515625" style="157" customWidth="1"/>
    <col min="265" max="265" width="11.85546875" style="157" bestFit="1" customWidth="1"/>
    <col min="266" max="266" width="11.85546875" style="157" customWidth="1"/>
    <col min="267" max="270" width="15.42578125" style="157" bestFit="1" customWidth="1"/>
    <col min="271" max="271" width="10.5703125" style="157" bestFit="1" customWidth="1"/>
    <col min="272" max="272" width="13.28515625" style="157" bestFit="1" customWidth="1"/>
    <col min="273" max="273" width="2.7109375" style="157" customWidth="1"/>
    <col min="274" max="274" width="12.42578125" style="157" bestFit="1" customWidth="1"/>
    <col min="275" max="275" width="11.85546875" style="157" bestFit="1" customWidth="1"/>
    <col min="276" max="279" width="15.42578125" style="157" bestFit="1" customWidth="1"/>
    <col min="280" max="280" width="10.5703125" style="157" bestFit="1" customWidth="1"/>
    <col min="281" max="281" width="17.7109375" style="157" bestFit="1" customWidth="1"/>
    <col min="282" max="282" width="2.7109375" style="157" customWidth="1"/>
    <col min="283" max="283" width="12.42578125" style="157" bestFit="1" customWidth="1"/>
    <col min="284" max="284" width="11.85546875" style="157" bestFit="1" customWidth="1"/>
    <col min="285" max="288" width="15.42578125" style="157" bestFit="1" customWidth="1"/>
    <col min="289" max="289" width="13.7109375" style="157" bestFit="1" customWidth="1"/>
    <col min="290" max="290" width="13.28515625" style="157" bestFit="1" customWidth="1"/>
    <col min="291" max="291" width="2.7109375" style="157" customWidth="1"/>
    <col min="292" max="292" width="10.7109375" style="157" customWidth="1"/>
    <col min="293" max="293" width="11.85546875" style="157" bestFit="1" customWidth="1"/>
    <col min="294" max="297" width="15.42578125" style="157" bestFit="1" customWidth="1"/>
    <col min="298" max="298" width="13.7109375" style="157" bestFit="1" customWidth="1"/>
    <col min="299" max="299" width="17.7109375" style="157" bestFit="1" customWidth="1"/>
    <col min="300" max="514" width="9.140625" style="157"/>
    <col min="515" max="515" width="20.42578125" style="157" bestFit="1" customWidth="1"/>
    <col min="516" max="516" width="9.42578125" style="157" customWidth="1"/>
    <col min="517" max="517" width="8" style="157" customWidth="1"/>
    <col min="518" max="518" width="12.5703125" style="157" customWidth="1"/>
    <col min="519" max="519" width="7.140625" style="157" customWidth="1"/>
    <col min="520" max="520" width="54.28515625" style="157" customWidth="1"/>
    <col min="521" max="521" width="11.85546875" style="157" bestFit="1" customWidth="1"/>
    <col min="522" max="522" width="11.85546875" style="157" customWidth="1"/>
    <col min="523" max="526" width="15.42578125" style="157" bestFit="1" customWidth="1"/>
    <col min="527" max="527" width="10.5703125" style="157" bestFit="1" customWidth="1"/>
    <col min="528" max="528" width="13.28515625" style="157" bestFit="1" customWidth="1"/>
    <col min="529" max="529" width="2.7109375" style="157" customWidth="1"/>
    <col min="530" max="530" width="12.42578125" style="157" bestFit="1" customWidth="1"/>
    <col min="531" max="531" width="11.85546875" style="157" bestFit="1" customWidth="1"/>
    <col min="532" max="535" width="15.42578125" style="157" bestFit="1" customWidth="1"/>
    <col min="536" max="536" width="10.5703125" style="157" bestFit="1" customWidth="1"/>
    <col min="537" max="537" width="17.7109375" style="157" bestFit="1" customWidth="1"/>
    <col min="538" max="538" width="2.7109375" style="157" customWidth="1"/>
    <col min="539" max="539" width="12.42578125" style="157" bestFit="1" customWidth="1"/>
    <col min="540" max="540" width="11.85546875" style="157" bestFit="1" customWidth="1"/>
    <col min="541" max="544" width="15.42578125" style="157" bestFit="1" customWidth="1"/>
    <col min="545" max="545" width="13.7109375" style="157" bestFit="1" customWidth="1"/>
    <col min="546" max="546" width="13.28515625" style="157" bestFit="1" customWidth="1"/>
    <col min="547" max="547" width="2.7109375" style="157" customWidth="1"/>
    <col min="548" max="548" width="10.7109375" style="157" customWidth="1"/>
    <col min="549" max="549" width="11.85546875" style="157" bestFit="1" customWidth="1"/>
    <col min="550" max="553" width="15.42578125" style="157" bestFit="1" customWidth="1"/>
    <col min="554" max="554" width="13.7109375" style="157" bestFit="1" customWidth="1"/>
    <col min="555" max="555" width="17.7109375" style="157" bestFit="1" customWidth="1"/>
    <col min="556" max="770" width="9.140625" style="157"/>
    <col min="771" max="771" width="20.42578125" style="157" bestFit="1" customWidth="1"/>
    <col min="772" max="772" width="9.42578125" style="157" customWidth="1"/>
    <col min="773" max="773" width="8" style="157" customWidth="1"/>
    <col min="774" max="774" width="12.5703125" style="157" customWidth="1"/>
    <col min="775" max="775" width="7.140625" style="157" customWidth="1"/>
    <col min="776" max="776" width="54.28515625" style="157" customWidth="1"/>
    <col min="777" max="777" width="11.85546875" style="157" bestFit="1" customWidth="1"/>
    <col min="778" max="778" width="11.85546875" style="157" customWidth="1"/>
    <col min="779" max="782" width="15.42578125" style="157" bestFit="1" customWidth="1"/>
    <col min="783" max="783" width="10.5703125" style="157" bestFit="1" customWidth="1"/>
    <col min="784" max="784" width="13.28515625" style="157" bestFit="1" customWidth="1"/>
    <col min="785" max="785" width="2.7109375" style="157" customWidth="1"/>
    <col min="786" max="786" width="12.42578125" style="157" bestFit="1" customWidth="1"/>
    <col min="787" max="787" width="11.85546875" style="157" bestFit="1" customWidth="1"/>
    <col min="788" max="791" width="15.42578125" style="157" bestFit="1" customWidth="1"/>
    <col min="792" max="792" width="10.5703125" style="157" bestFit="1" customWidth="1"/>
    <col min="793" max="793" width="17.7109375" style="157" bestFit="1" customWidth="1"/>
    <col min="794" max="794" width="2.7109375" style="157" customWidth="1"/>
    <col min="795" max="795" width="12.42578125" style="157" bestFit="1" customWidth="1"/>
    <col min="796" max="796" width="11.85546875" style="157" bestFit="1" customWidth="1"/>
    <col min="797" max="800" width="15.42578125" style="157" bestFit="1" customWidth="1"/>
    <col min="801" max="801" width="13.7109375" style="157" bestFit="1" customWidth="1"/>
    <col min="802" max="802" width="13.28515625" style="157" bestFit="1" customWidth="1"/>
    <col min="803" max="803" width="2.7109375" style="157" customWidth="1"/>
    <col min="804" max="804" width="10.7109375" style="157" customWidth="1"/>
    <col min="805" max="805" width="11.85546875" style="157" bestFit="1" customWidth="1"/>
    <col min="806" max="809" width="15.42578125" style="157" bestFit="1" customWidth="1"/>
    <col min="810" max="810" width="13.7109375" style="157" bestFit="1" customWidth="1"/>
    <col min="811" max="811" width="17.7109375" style="157" bestFit="1" customWidth="1"/>
    <col min="812" max="1026" width="9.140625" style="157"/>
    <col min="1027" max="1027" width="20.42578125" style="157" bestFit="1" customWidth="1"/>
    <col min="1028" max="1028" width="9.42578125" style="157" customWidth="1"/>
    <col min="1029" max="1029" width="8" style="157" customWidth="1"/>
    <col min="1030" max="1030" width="12.5703125" style="157" customWidth="1"/>
    <col min="1031" max="1031" width="7.140625" style="157" customWidth="1"/>
    <col min="1032" max="1032" width="54.28515625" style="157" customWidth="1"/>
    <col min="1033" max="1033" width="11.85546875" style="157" bestFit="1" customWidth="1"/>
    <col min="1034" max="1034" width="11.85546875" style="157" customWidth="1"/>
    <col min="1035" max="1038" width="15.42578125" style="157" bestFit="1" customWidth="1"/>
    <col min="1039" max="1039" width="10.5703125" style="157" bestFit="1" customWidth="1"/>
    <col min="1040" max="1040" width="13.28515625" style="157" bestFit="1" customWidth="1"/>
    <col min="1041" max="1041" width="2.7109375" style="157" customWidth="1"/>
    <col min="1042" max="1042" width="12.42578125" style="157" bestFit="1" customWidth="1"/>
    <col min="1043" max="1043" width="11.85546875" style="157" bestFit="1" customWidth="1"/>
    <col min="1044" max="1047" width="15.42578125" style="157" bestFit="1" customWidth="1"/>
    <col min="1048" max="1048" width="10.5703125" style="157" bestFit="1" customWidth="1"/>
    <col min="1049" max="1049" width="17.7109375" style="157" bestFit="1" customWidth="1"/>
    <col min="1050" max="1050" width="2.7109375" style="157" customWidth="1"/>
    <col min="1051" max="1051" width="12.42578125" style="157" bestFit="1" customWidth="1"/>
    <col min="1052" max="1052" width="11.85546875" style="157" bestFit="1" customWidth="1"/>
    <col min="1053" max="1056" width="15.42578125" style="157" bestFit="1" customWidth="1"/>
    <col min="1057" max="1057" width="13.7109375" style="157" bestFit="1" customWidth="1"/>
    <col min="1058" max="1058" width="13.28515625" style="157" bestFit="1" customWidth="1"/>
    <col min="1059" max="1059" width="2.7109375" style="157" customWidth="1"/>
    <col min="1060" max="1060" width="10.7109375" style="157" customWidth="1"/>
    <col min="1061" max="1061" width="11.85546875" style="157" bestFit="1" customWidth="1"/>
    <col min="1062" max="1065" width="15.42578125" style="157" bestFit="1" customWidth="1"/>
    <col min="1066" max="1066" width="13.7109375" style="157" bestFit="1" customWidth="1"/>
    <col min="1067" max="1067" width="17.7109375" style="157" bestFit="1" customWidth="1"/>
    <col min="1068" max="1282" width="9.140625" style="157"/>
    <col min="1283" max="1283" width="20.42578125" style="157" bestFit="1" customWidth="1"/>
    <col min="1284" max="1284" width="9.42578125" style="157" customWidth="1"/>
    <col min="1285" max="1285" width="8" style="157" customWidth="1"/>
    <col min="1286" max="1286" width="12.5703125" style="157" customWidth="1"/>
    <col min="1287" max="1287" width="7.140625" style="157" customWidth="1"/>
    <col min="1288" max="1288" width="54.28515625" style="157" customWidth="1"/>
    <col min="1289" max="1289" width="11.85546875" style="157" bestFit="1" customWidth="1"/>
    <col min="1290" max="1290" width="11.85546875" style="157" customWidth="1"/>
    <col min="1291" max="1294" width="15.42578125" style="157" bestFit="1" customWidth="1"/>
    <col min="1295" max="1295" width="10.5703125" style="157" bestFit="1" customWidth="1"/>
    <col min="1296" max="1296" width="13.28515625" style="157" bestFit="1" customWidth="1"/>
    <col min="1297" max="1297" width="2.7109375" style="157" customWidth="1"/>
    <col min="1298" max="1298" width="12.42578125" style="157" bestFit="1" customWidth="1"/>
    <col min="1299" max="1299" width="11.85546875" style="157" bestFit="1" customWidth="1"/>
    <col min="1300" max="1303" width="15.42578125" style="157" bestFit="1" customWidth="1"/>
    <col min="1304" max="1304" width="10.5703125" style="157" bestFit="1" customWidth="1"/>
    <col min="1305" max="1305" width="17.7109375" style="157" bestFit="1" customWidth="1"/>
    <col min="1306" max="1306" width="2.7109375" style="157" customWidth="1"/>
    <col min="1307" max="1307" width="12.42578125" style="157" bestFit="1" customWidth="1"/>
    <col min="1308" max="1308" width="11.85546875" style="157" bestFit="1" customWidth="1"/>
    <col min="1309" max="1312" width="15.42578125" style="157" bestFit="1" customWidth="1"/>
    <col min="1313" max="1313" width="13.7109375" style="157" bestFit="1" customWidth="1"/>
    <col min="1314" max="1314" width="13.28515625" style="157" bestFit="1" customWidth="1"/>
    <col min="1315" max="1315" width="2.7109375" style="157" customWidth="1"/>
    <col min="1316" max="1316" width="10.7109375" style="157" customWidth="1"/>
    <col min="1317" max="1317" width="11.85546875" style="157" bestFit="1" customWidth="1"/>
    <col min="1318" max="1321" width="15.42578125" style="157" bestFit="1" customWidth="1"/>
    <col min="1322" max="1322" width="13.7109375" style="157" bestFit="1" customWidth="1"/>
    <col min="1323" max="1323" width="17.7109375" style="157" bestFit="1" customWidth="1"/>
    <col min="1324" max="1538" width="9.140625" style="157"/>
    <col min="1539" max="1539" width="20.42578125" style="157" bestFit="1" customWidth="1"/>
    <col min="1540" max="1540" width="9.42578125" style="157" customWidth="1"/>
    <col min="1541" max="1541" width="8" style="157" customWidth="1"/>
    <col min="1542" max="1542" width="12.5703125" style="157" customWidth="1"/>
    <col min="1543" max="1543" width="7.140625" style="157" customWidth="1"/>
    <col min="1544" max="1544" width="54.28515625" style="157" customWidth="1"/>
    <col min="1545" max="1545" width="11.85546875" style="157" bestFit="1" customWidth="1"/>
    <col min="1546" max="1546" width="11.85546875" style="157" customWidth="1"/>
    <col min="1547" max="1550" width="15.42578125" style="157" bestFit="1" customWidth="1"/>
    <col min="1551" max="1551" width="10.5703125" style="157" bestFit="1" customWidth="1"/>
    <col min="1552" max="1552" width="13.28515625" style="157" bestFit="1" customWidth="1"/>
    <col min="1553" max="1553" width="2.7109375" style="157" customWidth="1"/>
    <col min="1554" max="1554" width="12.42578125" style="157" bestFit="1" customWidth="1"/>
    <col min="1555" max="1555" width="11.85546875" style="157" bestFit="1" customWidth="1"/>
    <col min="1556" max="1559" width="15.42578125" style="157" bestFit="1" customWidth="1"/>
    <col min="1560" max="1560" width="10.5703125" style="157" bestFit="1" customWidth="1"/>
    <col min="1561" max="1561" width="17.7109375" style="157" bestFit="1" customWidth="1"/>
    <col min="1562" max="1562" width="2.7109375" style="157" customWidth="1"/>
    <col min="1563" max="1563" width="12.42578125" style="157" bestFit="1" customWidth="1"/>
    <col min="1564" max="1564" width="11.85546875" style="157" bestFit="1" customWidth="1"/>
    <col min="1565" max="1568" width="15.42578125" style="157" bestFit="1" customWidth="1"/>
    <col min="1569" max="1569" width="13.7109375" style="157" bestFit="1" customWidth="1"/>
    <col min="1570" max="1570" width="13.28515625" style="157" bestFit="1" customWidth="1"/>
    <col min="1571" max="1571" width="2.7109375" style="157" customWidth="1"/>
    <col min="1572" max="1572" width="10.7109375" style="157" customWidth="1"/>
    <col min="1573" max="1573" width="11.85546875" style="157" bestFit="1" customWidth="1"/>
    <col min="1574" max="1577" width="15.42578125" style="157" bestFit="1" customWidth="1"/>
    <col min="1578" max="1578" width="13.7109375" style="157" bestFit="1" customWidth="1"/>
    <col min="1579" max="1579" width="17.7109375" style="157" bestFit="1" customWidth="1"/>
    <col min="1580" max="1794" width="9.140625" style="157"/>
    <col min="1795" max="1795" width="20.42578125" style="157" bestFit="1" customWidth="1"/>
    <col min="1796" max="1796" width="9.42578125" style="157" customWidth="1"/>
    <col min="1797" max="1797" width="8" style="157" customWidth="1"/>
    <col min="1798" max="1798" width="12.5703125" style="157" customWidth="1"/>
    <col min="1799" max="1799" width="7.140625" style="157" customWidth="1"/>
    <col min="1800" max="1800" width="54.28515625" style="157" customWidth="1"/>
    <col min="1801" max="1801" width="11.85546875" style="157" bestFit="1" customWidth="1"/>
    <col min="1802" max="1802" width="11.85546875" style="157" customWidth="1"/>
    <col min="1803" max="1806" width="15.42578125" style="157" bestFit="1" customWidth="1"/>
    <col min="1807" max="1807" width="10.5703125" style="157" bestFit="1" customWidth="1"/>
    <col min="1808" max="1808" width="13.28515625" style="157" bestFit="1" customWidth="1"/>
    <col min="1809" max="1809" width="2.7109375" style="157" customWidth="1"/>
    <col min="1810" max="1810" width="12.42578125" style="157" bestFit="1" customWidth="1"/>
    <col min="1811" max="1811" width="11.85546875" style="157" bestFit="1" customWidth="1"/>
    <col min="1812" max="1815" width="15.42578125" style="157" bestFit="1" customWidth="1"/>
    <col min="1816" max="1816" width="10.5703125" style="157" bestFit="1" customWidth="1"/>
    <col min="1817" max="1817" width="17.7109375" style="157" bestFit="1" customWidth="1"/>
    <col min="1818" max="1818" width="2.7109375" style="157" customWidth="1"/>
    <col min="1819" max="1819" width="12.42578125" style="157" bestFit="1" customWidth="1"/>
    <col min="1820" max="1820" width="11.85546875" style="157" bestFit="1" customWidth="1"/>
    <col min="1821" max="1824" width="15.42578125" style="157" bestFit="1" customWidth="1"/>
    <col min="1825" max="1825" width="13.7109375" style="157" bestFit="1" customWidth="1"/>
    <col min="1826" max="1826" width="13.28515625" style="157" bestFit="1" customWidth="1"/>
    <col min="1827" max="1827" width="2.7109375" style="157" customWidth="1"/>
    <col min="1828" max="1828" width="10.7109375" style="157" customWidth="1"/>
    <col min="1829" max="1829" width="11.85546875" style="157" bestFit="1" customWidth="1"/>
    <col min="1830" max="1833" width="15.42578125" style="157" bestFit="1" customWidth="1"/>
    <col min="1834" max="1834" width="13.7109375" style="157" bestFit="1" customWidth="1"/>
    <col min="1835" max="1835" width="17.7109375" style="157" bestFit="1" customWidth="1"/>
    <col min="1836" max="2050" width="9.140625" style="157"/>
    <col min="2051" max="2051" width="20.42578125" style="157" bestFit="1" customWidth="1"/>
    <col min="2052" max="2052" width="9.42578125" style="157" customWidth="1"/>
    <col min="2053" max="2053" width="8" style="157" customWidth="1"/>
    <col min="2054" max="2054" width="12.5703125" style="157" customWidth="1"/>
    <col min="2055" max="2055" width="7.140625" style="157" customWidth="1"/>
    <col min="2056" max="2056" width="54.28515625" style="157" customWidth="1"/>
    <col min="2057" max="2057" width="11.85546875" style="157" bestFit="1" customWidth="1"/>
    <col min="2058" max="2058" width="11.85546875" style="157" customWidth="1"/>
    <col min="2059" max="2062" width="15.42578125" style="157" bestFit="1" customWidth="1"/>
    <col min="2063" max="2063" width="10.5703125" style="157" bestFit="1" customWidth="1"/>
    <col min="2064" max="2064" width="13.28515625" style="157" bestFit="1" customWidth="1"/>
    <col min="2065" max="2065" width="2.7109375" style="157" customWidth="1"/>
    <col min="2066" max="2066" width="12.42578125" style="157" bestFit="1" customWidth="1"/>
    <col min="2067" max="2067" width="11.85546875" style="157" bestFit="1" customWidth="1"/>
    <col min="2068" max="2071" width="15.42578125" style="157" bestFit="1" customWidth="1"/>
    <col min="2072" max="2072" width="10.5703125" style="157" bestFit="1" customWidth="1"/>
    <col min="2073" max="2073" width="17.7109375" style="157" bestFit="1" customWidth="1"/>
    <col min="2074" max="2074" width="2.7109375" style="157" customWidth="1"/>
    <col min="2075" max="2075" width="12.42578125" style="157" bestFit="1" customWidth="1"/>
    <col min="2076" max="2076" width="11.85546875" style="157" bestFit="1" customWidth="1"/>
    <col min="2077" max="2080" width="15.42578125" style="157" bestFit="1" customWidth="1"/>
    <col min="2081" max="2081" width="13.7109375" style="157" bestFit="1" customWidth="1"/>
    <col min="2082" max="2082" width="13.28515625" style="157" bestFit="1" customWidth="1"/>
    <col min="2083" max="2083" width="2.7109375" style="157" customWidth="1"/>
    <col min="2084" max="2084" width="10.7109375" style="157" customWidth="1"/>
    <col min="2085" max="2085" width="11.85546875" style="157" bestFit="1" customWidth="1"/>
    <col min="2086" max="2089" width="15.42578125" style="157" bestFit="1" customWidth="1"/>
    <col min="2090" max="2090" width="13.7109375" style="157" bestFit="1" customWidth="1"/>
    <col min="2091" max="2091" width="17.7109375" style="157" bestFit="1" customWidth="1"/>
    <col min="2092" max="2306" width="9.140625" style="157"/>
    <col min="2307" max="2307" width="20.42578125" style="157" bestFit="1" customWidth="1"/>
    <col min="2308" max="2308" width="9.42578125" style="157" customWidth="1"/>
    <col min="2309" max="2309" width="8" style="157" customWidth="1"/>
    <col min="2310" max="2310" width="12.5703125" style="157" customWidth="1"/>
    <col min="2311" max="2311" width="7.140625" style="157" customWidth="1"/>
    <col min="2312" max="2312" width="54.28515625" style="157" customWidth="1"/>
    <col min="2313" max="2313" width="11.85546875" style="157" bestFit="1" customWidth="1"/>
    <col min="2314" max="2314" width="11.85546875" style="157" customWidth="1"/>
    <col min="2315" max="2318" width="15.42578125" style="157" bestFit="1" customWidth="1"/>
    <col min="2319" max="2319" width="10.5703125" style="157" bestFit="1" customWidth="1"/>
    <col min="2320" max="2320" width="13.28515625" style="157" bestFit="1" customWidth="1"/>
    <col min="2321" max="2321" width="2.7109375" style="157" customWidth="1"/>
    <col min="2322" max="2322" width="12.42578125" style="157" bestFit="1" customWidth="1"/>
    <col min="2323" max="2323" width="11.85546875" style="157" bestFit="1" customWidth="1"/>
    <col min="2324" max="2327" width="15.42578125" style="157" bestFit="1" customWidth="1"/>
    <col min="2328" max="2328" width="10.5703125" style="157" bestFit="1" customWidth="1"/>
    <col min="2329" max="2329" width="17.7109375" style="157" bestFit="1" customWidth="1"/>
    <col min="2330" max="2330" width="2.7109375" style="157" customWidth="1"/>
    <col min="2331" max="2331" width="12.42578125" style="157" bestFit="1" customWidth="1"/>
    <col min="2332" max="2332" width="11.85546875" style="157" bestFit="1" customWidth="1"/>
    <col min="2333" max="2336" width="15.42578125" style="157" bestFit="1" customWidth="1"/>
    <col min="2337" max="2337" width="13.7109375" style="157" bestFit="1" customWidth="1"/>
    <col min="2338" max="2338" width="13.28515625" style="157" bestFit="1" customWidth="1"/>
    <col min="2339" max="2339" width="2.7109375" style="157" customWidth="1"/>
    <col min="2340" max="2340" width="10.7109375" style="157" customWidth="1"/>
    <col min="2341" max="2341" width="11.85546875" style="157" bestFit="1" customWidth="1"/>
    <col min="2342" max="2345" width="15.42578125" style="157" bestFit="1" customWidth="1"/>
    <col min="2346" max="2346" width="13.7109375" style="157" bestFit="1" customWidth="1"/>
    <col min="2347" max="2347" width="17.7109375" style="157" bestFit="1" customWidth="1"/>
    <col min="2348" max="2562" width="9.140625" style="157"/>
    <col min="2563" max="2563" width="20.42578125" style="157" bestFit="1" customWidth="1"/>
    <col min="2564" max="2564" width="9.42578125" style="157" customWidth="1"/>
    <col min="2565" max="2565" width="8" style="157" customWidth="1"/>
    <col min="2566" max="2566" width="12.5703125" style="157" customWidth="1"/>
    <col min="2567" max="2567" width="7.140625" style="157" customWidth="1"/>
    <col min="2568" max="2568" width="54.28515625" style="157" customWidth="1"/>
    <col min="2569" max="2569" width="11.85546875" style="157" bestFit="1" customWidth="1"/>
    <col min="2570" max="2570" width="11.85546875" style="157" customWidth="1"/>
    <col min="2571" max="2574" width="15.42578125" style="157" bestFit="1" customWidth="1"/>
    <col min="2575" max="2575" width="10.5703125" style="157" bestFit="1" customWidth="1"/>
    <col min="2576" max="2576" width="13.28515625" style="157" bestFit="1" customWidth="1"/>
    <col min="2577" max="2577" width="2.7109375" style="157" customWidth="1"/>
    <col min="2578" max="2578" width="12.42578125" style="157" bestFit="1" customWidth="1"/>
    <col min="2579" max="2579" width="11.85546875" style="157" bestFit="1" customWidth="1"/>
    <col min="2580" max="2583" width="15.42578125" style="157" bestFit="1" customWidth="1"/>
    <col min="2584" max="2584" width="10.5703125" style="157" bestFit="1" customWidth="1"/>
    <col min="2585" max="2585" width="17.7109375" style="157" bestFit="1" customWidth="1"/>
    <col min="2586" max="2586" width="2.7109375" style="157" customWidth="1"/>
    <col min="2587" max="2587" width="12.42578125" style="157" bestFit="1" customWidth="1"/>
    <col min="2588" max="2588" width="11.85546875" style="157" bestFit="1" customWidth="1"/>
    <col min="2589" max="2592" width="15.42578125" style="157" bestFit="1" customWidth="1"/>
    <col min="2593" max="2593" width="13.7109375" style="157" bestFit="1" customWidth="1"/>
    <col min="2594" max="2594" width="13.28515625" style="157" bestFit="1" customWidth="1"/>
    <col min="2595" max="2595" width="2.7109375" style="157" customWidth="1"/>
    <col min="2596" max="2596" width="10.7109375" style="157" customWidth="1"/>
    <col min="2597" max="2597" width="11.85546875" style="157" bestFit="1" customWidth="1"/>
    <col min="2598" max="2601" width="15.42578125" style="157" bestFit="1" customWidth="1"/>
    <col min="2602" max="2602" width="13.7109375" style="157" bestFit="1" customWidth="1"/>
    <col min="2603" max="2603" width="17.7109375" style="157" bestFit="1" customWidth="1"/>
    <col min="2604" max="2818" width="9.140625" style="157"/>
    <col min="2819" max="2819" width="20.42578125" style="157" bestFit="1" customWidth="1"/>
    <col min="2820" max="2820" width="9.42578125" style="157" customWidth="1"/>
    <col min="2821" max="2821" width="8" style="157" customWidth="1"/>
    <col min="2822" max="2822" width="12.5703125" style="157" customWidth="1"/>
    <col min="2823" max="2823" width="7.140625" style="157" customWidth="1"/>
    <col min="2824" max="2824" width="54.28515625" style="157" customWidth="1"/>
    <col min="2825" max="2825" width="11.85546875" style="157" bestFit="1" customWidth="1"/>
    <col min="2826" max="2826" width="11.85546875" style="157" customWidth="1"/>
    <col min="2827" max="2830" width="15.42578125" style="157" bestFit="1" customWidth="1"/>
    <col min="2831" max="2831" width="10.5703125" style="157" bestFit="1" customWidth="1"/>
    <col min="2832" max="2832" width="13.28515625" style="157" bestFit="1" customWidth="1"/>
    <col min="2833" max="2833" width="2.7109375" style="157" customWidth="1"/>
    <col min="2834" max="2834" width="12.42578125" style="157" bestFit="1" customWidth="1"/>
    <col min="2835" max="2835" width="11.85546875" style="157" bestFit="1" customWidth="1"/>
    <col min="2836" max="2839" width="15.42578125" style="157" bestFit="1" customWidth="1"/>
    <col min="2840" max="2840" width="10.5703125" style="157" bestFit="1" customWidth="1"/>
    <col min="2841" max="2841" width="17.7109375" style="157" bestFit="1" customWidth="1"/>
    <col min="2842" max="2842" width="2.7109375" style="157" customWidth="1"/>
    <col min="2843" max="2843" width="12.42578125" style="157" bestFit="1" customWidth="1"/>
    <col min="2844" max="2844" width="11.85546875" style="157" bestFit="1" customWidth="1"/>
    <col min="2845" max="2848" width="15.42578125" style="157" bestFit="1" customWidth="1"/>
    <col min="2849" max="2849" width="13.7109375" style="157" bestFit="1" customWidth="1"/>
    <col min="2850" max="2850" width="13.28515625" style="157" bestFit="1" customWidth="1"/>
    <col min="2851" max="2851" width="2.7109375" style="157" customWidth="1"/>
    <col min="2852" max="2852" width="10.7109375" style="157" customWidth="1"/>
    <col min="2853" max="2853" width="11.85546875" style="157" bestFit="1" customWidth="1"/>
    <col min="2854" max="2857" width="15.42578125" style="157" bestFit="1" customWidth="1"/>
    <col min="2858" max="2858" width="13.7109375" style="157" bestFit="1" customWidth="1"/>
    <col min="2859" max="2859" width="17.7109375" style="157" bestFit="1" customWidth="1"/>
    <col min="2860" max="3074" width="9.140625" style="157"/>
    <col min="3075" max="3075" width="20.42578125" style="157" bestFit="1" customWidth="1"/>
    <col min="3076" max="3076" width="9.42578125" style="157" customWidth="1"/>
    <col min="3077" max="3077" width="8" style="157" customWidth="1"/>
    <col min="3078" max="3078" width="12.5703125" style="157" customWidth="1"/>
    <col min="3079" max="3079" width="7.140625" style="157" customWidth="1"/>
    <col min="3080" max="3080" width="54.28515625" style="157" customWidth="1"/>
    <col min="3081" max="3081" width="11.85546875" style="157" bestFit="1" customWidth="1"/>
    <col min="3082" max="3082" width="11.85546875" style="157" customWidth="1"/>
    <col min="3083" max="3086" width="15.42578125" style="157" bestFit="1" customWidth="1"/>
    <col min="3087" max="3087" width="10.5703125" style="157" bestFit="1" customWidth="1"/>
    <col min="3088" max="3088" width="13.28515625" style="157" bestFit="1" customWidth="1"/>
    <col min="3089" max="3089" width="2.7109375" style="157" customWidth="1"/>
    <col min="3090" max="3090" width="12.42578125" style="157" bestFit="1" customWidth="1"/>
    <col min="3091" max="3091" width="11.85546875" style="157" bestFit="1" customWidth="1"/>
    <col min="3092" max="3095" width="15.42578125" style="157" bestFit="1" customWidth="1"/>
    <col min="3096" max="3096" width="10.5703125" style="157" bestFit="1" customWidth="1"/>
    <col min="3097" max="3097" width="17.7109375" style="157" bestFit="1" customWidth="1"/>
    <col min="3098" max="3098" width="2.7109375" style="157" customWidth="1"/>
    <col min="3099" max="3099" width="12.42578125" style="157" bestFit="1" customWidth="1"/>
    <col min="3100" max="3100" width="11.85546875" style="157" bestFit="1" customWidth="1"/>
    <col min="3101" max="3104" width="15.42578125" style="157" bestFit="1" customWidth="1"/>
    <col min="3105" max="3105" width="13.7109375" style="157" bestFit="1" customWidth="1"/>
    <col min="3106" max="3106" width="13.28515625" style="157" bestFit="1" customWidth="1"/>
    <col min="3107" max="3107" width="2.7109375" style="157" customWidth="1"/>
    <col min="3108" max="3108" width="10.7109375" style="157" customWidth="1"/>
    <col min="3109" max="3109" width="11.85546875" style="157" bestFit="1" customWidth="1"/>
    <col min="3110" max="3113" width="15.42578125" style="157" bestFit="1" customWidth="1"/>
    <col min="3114" max="3114" width="13.7109375" style="157" bestFit="1" customWidth="1"/>
    <col min="3115" max="3115" width="17.7109375" style="157" bestFit="1" customWidth="1"/>
    <col min="3116" max="3330" width="9.140625" style="157"/>
    <col min="3331" max="3331" width="20.42578125" style="157" bestFit="1" customWidth="1"/>
    <col min="3332" max="3332" width="9.42578125" style="157" customWidth="1"/>
    <col min="3333" max="3333" width="8" style="157" customWidth="1"/>
    <col min="3334" max="3334" width="12.5703125" style="157" customWidth="1"/>
    <col min="3335" max="3335" width="7.140625" style="157" customWidth="1"/>
    <col min="3336" max="3336" width="54.28515625" style="157" customWidth="1"/>
    <col min="3337" max="3337" width="11.85546875" style="157" bestFit="1" customWidth="1"/>
    <col min="3338" max="3338" width="11.85546875" style="157" customWidth="1"/>
    <col min="3339" max="3342" width="15.42578125" style="157" bestFit="1" customWidth="1"/>
    <col min="3343" max="3343" width="10.5703125" style="157" bestFit="1" customWidth="1"/>
    <col min="3344" max="3344" width="13.28515625" style="157" bestFit="1" customWidth="1"/>
    <col min="3345" max="3345" width="2.7109375" style="157" customWidth="1"/>
    <col min="3346" max="3346" width="12.42578125" style="157" bestFit="1" customWidth="1"/>
    <col min="3347" max="3347" width="11.85546875" style="157" bestFit="1" customWidth="1"/>
    <col min="3348" max="3351" width="15.42578125" style="157" bestFit="1" customWidth="1"/>
    <col min="3352" max="3352" width="10.5703125" style="157" bestFit="1" customWidth="1"/>
    <col min="3353" max="3353" width="17.7109375" style="157" bestFit="1" customWidth="1"/>
    <col min="3354" max="3354" width="2.7109375" style="157" customWidth="1"/>
    <col min="3355" max="3355" width="12.42578125" style="157" bestFit="1" customWidth="1"/>
    <col min="3356" max="3356" width="11.85546875" style="157" bestFit="1" customWidth="1"/>
    <col min="3357" max="3360" width="15.42578125" style="157" bestFit="1" customWidth="1"/>
    <col min="3361" max="3361" width="13.7109375" style="157" bestFit="1" customWidth="1"/>
    <col min="3362" max="3362" width="13.28515625" style="157" bestFit="1" customWidth="1"/>
    <col min="3363" max="3363" width="2.7109375" style="157" customWidth="1"/>
    <col min="3364" max="3364" width="10.7109375" style="157" customWidth="1"/>
    <col min="3365" max="3365" width="11.85546875" style="157" bestFit="1" customWidth="1"/>
    <col min="3366" max="3369" width="15.42578125" style="157" bestFit="1" customWidth="1"/>
    <col min="3370" max="3370" width="13.7109375" style="157" bestFit="1" customWidth="1"/>
    <col min="3371" max="3371" width="17.7109375" style="157" bestFit="1" customWidth="1"/>
    <col min="3372" max="3586" width="9.140625" style="157"/>
    <col min="3587" max="3587" width="20.42578125" style="157" bestFit="1" customWidth="1"/>
    <col min="3588" max="3588" width="9.42578125" style="157" customWidth="1"/>
    <col min="3589" max="3589" width="8" style="157" customWidth="1"/>
    <col min="3590" max="3590" width="12.5703125" style="157" customWidth="1"/>
    <col min="3591" max="3591" width="7.140625" style="157" customWidth="1"/>
    <col min="3592" max="3592" width="54.28515625" style="157" customWidth="1"/>
    <col min="3593" max="3593" width="11.85546875" style="157" bestFit="1" customWidth="1"/>
    <col min="3594" max="3594" width="11.85546875" style="157" customWidth="1"/>
    <col min="3595" max="3598" width="15.42578125" style="157" bestFit="1" customWidth="1"/>
    <col min="3599" max="3599" width="10.5703125" style="157" bestFit="1" customWidth="1"/>
    <col min="3600" max="3600" width="13.28515625" style="157" bestFit="1" customWidth="1"/>
    <col min="3601" max="3601" width="2.7109375" style="157" customWidth="1"/>
    <col min="3602" max="3602" width="12.42578125" style="157" bestFit="1" customWidth="1"/>
    <col min="3603" max="3603" width="11.85546875" style="157" bestFit="1" customWidth="1"/>
    <col min="3604" max="3607" width="15.42578125" style="157" bestFit="1" customWidth="1"/>
    <col min="3608" max="3608" width="10.5703125" style="157" bestFit="1" customWidth="1"/>
    <col min="3609" max="3609" width="17.7109375" style="157" bestFit="1" customWidth="1"/>
    <col min="3610" max="3610" width="2.7109375" style="157" customWidth="1"/>
    <col min="3611" max="3611" width="12.42578125" style="157" bestFit="1" customWidth="1"/>
    <col min="3612" max="3612" width="11.85546875" style="157" bestFit="1" customWidth="1"/>
    <col min="3613" max="3616" width="15.42578125" style="157" bestFit="1" customWidth="1"/>
    <col min="3617" max="3617" width="13.7109375" style="157" bestFit="1" customWidth="1"/>
    <col min="3618" max="3618" width="13.28515625" style="157" bestFit="1" customWidth="1"/>
    <col min="3619" max="3619" width="2.7109375" style="157" customWidth="1"/>
    <col min="3620" max="3620" width="10.7109375" style="157" customWidth="1"/>
    <col min="3621" max="3621" width="11.85546875" style="157" bestFit="1" customWidth="1"/>
    <col min="3622" max="3625" width="15.42578125" style="157" bestFit="1" customWidth="1"/>
    <col min="3626" max="3626" width="13.7109375" style="157" bestFit="1" customWidth="1"/>
    <col min="3627" max="3627" width="17.7109375" style="157" bestFit="1" customWidth="1"/>
    <col min="3628" max="3842" width="9.140625" style="157"/>
    <col min="3843" max="3843" width="20.42578125" style="157" bestFit="1" customWidth="1"/>
    <col min="3844" max="3844" width="9.42578125" style="157" customWidth="1"/>
    <col min="3845" max="3845" width="8" style="157" customWidth="1"/>
    <col min="3846" max="3846" width="12.5703125" style="157" customWidth="1"/>
    <col min="3847" max="3847" width="7.140625" style="157" customWidth="1"/>
    <col min="3848" max="3848" width="54.28515625" style="157" customWidth="1"/>
    <col min="3849" max="3849" width="11.85546875" style="157" bestFit="1" customWidth="1"/>
    <col min="3850" max="3850" width="11.85546875" style="157" customWidth="1"/>
    <col min="3851" max="3854" width="15.42578125" style="157" bestFit="1" customWidth="1"/>
    <col min="3855" max="3855" width="10.5703125" style="157" bestFit="1" customWidth="1"/>
    <col min="3856" max="3856" width="13.28515625" style="157" bestFit="1" customWidth="1"/>
    <col min="3857" max="3857" width="2.7109375" style="157" customWidth="1"/>
    <col min="3858" max="3858" width="12.42578125" style="157" bestFit="1" customWidth="1"/>
    <col min="3859" max="3859" width="11.85546875" style="157" bestFit="1" customWidth="1"/>
    <col min="3860" max="3863" width="15.42578125" style="157" bestFit="1" customWidth="1"/>
    <col min="3864" max="3864" width="10.5703125" style="157" bestFit="1" customWidth="1"/>
    <col min="3865" max="3865" width="17.7109375" style="157" bestFit="1" customWidth="1"/>
    <col min="3866" max="3866" width="2.7109375" style="157" customWidth="1"/>
    <col min="3867" max="3867" width="12.42578125" style="157" bestFit="1" customWidth="1"/>
    <col min="3868" max="3868" width="11.85546875" style="157" bestFit="1" customWidth="1"/>
    <col min="3869" max="3872" width="15.42578125" style="157" bestFit="1" customWidth="1"/>
    <col min="3873" max="3873" width="13.7109375" style="157" bestFit="1" customWidth="1"/>
    <col min="3874" max="3874" width="13.28515625" style="157" bestFit="1" customWidth="1"/>
    <col min="3875" max="3875" width="2.7109375" style="157" customWidth="1"/>
    <col min="3876" max="3876" width="10.7109375" style="157" customWidth="1"/>
    <col min="3877" max="3877" width="11.85546875" style="157" bestFit="1" customWidth="1"/>
    <col min="3878" max="3881" width="15.42578125" style="157" bestFit="1" customWidth="1"/>
    <col min="3882" max="3882" width="13.7109375" style="157" bestFit="1" customWidth="1"/>
    <col min="3883" max="3883" width="17.7109375" style="157" bestFit="1" customWidth="1"/>
    <col min="3884" max="4098" width="9.140625" style="157"/>
    <col min="4099" max="4099" width="20.42578125" style="157" bestFit="1" customWidth="1"/>
    <col min="4100" max="4100" width="9.42578125" style="157" customWidth="1"/>
    <col min="4101" max="4101" width="8" style="157" customWidth="1"/>
    <col min="4102" max="4102" width="12.5703125" style="157" customWidth="1"/>
    <col min="4103" max="4103" width="7.140625" style="157" customWidth="1"/>
    <col min="4104" max="4104" width="54.28515625" style="157" customWidth="1"/>
    <col min="4105" max="4105" width="11.85546875" style="157" bestFit="1" customWidth="1"/>
    <col min="4106" max="4106" width="11.85546875" style="157" customWidth="1"/>
    <col min="4107" max="4110" width="15.42578125" style="157" bestFit="1" customWidth="1"/>
    <col min="4111" max="4111" width="10.5703125" style="157" bestFit="1" customWidth="1"/>
    <col min="4112" max="4112" width="13.28515625" style="157" bestFit="1" customWidth="1"/>
    <col min="4113" max="4113" width="2.7109375" style="157" customWidth="1"/>
    <col min="4114" max="4114" width="12.42578125" style="157" bestFit="1" customWidth="1"/>
    <col min="4115" max="4115" width="11.85546875" style="157" bestFit="1" customWidth="1"/>
    <col min="4116" max="4119" width="15.42578125" style="157" bestFit="1" customWidth="1"/>
    <col min="4120" max="4120" width="10.5703125" style="157" bestFit="1" customWidth="1"/>
    <col min="4121" max="4121" width="17.7109375" style="157" bestFit="1" customWidth="1"/>
    <col min="4122" max="4122" width="2.7109375" style="157" customWidth="1"/>
    <col min="4123" max="4123" width="12.42578125" style="157" bestFit="1" customWidth="1"/>
    <col min="4124" max="4124" width="11.85546875" style="157" bestFit="1" customWidth="1"/>
    <col min="4125" max="4128" width="15.42578125" style="157" bestFit="1" customWidth="1"/>
    <col min="4129" max="4129" width="13.7109375" style="157" bestFit="1" customWidth="1"/>
    <col min="4130" max="4130" width="13.28515625" style="157" bestFit="1" customWidth="1"/>
    <col min="4131" max="4131" width="2.7109375" style="157" customWidth="1"/>
    <col min="4132" max="4132" width="10.7109375" style="157" customWidth="1"/>
    <col min="4133" max="4133" width="11.85546875" style="157" bestFit="1" customWidth="1"/>
    <col min="4134" max="4137" width="15.42578125" style="157" bestFit="1" customWidth="1"/>
    <col min="4138" max="4138" width="13.7109375" style="157" bestFit="1" customWidth="1"/>
    <col min="4139" max="4139" width="17.7109375" style="157" bestFit="1" customWidth="1"/>
    <col min="4140" max="4354" width="9.140625" style="157"/>
    <col min="4355" max="4355" width="20.42578125" style="157" bestFit="1" customWidth="1"/>
    <col min="4356" max="4356" width="9.42578125" style="157" customWidth="1"/>
    <col min="4357" max="4357" width="8" style="157" customWidth="1"/>
    <col min="4358" max="4358" width="12.5703125" style="157" customWidth="1"/>
    <col min="4359" max="4359" width="7.140625" style="157" customWidth="1"/>
    <col min="4360" max="4360" width="54.28515625" style="157" customWidth="1"/>
    <col min="4361" max="4361" width="11.85546875" style="157" bestFit="1" customWidth="1"/>
    <col min="4362" max="4362" width="11.85546875" style="157" customWidth="1"/>
    <col min="4363" max="4366" width="15.42578125" style="157" bestFit="1" customWidth="1"/>
    <col min="4367" max="4367" width="10.5703125" style="157" bestFit="1" customWidth="1"/>
    <col min="4368" max="4368" width="13.28515625" style="157" bestFit="1" customWidth="1"/>
    <col min="4369" max="4369" width="2.7109375" style="157" customWidth="1"/>
    <col min="4370" max="4370" width="12.42578125" style="157" bestFit="1" customWidth="1"/>
    <col min="4371" max="4371" width="11.85546875" style="157" bestFit="1" customWidth="1"/>
    <col min="4372" max="4375" width="15.42578125" style="157" bestFit="1" customWidth="1"/>
    <col min="4376" max="4376" width="10.5703125" style="157" bestFit="1" customWidth="1"/>
    <col min="4377" max="4377" width="17.7109375" style="157" bestFit="1" customWidth="1"/>
    <col min="4378" max="4378" width="2.7109375" style="157" customWidth="1"/>
    <col min="4379" max="4379" width="12.42578125" style="157" bestFit="1" customWidth="1"/>
    <col min="4380" max="4380" width="11.85546875" style="157" bestFit="1" customWidth="1"/>
    <col min="4381" max="4384" width="15.42578125" style="157" bestFit="1" customWidth="1"/>
    <col min="4385" max="4385" width="13.7109375" style="157" bestFit="1" customWidth="1"/>
    <col min="4386" max="4386" width="13.28515625" style="157" bestFit="1" customWidth="1"/>
    <col min="4387" max="4387" width="2.7109375" style="157" customWidth="1"/>
    <col min="4388" max="4388" width="10.7109375" style="157" customWidth="1"/>
    <col min="4389" max="4389" width="11.85546875" style="157" bestFit="1" customWidth="1"/>
    <col min="4390" max="4393" width="15.42578125" style="157" bestFit="1" customWidth="1"/>
    <col min="4394" max="4394" width="13.7109375" style="157" bestFit="1" customWidth="1"/>
    <col min="4395" max="4395" width="17.7109375" style="157" bestFit="1" customWidth="1"/>
    <col min="4396" max="4610" width="9.140625" style="157"/>
    <col min="4611" max="4611" width="20.42578125" style="157" bestFit="1" customWidth="1"/>
    <col min="4612" max="4612" width="9.42578125" style="157" customWidth="1"/>
    <col min="4613" max="4613" width="8" style="157" customWidth="1"/>
    <col min="4614" max="4614" width="12.5703125" style="157" customWidth="1"/>
    <col min="4615" max="4615" width="7.140625" style="157" customWidth="1"/>
    <col min="4616" max="4616" width="54.28515625" style="157" customWidth="1"/>
    <col min="4617" max="4617" width="11.85546875" style="157" bestFit="1" customWidth="1"/>
    <col min="4618" max="4618" width="11.85546875" style="157" customWidth="1"/>
    <col min="4619" max="4622" width="15.42578125" style="157" bestFit="1" customWidth="1"/>
    <col min="4623" max="4623" width="10.5703125" style="157" bestFit="1" customWidth="1"/>
    <col min="4624" max="4624" width="13.28515625" style="157" bestFit="1" customWidth="1"/>
    <col min="4625" max="4625" width="2.7109375" style="157" customWidth="1"/>
    <col min="4626" max="4626" width="12.42578125" style="157" bestFit="1" customWidth="1"/>
    <col min="4627" max="4627" width="11.85546875" style="157" bestFit="1" customWidth="1"/>
    <col min="4628" max="4631" width="15.42578125" style="157" bestFit="1" customWidth="1"/>
    <col min="4632" max="4632" width="10.5703125" style="157" bestFit="1" customWidth="1"/>
    <col min="4633" max="4633" width="17.7109375" style="157" bestFit="1" customWidth="1"/>
    <col min="4634" max="4634" width="2.7109375" style="157" customWidth="1"/>
    <col min="4635" max="4635" width="12.42578125" style="157" bestFit="1" customWidth="1"/>
    <col min="4636" max="4636" width="11.85546875" style="157" bestFit="1" customWidth="1"/>
    <col min="4637" max="4640" width="15.42578125" style="157" bestFit="1" customWidth="1"/>
    <col min="4641" max="4641" width="13.7109375" style="157" bestFit="1" customWidth="1"/>
    <col min="4642" max="4642" width="13.28515625" style="157" bestFit="1" customWidth="1"/>
    <col min="4643" max="4643" width="2.7109375" style="157" customWidth="1"/>
    <col min="4644" max="4644" width="10.7109375" style="157" customWidth="1"/>
    <col min="4645" max="4645" width="11.85546875" style="157" bestFit="1" customWidth="1"/>
    <col min="4646" max="4649" width="15.42578125" style="157" bestFit="1" customWidth="1"/>
    <col min="4650" max="4650" width="13.7109375" style="157" bestFit="1" customWidth="1"/>
    <col min="4651" max="4651" width="17.7109375" style="157" bestFit="1" customWidth="1"/>
    <col min="4652" max="4866" width="9.140625" style="157"/>
    <col min="4867" max="4867" width="20.42578125" style="157" bestFit="1" customWidth="1"/>
    <col min="4868" max="4868" width="9.42578125" style="157" customWidth="1"/>
    <col min="4869" max="4869" width="8" style="157" customWidth="1"/>
    <col min="4870" max="4870" width="12.5703125" style="157" customWidth="1"/>
    <col min="4871" max="4871" width="7.140625" style="157" customWidth="1"/>
    <col min="4872" max="4872" width="54.28515625" style="157" customWidth="1"/>
    <col min="4873" max="4873" width="11.85546875" style="157" bestFit="1" customWidth="1"/>
    <col min="4874" max="4874" width="11.85546875" style="157" customWidth="1"/>
    <col min="4875" max="4878" width="15.42578125" style="157" bestFit="1" customWidth="1"/>
    <col min="4879" max="4879" width="10.5703125" style="157" bestFit="1" customWidth="1"/>
    <col min="4880" max="4880" width="13.28515625" style="157" bestFit="1" customWidth="1"/>
    <col min="4881" max="4881" width="2.7109375" style="157" customWidth="1"/>
    <col min="4882" max="4882" width="12.42578125" style="157" bestFit="1" customWidth="1"/>
    <col min="4883" max="4883" width="11.85546875" style="157" bestFit="1" customWidth="1"/>
    <col min="4884" max="4887" width="15.42578125" style="157" bestFit="1" customWidth="1"/>
    <col min="4888" max="4888" width="10.5703125" style="157" bestFit="1" customWidth="1"/>
    <col min="4889" max="4889" width="17.7109375" style="157" bestFit="1" customWidth="1"/>
    <col min="4890" max="4890" width="2.7109375" style="157" customWidth="1"/>
    <col min="4891" max="4891" width="12.42578125" style="157" bestFit="1" customWidth="1"/>
    <col min="4892" max="4892" width="11.85546875" style="157" bestFit="1" customWidth="1"/>
    <col min="4893" max="4896" width="15.42578125" style="157" bestFit="1" customWidth="1"/>
    <col min="4897" max="4897" width="13.7109375" style="157" bestFit="1" customWidth="1"/>
    <col min="4898" max="4898" width="13.28515625" style="157" bestFit="1" customWidth="1"/>
    <col min="4899" max="4899" width="2.7109375" style="157" customWidth="1"/>
    <col min="4900" max="4900" width="10.7109375" style="157" customWidth="1"/>
    <col min="4901" max="4901" width="11.85546875" style="157" bestFit="1" customWidth="1"/>
    <col min="4902" max="4905" width="15.42578125" style="157" bestFit="1" customWidth="1"/>
    <col min="4906" max="4906" width="13.7109375" style="157" bestFit="1" customWidth="1"/>
    <col min="4907" max="4907" width="17.7109375" style="157" bestFit="1" customWidth="1"/>
    <col min="4908" max="5122" width="9.140625" style="157"/>
    <col min="5123" max="5123" width="20.42578125" style="157" bestFit="1" customWidth="1"/>
    <col min="5124" max="5124" width="9.42578125" style="157" customWidth="1"/>
    <col min="5125" max="5125" width="8" style="157" customWidth="1"/>
    <col min="5126" max="5126" width="12.5703125" style="157" customWidth="1"/>
    <col min="5127" max="5127" width="7.140625" style="157" customWidth="1"/>
    <col min="5128" max="5128" width="54.28515625" style="157" customWidth="1"/>
    <col min="5129" max="5129" width="11.85546875" style="157" bestFit="1" customWidth="1"/>
    <col min="5130" max="5130" width="11.85546875" style="157" customWidth="1"/>
    <col min="5131" max="5134" width="15.42578125" style="157" bestFit="1" customWidth="1"/>
    <col min="5135" max="5135" width="10.5703125" style="157" bestFit="1" customWidth="1"/>
    <col min="5136" max="5136" width="13.28515625" style="157" bestFit="1" customWidth="1"/>
    <col min="5137" max="5137" width="2.7109375" style="157" customWidth="1"/>
    <col min="5138" max="5138" width="12.42578125" style="157" bestFit="1" customWidth="1"/>
    <col min="5139" max="5139" width="11.85546875" style="157" bestFit="1" customWidth="1"/>
    <col min="5140" max="5143" width="15.42578125" style="157" bestFit="1" customWidth="1"/>
    <col min="5144" max="5144" width="10.5703125" style="157" bestFit="1" customWidth="1"/>
    <col min="5145" max="5145" width="17.7109375" style="157" bestFit="1" customWidth="1"/>
    <col min="5146" max="5146" width="2.7109375" style="157" customWidth="1"/>
    <col min="5147" max="5147" width="12.42578125" style="157" bestFit="1" customWidth="1"/>
    <col min="5148" max="5148" width="11.85546875" style="157" bestFit="1" customWidth="1"/>
    <col min="5149" max="5152" width="15.42578125" style="157" bestFit="1" customWidth="1"/>
    <col min="5153" max="5153" width="13.7109375" style="157" bestFit="1" customWidth="1"/>
    <col min="5154" max="5154" width="13.28515625" style="157" bestFit="1" customWidth="1"/>
    <col min="5155" max="5155" width="2.7109375" style="157" customWidth="1"/>
    <col min="5156" max="5156" width="10.7109375" style="157" customWidth="1"/>
    <col min="5157" max="5157" width="11.85546875" style="157" bestFit="1" customWidth="1"/>
    <col min="5158" max="5161" width="15.42578125" style="157" bestFit="1" customWidth="1"/>
    <col min="5162" max="5162" width="13.7109375" style="157" bestFit="1" customWidth="1"/>
    <col min="5163" max="5163" width="17.7109375" style="157" bestFit="1" customWidth="1"/>
    <col min="5164" max="5378" width="9.140625" style="157"/>
    <col min="5379" max="5379" width="20.42578125" style="157" bestFit="1" customWidth="1"/>
    <col min="5380" max="5380" width="9.42578125" style="157" customWidth="1"/>
    <col min="5381" max="5381" width="8" style="157" customWidth="1"/>
    <col min="5382" max="5382" width="12.5703125" style="157" customWidth="1"/>
    <col min="5383" max="5383" width="7.140625" style="157" customWidth="1"/>
    <col min="5384" max="5384" width="54.28515625" style="157" customWidth="1"/>
    <col min="5385" max="5385" width="11.85546875" style="157" bestFit="1" customWidth="1"/>
    <col min="5386" max="5386" width="11.85546875" style="157" customWidth="1"/>
    <col min="5387" max="5390" width="15.42578125" style="157" bestFit="1" customWidth="1"/>
    <col min="5391" max="5391" width="10.5703125" style="157" bestFit="1" customWidth="1"/>
    <col min="5392" max="5392" width="13.28515625" style="157" bestFit="1" customWidth="1"/>
    <col min="5393" max="5393" width="2.7109375" style="157" customWidth="1"/>
    <col min="5394" max="5394" width="12.42578125" style="157" bestFit="1" customWidth="1"/>
    <col min="5395" max="5395" width="11.85546875" style="157" bestFit="1" customWidth="1"/>
    <col min="5396" max="5399" width="15.42578125" style="157" bestFit="1" customWidth="1"/>
    <col min="5400" max="5400" width="10.5703125" style="157" bestFit="1" customWidth="1"/>
    <col min="5401" max="5401" width="17.7109375" style="157" bestFit="1" customWidth="1"/>
    <col min="5402" max="5402" width="2.7109375" style="157" customWidth="1"/>
    <col min="5403" max="5403" width="12.42578125" style="157" bestFit="1" customWidth="1"/>
    <col min="5404" max="5404" width="11.85546875" style="157" bestFit="1" customWidth="1"/>
    <col min="5405" max="5408" width="15.42578125" style="157" bestFit="1" customWidth="1"/>
    <col min="5409" max="5409" width="13.7109375" style="157" bestFit="1" customWidth="1"/>
    <col min="5410" max="5410" width="13.28515625" style="157" bestFit="1" customWidth="1"/>
    <col min="5411" max="5411" width="2.7109375" style="157" customWidth="1"/>
    <col min="5412" max="5412" width="10.7109375" style="157" customWidth="1"/>
    <col min="5413" max="5413" width="11.85546875" style="157" bestFit="1" customWidth="1"/>
    <col min="5414" max="5417" width="15.42578125" style="157" bestFit="1" customWidth="1"/>
    <col min="5418" max="5418" width="13.7109375" style="157" bestFit="1" customWidth="1"/>
    <col min="5419" max="5419" width="17.7109375" style="157" bestFit="1" customWidth="1"/>
    <col min="5420" max="5634" width="9.140625" style="157"/>
    <col min="5635" max="5635" width="20.42578125" style="157" bestFit="1" customWidth="1"/>
    <col min="5636" max="5636" width="9.42578125" style="157" customWidth="1"/>
    <col min="5637" max="5637" width="8" style="157" customWidth="1"/>
    <col min="5638" max="5638" width="12.5703125" style="157" customWidth="1"/>
    <col min="5639" max="5639" width="7.140625" style="157" customWidth="1"/>
    <col min="5640" max="5640" width="54.28515625" style="157" customWidth="1"/>
    <col min="5641" max="5641" width="11.85546875" style="157" bestFit="1" customWidth="1"/>
    <col min="5642" max="5642" width="11.85546875" style="157" customWidth="1"/>
    <col min="5643" max="5646" width="15.42578125" style="157" bestFit="1" customWidth="1"/>
    <col min="5647" max="5647" width="10.5703125" style="157" bestFit="1" customWidth="1"/>
    <col min="5648" max="5648" width="13.28515625" style="157" bestFit="1" customWidth="1"/>
    <col min="5649" max="5649" width="2.7109375" style="157" customWidth="1"/>
    <col min="5650" max="5650" width="12.42578125" style="157" bestFit="1" customWidth="1"/>
    <col min="5651" max="5651" width="11.85546875" style="157" bestFit="1" customWidth="1"/>
    <col min="5652" max="5655" width="15.42578125" style="157" bestFit="1" customWidth="1"/>
    <col min="5656" max="5656" width="10.5703125" style="157" bestFit="1" customWidth="1"/>
    <col min="5657" max="5657" width="17.7109375" style="157" bestFit="1" customWidth="1"/>
    <col min="5658" max="5658" width="2.7109375" style="157" customWidth="1"/>
    <col min="5659" max="5659" width="12.42578125" style="157" bestFit="1" customWidth="1"/>
    <col min="5660" max="5660" width="11.85546875" style="157" bestFit="1" customWidth="1"/>
    <col min="5661" max="5664" width="15.42578125" style="157" bestFit="1" customWidth="1"/>
    <col min="5665" max="5665" width="13.7109375" style="157" bestFit="1" customWidth="1"/>
    <col min="5666" max="5666" width="13.28515625" style="157" bestFit="1" customWidth="1"/>
    <col min="5667" max="5667" width="2.7109375" style="157" customWidth="1"/>
    <col min="5668" max="5668" width="10.7109375" style="157" customWidth="1"/>
    <col min="5669" max="5669" width="11.85546875" style="157" bestFit="1" customWidth="1"/>
    <col min="5670" max="5673" width="15.42578125" style="157" bestFit="1" customWidth="1"/>
    <col min="5674" max="5674" width="13.7109375" style="157" bestFit="1" customWidth="1"/>
    <col min="5675" max="5675" width="17.7109375" style="157" bestFit="1" customWidth="1"/>
    <col min="5676" max="5890" width="9.140625" style="157"/>
    <col min="5891" max="5891" width="20.42578125" style="157" bestFit="1" customWidth="1"/>
    <col min="5892" max="5892" width="9.42578125" style="157" customWidth="1"/>
    <col min="5893" max="5893" width="8" style="157" customWidth="1"/>
    <col min="5894" max="5894" width="12.5703125" style="157" customWidth="1"/>
    <col min="5895" max="5895" width="7.140625" style="157" customWidth="1"/>
    <col min="5896" max="5896" width="54.28515625" style="157" customWidth="1"/>
    <col min="5897" max="5897" width="11.85546875" style="157" bestFit="1" customWidth="1"/>
    <col min="5898" max="5898" width="11.85546875" style="157" customWidth="1"/>
    <col min="5899" max="5902" width="15.42578125" style="157" bestFit="1" customWidth="1"/>
    <col min="5903" max="5903" width="10.5703125" style="157" bestFit="1" customWidth="1"/>
    <col min="5904" max="5904" width="13.28515625" style="157" bestFit="1" customWidth="1"/>
    <col min="5905" max="5905" width="2.7109375" style="157" customWidth="1"/>
    <col min="5906" max="5906" width="12.42578125" style="157" bestFit="1" customWidth="1"/>
    <col min="5907" max="5907" width="11.85546875" style="157" bestFit="1" customWidth="1"/>
    <col min="5908" max="5911" width="15.42578125" style="157" bestFit="1" customWidth="1"/>
    <col min="5912" max="5912" width="10.5703125" style="157" bestFit="1" customWidth="1"/>
    <col min="5913" max="5913" width="17.7109375" style="157" bestFit="1" customWidth="1"/>
    <col min="5914" max="5914" width="2.7109375" style="157" customWidth="1"/>
    <col min="5915" max="5915" width="12.42578125" style="157" bestFit="1" customWidth="1"/>
    <col min="5916" max="5916" width="11.85546875" style="157" bestFit="1" customWidth="1"/>
    <col min="5917" max="5920" width="15.42578125" style="157" bestFit="1" customWidth="1"/>
    <col min="5921" max="5921" width="13.7109375" style="157" bestFit="1" customWidth="1"/>
    <col min="5922" max="5922" width="13.28515625" style="157" bestFit="1" customWidth="1"/>
    <col min="5923" max="5923" width="2.7109375" style="157" customWidth="1"/>
    <col min="5924" max="5924" width="10.7109375" style="157" customWidth="1"/>
    <col min="5925" max="5925" width="11.85546875" style="157" bestFit="1" customWidth="1"/>
    <col min="5926" max="5929" width="15.42578125" style="157" bestFit="1" customWidth="1"/>
    <col min="5930" max="5930" width="13.7109375" style="157" bestFit="1" customWidth="1"/>
    <col min="5931" max="5931" width="17.7109375" style="157" bestFit="1" customWidth="1"/>
    <col min="5932" max="6146" width="9.140625" style="157"/>
    <col min="6147" max="6147" width="20.42578125" style="157" bestFit="1" customWidth="1"/>
    <col min="6148" max="6148" width="9.42578125" style="157" customWidth="1"/>
    <col min="6149" max="6149" width="8" style="157" customWidth="1"/>
    <col min="6150" max="6150" width="12.5703125" style="157" customWidth="1"/>
    <col min="6151" max="6151" width="7.140625" style="157" customWidth="1"/>
    <col min="6152" max="6152" width="54.28515625" style="157" customWidth="1"/>
    <col min="6153" max="6153" width="11.85546875" style="157" bestFit="1" customWidth="1"/>
    <col min="6154" max="6154" width="11.85546875" style="157" customWidth="1"/>
    <col min="6155" max="6158" width="15.42578125" style="157" bestFit="1" customWidth="1"/>
    <col min="6159" max="6159" width="10.5703125" style="157" bestFit="1" customWidth="1"/>
    <col min="6160" max="6160" width="13.28515625" style="157" bestFit="1" customWidth="1"/>
    <col min="6161" max="6161" width="2.7109375" style="157" customWidth="1"/>
    <col min="6162" max="6162" width="12.42578125" style="157" bestFit="1" customWidth="1"/>
    <col min="6163" max="6163" width="11.85546875" style="157" bestFit="1" customWidth="1"/>
    <col min="6164" max="6167" width="15.42578125" style="157" bestFit="1" customWidth="1"/>
    <col min="6168" max="6168" width="10.5703125" style="157" bestFit="1" customWidth="1"/>
    <col min="6169" max="6169" width="17.7109375" style="157" bestFit="1" customWidth="1"/>
    <col min="6170" max="6170" width="2.7109375" style="157" customWidth="1"/>
    <col min="6171" max="6171" width="12.42578125" style="157" bestFit="1" customWidth="1"/>
    <col min="6172" max="6172" width="11.85546875" style="157" bestFit="1" customWidth="1"/>
    <col min="6173" max="6176" width="15.42578125" style="157" bestFit="1" customWidth="1"/>
    <col min="6177" max="6177" width="13.7109375" style="157" bestFit="1" customWidth="1"/>
    <col min="6178" max="6178" width="13.28515625" style="157" bestFit="1" customWidth="1"/>
    <col min="6179" max="6179" width="2.7109375" style="157" customWidth="1"/>
    <col min="6180" max="6180" width="10.7109375" style="157" customWidth="1"/>
    <col min="6181" max="6181" width="11.85546875" style="157" bestFit="1" customWidth="1"/>
    <col min="6182" max="6185" width="15.42578125" style="157" bestFit="1" customWidth="1"/>
    <col min="6186" max="6186" width="13.7109375" style="157" bestFit="1" customWidth="1"/>
    <col min="6187" max="6187" width="17.7109375" style="157" bestFit="1" customWidth="1"/>
    <col min="6188" max="6402" width="9.140625" style="157"/>
    <col min="6403" max="6403" width="20.42578125" style="157" bestFit="1" customWidth="1"/>
    <col min="6404" max="6404" width="9.42578125" style="157" customWidth="1"/>
    <col min="6405" max="6405" width="8" style="157" customWidth="1"/>
    <col min="6406" max="6406" width="12.5703125" style="157" customWidth="1"/>
    <col min="6407" max="6407" width="7.140625" style="157" customWidth="1"/>
    <col min="6408" max="6408" width="54.28515625" style="157" customWidth="1"/>
    <col min="6409" max="6409" width="11.85546875" style="157" bestFit="1" customWidth="1"/>
    <col min="6410" max="6410" width="11.85546875" style="157" customWidth="1"/>
    <col min="6411" max="6414" width="15.42578125" style="157" bestFit="1" customWidth="1"/>
    <col min="6415" max="6415" width="10.5703125" style="157" bestFit="1" customWidth="1"/>
    <col min="6416" max="6416" width="13.28515625" style="157" bestFit="1" customWidth="1"/>
    <col min="6417" max="6417" width="2.7109375" style="157" customWidth="1"/>
    <col min="6418" max="6418" width="12.42578125" style="157" bestFit="1" customWidth="1"/>
    <col min="6419" max="6419" width="11.85546875" style="157" bestFit="1" customWidth="1"/>
    <col min="6420" max="6423" width="15.42578125" style="157" bestFit="1" customWidth="1"/>
    <col min="6424" max="6424" width="10.5703125" style="157" bestFit="1" customWidth="1"/>
    <col min="6425" max="6425" width="17.7109375" style="157" bestFit="1" customWidth="1"/>
    <col min="6426" max="6426" width="2.7109375" style="157" customWidth="1"/>
    <col min="6427" max="6427" width="12.42578125" style="157" bestFit="1" customWidth="1"/>
    <col min="6428" max="6428" width="11.85546875" style="157" bestFit="1" customWidth="1"/>
    <col min="6429" max="6432" width="15.42578125" style="157" bestFit="1" customWidth="1"/>
    <col min="6433" max="6433" width="13.7109375" style="157" bestFit="1" customWidth="1"/>
    <col min="6434" max="6434" width="13.28515625" style="157" bestFit="1" customWidth="1"/>
    <col min="6435" max="6435" width="2.7109375" style="157" customWidth="1"/>
    <col min="6436" max="6436" width="10.7109375" style="157" customWidth="1"/>
    <col min="6437" max="6437" width="11.85546875" style="157" bestFit="1" customWidth="1"/>
    <col min="6438" max="6441" width="15.42578125" style="157" bestFit="1" customWidth="1"/>
    <col min="6442" max="6442" width="13.7109375" style="157" bestFit="1" customWidth="1"/>
    <col min="6443" max="6443" width="17.7109375" style="157" bestFit="1" customWidth="1"/>
    <col min="6444" max="6658" width="9.140625" style="157"/>
    <col min="6659" max="6659" width="20.42578125" style="157" bestFit="1" customWidth="1"/>
    <col min="6660" max="6660" width="9.42578125" style="157" customWidth="1"/>
    <col min="6661" max="6661" width="8" style="157" customWidth="1"/>
    <col min="6662" max="6662" width="12.5703125" style="157" customWidth="1"/>
    <col min="6663" max="6663" width="7.140625" style="157" customWidth="1"/>
    <col min="6664" max="6664" width="54.28515625" style="157" customWidth="1"/>
    <col min="6665" max="6665" width="11.85546875" style="157" bestFit="1" customWidth="1"/>
    <col min="6666" max="6666" width="11.85546875" style="157" customWidth="1"/>
    <col min="6667" max="6670" width="15.42578125" style="157" bestFit="1" customWidth="1"/>
    <col min="6671" max="6671" width="10.5703125" style="157" bestFit="1" customWidth="1"/>
    <col min="6672" max="6672" width="13.28515625" style="157" bestFit="1" customWidth="1"/>
    <col min="6673" max="6673" width="2.7109375" style="157" customWidth="1"/>
    <col min="6674" max="6674" width="12.42578125" style="157" bestFit="1" customWidth="1"/>
    <col min="6675" max="6675" width="11.85546875" style="157" bestFit="1" customWidth="1"/>
    <col min="6676" max="6679" width="15.42578125" style="157" bestFit="1" customWidth="1"/>
    <col min="6680" max="6680" width="10.5703125" style="157" bestFit="1" customWidth="1"/>
    <col min="6681" max="6681" width="17.7109375" style="157" bestFit="1" customWidth="1"/>
    <col min="6682" max="6682" width="2.7109375" style="157" customWidth="1"/>
    <col min="6683" max="6683" width="12.42578125" style="157" bestFit="1" customWidth="1"/>
    <col min="6684" max="6684" width="11.85546875" style="157" bestFit="1" customWidth="1"/>
    <col min="6685" max="6688" width="15.42578125" style="157" bestFit="1" customWidth="1"/>
    <col min="6689" max="6689" width="13.7109375" style="157" bestFit="1" customWidth="1"/>
    <col min="6690" max="6690" width="13.28515625" style="157" bestFit="1" customWidth="1"/>
    <col min="6691" max="6691" width="2.7109375" style="157" customWidth="1"/>
    <col min="6692" max="6692" width="10.7109375" style="157" customWidth="1"/>
    <col min="6693" max="6693" width="11.85546875" style="157" bestFit="1" customWidth="1"/>
    <col min="6694" max="6697" width="15.42578125" style="157" bestFit="1" customWidth="1"/>
    <col min="6698" max="6698" width="13.7109375" style="157" bestFit="1" customWidth="1"/>
    <col min="6699" max="6699" width="17.7109375" style="157" bestFit="1" customWidth="1"/>
    <col min="6700" max="6914" width="9.140625" style="157"/>
    <col min="6915" max="6915" width="20.42578125" style="157" bestFit="1" customWidth="1"/>
    <col min="6916" max="6916" width="9.42578125" style="157" customWidth="1"/>
    <col min="6917" max="6917" width="8" style="157" customWidth="1"/>
    <col min="6918" max="6918" width="12.5703125" style="157" customWidth="1"/>
    <col min="6919" max="6919" width="7.140625" style="157" customWidth="1"/>
    <col min="6920" max="6920" width="54.28515625" style="157" customWidth="1"/>
    <col min="6921" max="6921" width="11.85546875" style="157" bestFit="1" customWidth="1"/>
    <col min="6922" max="6922" width="11.85546875" style="157" customWidth="1"/>
    <col min="6923" max="6926" width="15.42578125" style="157" bestFit="1" customWidth="1"/>
    <col min="6927" max="6927" width="10.5703125" style="157" bestFit="1" customWidth="1"/>
    <col min="6928" max="6928" width="13.28515625" style="157" bestFit="1" customWidth="1"/>
    <col min="6929" max="6929" width="2.7109375" style="157" customWidth="1"/>
    <col min="6930" max="6930" width="12.42578125" style="157" bestFit="1" customWidth="1"/>
    <col min="6931" max="6931" width="11.85546875" style="157" bestFit="1" customWidth="1"/>
    <col min="6932" max="6935" width="15.42578125" style="157" bestFit="1" customWidth="1"/>
    <col min="6936" max="6936" width="10.5703125" style="157" bestFit="1" customWidth="1"/>
    <col min="6937" max="6937" width="17.7109375" style="157" bestFit="1" customWidth="1"/>
    <col min="6938" max="6938" width="2.7109375" style="157" customWidth="1"/>
    <col min="6939" max="6939" width="12.42578125" style="157" bestFit="1" customWidth="1"/>
    <col min="6940" max="6940" width="11.85546875" style="157" bestFit="1" customWidth="1"/>
    <col min="6941" max="6944" width="15.42578125" style="157" bestFit="1" customWidth="1"/>
    <col min="6945" max="6945" width="13.7109375" style="157" bestFit="1" customWidth="1"/>
    <col min="6946" max="6946" width="13.28515625" style="157" bestFit="1" customWidth="1"/>
    <col min="6947" max="6947" width="2.7109375" style="157" customWidth="1"/>
    <col min="6948" max="6948" width="10.7109375" style="157" customWidth="1"/>
    <col min="6949" max="6949" width="11.85546875" style="157" bestFit="1" customWidth="1"/>
    <col min="6950" max="6953" width="15.42578125" style="157" bestFit="1" customWidth="1"/>
    <col min="6954" max="6954" width="13.7109375" style="157" bestFit="1" customWidth="1"/>
    <col min="6955" max="6955" width="17.7109375" style="157" bestFit="1" customWidth="1"/>
    <col min="6956" max="7170" width="9.140625" style="157"/>
    <col min="7171" max="7171" width="20.42578125" style="157" bestFit="1" customWidth="1"/>
    <col min="7172" max="7172" width="9.42578125" style="157" customWidth="1"/>
    <col min="7173" max="7173" width="8" style="157" customWidth="1"/>
    <col min="7174" max="7174" width="12.5703125" style="157" customWidth="1"/>
    <col min="7175" max="7175" width="7.140625" style="157" customWidth="1"/>
    <col min="7176" max="7176" width="54.28515625" style="157" customWidth="1"/>
    <col min="7177" max="7177" width="11.85546875" style="157" bestFit="1" customWidth="1"/>
    <col min="7178" max="7178" width="11.85546875" style="157" customWidth="1"/>
    <col min="7179" max="7182" width="15.42578125" style="157" bestFit="1" customWidth="1"/>
    <col min="7183" max="7183" width="10.5703125" style="157" bestFit="1" customWidth="1"/>
    <col min="7184" max="7184" width="13.28515625" style="157" bestFit="1" customWidth="1"/>
    <col min="7185" max="7185" width="2.7109375" style="157" customWidth="1"/>
    <col min="7186" max="7186" width="12.42578125" style="157" bestFit="1" customWidth="1"/>
    <col min="7187" max="7187" width="11.85546875" style="157" bestFit="1" customWidth="1"/>
    <col min="7188" max="7191" width="15.42578125" style="157" bestFit="1" customWidth="1"/>
    <col min="7192" max="7192" width="10.5703125" style="157" bestFit="1" customWidth="1"/>
    <col min="7193" max="7193" width="17.7109375" style="157" bestFit="1" customWidth="1"/>
    <col min="7194" max="7194" width="2.7109375" style="157" customWidth="1"/>
    <col min="7195" max="7195" width="12.42578125" style="157" bestFit="1" customWidth="1"/>
    <col min="7196" max="7196" width="11.85546875" style="157" bestFit="1" customWidth="1"/>
    <col min="7197" max="7200" width="15.42578125" style="157" bestFit="1" customWidth="1"/>
    <col min="7201" max="7201" width="13.7109375" style="157" bestFit="1" customWidth="1"/>
    <col min="7202" max="7202" width="13.28515625" style="157" bestFit="1" customWidth="1"/>
    <col min="7203" max="7203" width="2.7109375" style="157" customWidth="1"/>
    <col min="7204" max="7204" width="10.7109375" style="157" customWidth="1"/>
    <col min="7205" max="7205" width="11.85546875" style="157" bestFit="1" customWidth="1"/>
    <col min="7206" max="7209" width="15.42578125" style="157" bestFit="1" customWidth="1"/>
    <col min="7210" max="7210" width="13.7109375" style="157" bestFit="1" customWidth="1"/>
    <col min="7211" max="7211" width="17.7109375" style="157" bestFit="1" customWidth="1"/>
    <col min="7212" max="7426" width="9.140625" style="157"/>
    <col min="7427" max="7427" width="20.42578125" style="157" bestFit="1" customWidth="1"/>
    <col min="7428" max="7428" width="9.42578125" style="157" customWidth="1"/>
    <col min="7429" max="7429" width="8" style="157" customWidth="1"/>
    <col min="7430" max="7430" width="12.5703125" style="157" customWidth="1"/>
    <col min="7431" max="7431" width="7.140625" style="157" customWidth="1"/>
    <col min="7432" max="7432" width="54.28515625" style="157" customWidth="1"/>
    <col min="7433" max="7433" width="11.85546875" style="157" bestFit="1" customWidth="1"/>
    <col min="7434" max="7434" width="11.85546875" style="157" customWidth="1"/>
    <col min="7435" max="7438" width="15.42578125" style="157" bestFit="1" customWidth="1"/>
    <col min="7439" max="7439" width="10.5703125" style="157" bestFit="1" customWidth="1"/>
    <col min="7440" max="7440" width="13.28515625" style="157" bestFit="1" customWidth="1"/>
    <col min="7441" max="7441" width="2.7109375" style="157" customWidth="1"/>
    <col min="7442" max="7442" width="12.42578125" style="157" bestFit="1" customWidth="1"/>
    <col min="7443" max="7443" width="11.85546875" style="157" bestFit="1" customWidth="1"/>
    <col min="7444" max="7447" width="15.42578125" style="157" bestFit="1" customWidth="1"/>
    <col min="7448" max="7448" width="10.5703125" style="157" bestFit="1" customWidth="1"/>
    <col min="7449" max="7449" width="17.7109375" style="157" bestFit="1" customWidth="1"/>
    <col min="7450" max="7450" width="2.7109375" style="157" customWidth="1"/>
    <col min="7451" max="7451" width="12.42578125" style="157" bestFit="1" customWidth="1"/>
    <col min="7452" max="7452" width="11.85546875" style="157" bestFit="1" customWidth="1"/>
    <col min="7453" max="7456" width="15.42578125" style="157" bestFit="1" customWidth="1"/>
    <col min="7457" max="7457" width="13.7109375" style="157" bestFit="1" customWidth="1"/>
    <col min="7458" max="7458" width="13.28515625" style="157" bestFit="1" customWidth="1"/>
    <col min="7459" max="7459" width="2.7109375" style="157" customWidth="1"/>
    <col min="7460" max="7460" width="10.7109375" style="157" customWidth="1"/>
    <col min="7461" max="7461" width="11.85546875" style="157" bestFit="1" customWidth="1"/>
    <col min="7462" max="7465" width="15.42578125" style="157" bestFit="1" customWidth="1"/>
    <col min="7466" max="7466" width="13.7109375" style="157" bestFit="1" customWidth="1"/>
    <col min="7467" max="7467" width="17.7109375" style="157" bestFit="1" customWidth="1"/>
    <col min="7468" max="7682" width="9.140625" style="157"/>
    <col min="7683" max="7683" width="20.42578125" style="157" bestFit="1" customWidth="1"/>
    <col min="7684" max="7684" width="9.42578125" style="157" customWidth="1"/>
    <col min="7685" max="7685" width="8" style="157" customWidth="1"/>
    <col min="7686" max="7686" width="12.5703125" style="157" customWidth="1"/>
    <col min="7687" max="7687" width="7.140625" style="157" customWidth="1"/>
    <col min="7688" max="7688" width="54.28515625" style="157" customWidth="1"/>
    <col min="7689" max="7689" width="11.85546875" style="157" bestFit="1" customWidth="1"/>
    <col min="7690" max="7690" width="11.85546875" style="157" customWidth="1"/>
    <col min="7691" max="7694" width="15.42578125" style="157" bestFit="1" customWidth="1"/>
    <col min="7695" max="7695" width="10.5703125" style="157" bestFit="1" customWidth="1"/>
    <col min="7696" max="7696" width="13.28515625" style="157" bestFit="1" customWidth="1"/>
    <col min="7697" max="7697" width="2.7109375" style="157" customWidth="1"/>
    <col min="7698" max="7698" width="12.42578125" style="157" bestFit="1" customWidth="1"/>
    <col min="7699" max="7699" width="11.85546875" style="157" bestFit="1" customWidth="1"/>
    <col min="7700" max="7703" width="15.42578125" style="157" bestFit="1" customWidth="1"/>
    <col min="7704" max="7704" width="10.5703125" style="157" bestFit="1" customWidth="1"/>
    <col min="7705" max="7705" width="17.7109375" style="157" bestFit="1" customWidth="1"/>
    <col min="7706" max="7706" width="2.7109375" style="157" customWidth="1"/>
    <col min="7707" max="7707" width="12.42578125" style="157" bestFit="1" customWidth="1"/>
    <col min="7708" max="7708" width="11.85546875" style="157" bestFit="1" customWidth="1"/>
    <col min="7709" max="7712" width="15.42578125" style="157" bestFit="1" customWidth="1"/>
    <col min="7713" max="7713" width="13.7109375" style="157" bestFit="1" customWidth="1"/>
    <col min="7714" max="7714" width="13.28515625" style="157" bestFit="1" customWidth="1"/>
    <col min="7715" max="7715" width="2.7109375" style="157" customWidth="1"/>
    <col min="7716" max="7716" width="10.7109375" style="157" customWidth="1"/>
    <col min="7717" max="7717" width="11.85546875" style="157" bestFit="1" customWidth="1"/>
    <col min="7718" max="7721" width="15.42578125" style="157" bestFit="1" customWidth="1"/>
    <col min="7722" max="7722" width="13.7109375" style="157" bestFit="1" customWidth="1"/>
    <col min="7723" max="7723" width="17.7109375" style="157" bestFit="1" customWidth="1"/>
    <col min="7724" max="7938" width="9.140625" style="157"/>
    <col min="7939" max="7939" width="20.42578125" style="157" bestFit="1" customWidth="1"/>
    <col min="7940" max="7940" width="9.42578125" style="157" customWidth="1"/>
    <col min="7941" max="7941" width="8" style="157" customWidth="1"/>
    <col min="7942" max="7942" width="12.5703125" style="157" customWidth="1"/>
    <col min="7943" max="7943" width="7.140625" style="157" customWidth="1"/>
    <col min="7944" max="7944" width="54.28515625" style="157" customWidth="1"/>
    <col min="7945" max="7945" width="11.85546875" style="157" bestFit="1" customWidth="1"/>
    <col min="7946" max="7946" width="11.85546875" style="157" customWidth="1"/>
    <col min="7947" max="7950" width="15.42578125" style="157" bestFit="1" customWidth="1"/>
    <col min="7951" max="7951" width="10.5703125" style="157" bestFit="1" customWidth="1"/>
    <col min="7952" max="7952" width="13.28515625" style="157" bestFit="1" customWidth="1"/>
    <col min="7953" max="7953" width="2.7109375" style="157" customWidth="1"/>
    <col min="7954" max="7954" width="12.42578125" style="157" bestFit="1" customWidth="1"/>
    <col min="7955" max="7955" width="11.85546875" style="157" bestFit="1" customWidth="1"/>
    <col min="7956" max="7959" width="15.42578125" style="157" bestFit="1" customWidth="1"/>
    <col min="7960" max="7960" width="10.5703125" style="157" bestFit="1" customWidth="1"/>
    <col min="7961" max="7961" width="17.7109375" style="157" bestFit="1" customWidth="1"/>
    <col min="7962" max="7962" width="2.7109375" style="157" customWidth="1"/>
    <col min="7963" max="7963" width="12.42578125" style="157" bestFit="1" customWidth="1"/>
    <col min="7964" max="7964" width="11.85546875" style="157" bestFit="1" customWidth="1"/>
    <col min="7965" max="7968" width="15.42578125" style="157" bestFit="1" customWidth="1"/>
    <col min="7969" max="7969" width="13.7109375" style="157" bestFit="1" customWidth="1"/>
    <col min="7970" max="7970" width="13.28515625" style="157" bestFit="1" customWidth="1"/>
    <col min="7971" max="7971" width="2.7109375" style="157" customWidth="1"/>
    <col min="7972" max="7972" width="10.7109375" style="157" customWidth="1"/>
    <col min="7973" max="7973" width="11.85546875" style="157" bestFit="1" customWidth="1"/>
    <col min="7974" max="7977" width="15.42578125" style="157" bestFit="1" customWidth="1"/>
    <col min="7978" max="7978" width="13.7109375" style="157" bestFit="1" customWidth="1"/>
    <col min="7979" max="7979" width="17.7109375" style="157" bestFit="1" customWidth="1"/>
    <col min="7980" max="8194" width="9.140625" style="157"/>
    <col min="8195" max="8195" width="20.42578125" style="157" bestFit="1" customWidth="1"/>
    <col min="8196" max="8196" width="9.42578125" style="157" customWidth="1"/>
    <col min="8197" max="8197" width="8" style="157" customWidth="1"/>
    <col min="8198" max="8198" width="12.5703125" style="157" customWidth="1"/>
    <col min="8199" max="8199" width="7.140625" style="157" customWidth="1"/>
    <col min="8200" max="8200" width="54.28515625" style="157" customWidth="1"/>
    <col min="8201" max="8201" width="11.85546875" style="157" bestFit="1" customWidth="1"/>
    <col min="8202" max="8202" width="11.85546875" style="157" customWidth="1"/>
    <col min="8203" max="8206" width="15.42578125" style="157" bestFit="1" customWidth="1"/>
    <col min="8207" max="8207" width="10.5703125" style="157" bestFit="1" customWidth="1"/>
    <col min="8208" max="8208" width="13.28515625" style="157" bestFit="1" customWidth="1"/>
    <col min="8209" max="8209" width="2.7109375" style="157" customWidth="1"/>
    <col min="8210" max="8210" width="12.42578125" style="157" bestFit="1" customWidth="1"/>
    <col min="8211" max="8211" width="11.85546875" style="157" bestFit="1" customWidth="1"/>
    <col min="8212" max="8215" width="15.42578125" style="157" bestFit="1" customWidth="1"/>
    <col min="8216" max="8216" width="10.5703125" style="157" bestFit="1" customWidth="1"/>
    <col min="8217" max="8217" width="17.7109375" style="157" bestFit="1" customWidth="1"/>
    <col min="8218" max="8218" width="2.7109375" style="157" customWidth="1"/>
    <col min="8219" max="8219" width="12.42578125" style="157" bestFit="1" customWidth="1"/>
    <col min="8220" max="8220" width="11.85546875" style="157" bestFit="1" customWidth="1"/>
    <col min="8221" max="8224" width="15.42578125" style="157" bestFit="1" customWidth="1"/>
    <col min="8225" max="8225" width="13.7109375" style="157" bestFit="1" customWidth="1"/>
    <col min="8226" max="8226" width="13.28515625" style="157" bestFit="1" customWidth="1"/>
    <col min="8227" max="8227" width="2.7109375" style="157" customWidth="1"/>
    <col min="8228" max="8228" width="10.7109375" style="157" customWidth="1"/>
    <col min="8229" max="8229" width="11.85546875" style="157" bestFit="1" customWidth="1"/>
    <col min="8230" max="8233" width="15.42578125" style="157" bestFit="1" customWidth="1"/>
    <col min="8234" max="8234" width="13.7109375" style="157" bestFit="1" customWidth="1"/>
    <col min="8235" max="8235" width="17.7109375" style="157" bestFit="1" customWidth="1"/>
    <col min="8236" max="8450" width="9.140625" style="157"/>
    <col min="8451" max="8451" width="20.42578125" style="157" bestFit="1" customWidth="1"/>
    <col min="8452" max="8452" width="9.42578125" style="157" customWidth="1"/>
    <col min="8453" max="8453" width="8" style="157" customWidth="1"/>
    <col min="8454" max="8454" width="12.5703125" style="157" customWidth="1"/>
    <col min="8455" max="8455" width="7.140625" style="157" customWidth="1"/>
    <col min="8456" max="8456" width="54.28515625" style="157" customWidth="1"/>
    <col min="8457" max="8457" width="11.85546875" style="157" bestFit="1" customWidth="1"/>
    <col min="8458" max="8458" width="11.85546875" style="157" customWidth="1"/>
    <col min="8459" max="8462" width="15.42578125" style="157" bestFit="1" customWidth="1"/>
    <col min="8463" max="8463" width="10.5703125" style="157" bestFit="1" customWidth="1"/>
    <col min="8464" max="8464" width="13.28515625" style="157" bestFit="1" customWidth="1"/>
    <col min="8465" max="8465" width="2.7109375" style="157" customWidth="1"/>
    <col min="8466" max="8466" width="12.42578125" style="157" bestFit="1" customWidth="1"/>
    <col min="8467" max="8467" width="11.85546875" style="157" bestFit="1" customWidth="1"/>
    <col min="8468" max="8471" width="15.42578125" style="157" bestFit="1" customWidth="1"/>
    <col min="8472" max="8472" width="10.5703125" style="157" bestFit="1" customWidth="1"/>
    <col min="8473" max="8473" width="17.7109375" style="157" bestFit="1" customWidth="1"/>
    <col min="8474" max="8474" width="2.7109375" style="157" customWidth="1"/>
    <col min="8475" max="8475" width="12.42578125" style="157" bestFit="1" customWidth="1"/>
    <col min="8476" max="8476" width="11.85546875" style="157" bestFit="1" customWidth="1"/>
    <col min="8477" max="8480" width="15.42578125" style="157" bestFit="1" customWidth="1"/>
    <col min="8481" max="8481" width="13.7109375" style="157" bestFit="1" customWidth="1"/>
    <col min="8482" max="8482" width="13.28515625" style="157" bestFit="1" customWidth="1"/>
    <col min="8483" max="8483" width="2.7109375" style="157" customWidth="1"/>
    <col min="8484" max="8484" width="10.7109375" style="157" customWidth="1"/>
    <col min="8485" max="8485" width="11.85546875" style="157" bestFit="1" customWidth="1"/>
    <col min="8486" max="8489" width="15.42578125" style="157" bestFit="1" customWidth="1"/>
    <col min="8490" max="8490" width="13.7109375" style="157" bestFit="1" customWidth="1"/>
    <col min="8491" max="8491" width="17.7109375" style="157" bestFit="1" customWidth="1"/>
    <col min="8492" max="8706" width="9.140625" style="157"/>
    <col min="8707" max="8707" width="20.42578125" style="157" bestFit="1" customWidth="1"/>
    <col min="8708" max="8708" width="9.42578125" style="157" customWidth="1"/>
    <col min="8709" max="8709" width="8" style="157" customWidth="1"/>
    <col min="8710" max="8710" width="12.5703125" style="157" customWidth="1"/>
    <col min="8711" max="8711" width="7.140625" style="157" customWidth="1"/>
    <col min="8712" max="8712" width="54.28515625" style="157" customWidth="1"/>
    <col min="8713" max="8713" width="11.85546875" style="157" bestFit="1" customWidth="1"/>
    <col min="8714" max="8714" width="11.85546875" style="157" customWidth="1"/>
    <col min="8715" max="8718" width="15.42578125" style="157" bestFit="1" customWidth="1"/>
    <col min="8719" max="8719" width="10.5703125" style="157" bestFit="1" customWidth="1"/>
    <col min="8720" max="8720" width="13.28515625" style="157" bestFit="1" customWidth="1"/>
    <col min="8721" max="8721" width="2.7109375" style="157" customWidth="1"/>
    <col min="8722" max="8722" width="12.42578125" style="157" bestFit="1" customWidth="1"/>
    <col min="8723" max="8723" width="11.85546875" style="157" bestFit="1" customWidth="1"/>
    <col min="8724" max="8727" width="15.42578125" style="157" bestFit="1" customWidth="1"/>
    <col min="8728" max="8728" width="10.5703125" style="157" bestFit="1" customWidth="1"/>
    <col min="8729" max="8729" width="17.7109375" style="157" bestFit="1" customWidth="1"/>
    <col min="8730" max="8730" width="2.7109375" style="157" customWidth="1"/>
    <col min="8731" max="8731" width="12.42578125" style="157" bestFit="1" customWidth="1"/>
    <col min="8732" max="8732" width="11.85546875" style="157" bestFit="1" customWidth="1"/>
    <col min="8733" max="8736" width="15.42578125" style="157" bestFit="1" customWidth="1"/>
    <col min="8737" max="8737" width="13.7109375" style="157" bestFit="1" customWidth="1"/>
    <col min="8738" max="8738" width="13.28515625" style="157" bestFit="1" customWidth="1"/>
    <col min="8739" max="8739" width="2.7109375" style="157" customWidth="1"/>
    <col min="8740" max="8740" width="10.7109375" style="157" customWidth="1"/>
    <col min="8741" max="8741" width="11.85546875" style="157" bestFit="1" customWidth="1"/>
    <col min="8742" max="8745" width="15.42578125" style="157" bestFit="1" customWidth="1"/>
    <col min="8746" max="8746" width="13.7109375" style="157" bestFit="1" customWidth="1"/>
    <col min="8747" max="8747" width="17.7109375" style="157" bestFit="1" customWidth="1"/>
    <col min="8748" max="8962" width="9.140625" style="157"/>
    <col min="8963" max="8963" width="20.42578125" style="157" bestFit="1" customWidth="1"/>
    <col min="8964" max="8964" width="9.42578125" style="157" customWidth="1"/>
    <col min="8965" max="8965" width="8" style="157" customWidth="1"/>
    <col min="8966" max="8966" width="12.5703125" style="157" customWidth="1"/>
    <col min="8967" max="8967" width="7.140625" style="157" customWidth="1"/>
    <col min="8968" max="8968" width="54.28515625" style="157" customWidth="1"/>
    <col min="8969" max="8969" width="11.85546875" style="157" bestFit="1" customWidth="1"/>
    <col min="8970" max="8970" width="11.85546875" style="157" customWidth="1"/>
    <col min="8971" max="8974" width="15.42578125" style="157" bestFit="1" customWidth="1"/>
    <col min="8975" max="8975" width="10.5703125" style="157" bestFit="1" customWidth="1"/>
    <col min="8976" max="8976" width="13.28515625" style="157" bestFit="1" customWidth="1"/>
    <col min="8977" max="8977" width="2.7109375" style="157" customWidth="1"/>
    <col min="8978" max="8978" width="12.42578125" style="157" bestFit="1" customWidth="1"/>
    <col min="8979" max="8979" width="11.85546875" style="157" bestFit="1" customWidth="1"/>
    <col min="8980" max="8983" width="15.42578125" style="157" bestFit="1" customWidth="1"/>
    <col min="8984" max="8984" width="10.5703125" style="157" bestFit="1" customWidth="1"/>
    <col min="8985" max="8985" width="17.7109375" style="157" bestFit="1" customWidth="1"/>
    <col min="8986" max="8986" width="2.7109375" style="157" customWidth="1"/>
    <col min="8987" max="8987" width="12.42578125" style="157" bestFit="1" customWidth="1"/>
    <col min="8988" max="8988" width="11.85546875" style="157" bestFit="1" customWidth="1"/>
    <col min="8989" max="8992" width="15.42578125" style="157" bestFit="1" customWidth="1"/>
    <col min="8993" max="8993" width="13.7109375" style="157" bestFit="1" customWidth="1"/>
    <col min="8994" max="8994" width="13.28515625" style="157" bestFit="1" customWidth="1"/>
    <col min="8995" max="8995" width="2.7109375" style="157" customWidth="1"/>
    <col min="8996" max="8996" width="10.7109375" style="157" customWidth="1"/>
    <col min="8997" max="8997" width="11.85546875" style="157" bestFit="1" customWidth="1"/>
    <col min="8998" max="9001" width="15.42578125" style="157" bestFit="1" customWidth="1"/>
    <col min="9002" max="9002" width="13.7109375" style="157" bestFit="1" customWidth="1"/>
    <col min="9003" max="9003" width="17.7109375" style="157" bestFit="1" customWidth="1"/>
    <col min="9004" max="9218" width="9.140625" style="157"/>
    <col min="9219" max="9219" width="20.42578125" style="157" bestFit="1" customWidth="1"/>
    <col min="9220" max="9220" width="9.42578125" style="157" customWidth="1"/>
    <col min="9221" max="9221" width="8" style="157" customWidth="1"/>
    <col min="9222" max="9222" width="12.5703125" style="157" customWidth="1"/>
    <col min="9223" max="9223" width="7.140625" style="157" customWidth="1"/>
    <col min="9224" max="9224" width="54.28515625" style="157" customWidth="1"/>
    <col min="9225" max="9225" width="11.85546875" style="157" bestFit="1" customWidth="1"/>
    <col min="9226" max="9226" width="11.85546875" style="157" customWidth="1"/>
    <col min="9227" max="9230" width="15.42578125" style="157" bestFit="1" customWidth="1"/>
    <col min="9231" max="9231" width="10.5703125" style="157" bestFit="1" customWidth="1"/>
    <col min="9232" max="9232" width="13.28515625" style="157" bestFit="1" customWidth="1"/>
    <col min="9233" max="9233" width="2.7109375" style="157" customWidth="1"/>
    <col min="9234" max="9234" width="12.42578125" style="157" bestFit="1" customWidth="1"/>
    <col min="9235" max="9235" width="11.85546875" style="157" bestFit="1" customWidth="1"/>
    <col min="9236" max="9239" width="15.42578125" style="157" bestFit="1" customWidth="1"/>
    <col min="9240" max="9240" width="10.5703125" style="157" bestFit="1" customWidth="1"/>
    <col min="9241" max="9241" width="17.7109375" style="157" bestFit="1" customWidth="1"/>
    <col min="9242" max="9242" width="2.7109375" style="157" customWidth="1"/>
    <col min="9243" max="9243" width="12.42578125" style="157" bestFit="1" customWidth="1"/>
    <col min="9244" max="9244" width="11.85546875" style="157" bestFit="1" customWidth="1"/>
    <col min="9245" max="9248" width="15.42578125" style="157" bestFit="1" customWidth="1"/>
    <col min="9249" max="9249" width="13.7109375" style="157" bestFit="1" customWidth="1"/>
    <col min="9250" max="9250" width="13.28515625" style="157" bestFit="1" customWidth="1"/>
    <col min="9251" max="9251" width="2.7109375" style="157" customWidth="1"/>
    <col min="9252" max="9252" width="10.7109375" style="157" customWidth="1"/>
    <col min="9253" max="9253" width="11.85546875" style="157" bestFit="1" customWidth="1"/>
    <col min="9254" max="9257" width="15.42578125" style="157" bestFit="1" customWidth="1"/>
    <col min="9258" max="9258" width="13.7109375" style="157" bestFit="1" customWidth="1"/>
    <col min="9259" max="9259" width="17.7109375" style="157" bestFit="1" customWidth="1"/>
    <col min="9260" max="9474" width="9.140625" style="157"/>
    <col min="9475" max="9475" width="20.42578125" style="157" bestFit="1" customWidth="1"/>
    <col min="9476" max="9476" width="9.42578125" style="157" customWidth="1"/>
    <col min="9477" max="9477" width="8" style="157" customWidth="1"/>
    <col min="9478" max="9478" width="12.5703125" style="157" customWidth="1"/>
    <col min="9479" max="9479" width="7.140625" style="157" customWidth="1"/>
    <col min="9480" max="9480" width="54.28515625" style="157" customWidth="1"/>
    <col min="9481" max="9481" width="11.85546875" style="157" bestFit="1" customWidth="1"/>
    <col min="9482" max="9482" width="11.85546875" style="157" customWidth="1"/>
    <col min="9483" max="9486" width="15.42578125" style="157" bestFit="1" customWidth="1"/>
    <col min="9487" max="9487" width="10.5703125" style="157" bestFit="1" customWidth="1"/>
    <col min="9488" max="9488" width="13.28515625" style="157" bestFit="1" customWidth="1"/>
    <col min="9489" max="9489" width="2.7109375" style="157" customWidth="1"/>
    <col min="9490" max="9490" width="12.42578125" style="157" bestFit="1" customWidth="1"/>
    <col min="9491" max="9491" width="11.85546875" style="157" bestFit="1" customWidth="1"/>
    <col min="9492" max="9495" width="15.42578125" style="157" bestFit="1" customWidth="1"/>
    <col min="9496" max="9496" width="10.5703125" style="157" bestFit="1" customWidth="1"/>
    <col min="9497" max="9497" width="17.7109375" style="157" bestFit="1" customWidth="1"/>
    <col min="9498" max="9498" width="2.7109375" style="157" customWidth="1"/>
    <col min="9499" max="9499" width="12.42578125" style="157" bestFit="1" customWidth="1"/>
    <col min="9500" max="9500" width="11.85546875" style="157" bestFit="1" customWidth="1"/>
    <col min="9501" max="9504" width="15.42578125" style="157" bestFit="1" customWidth="1"/>
    <col min="9505" max="9505" width="13.7109375" style="157" bestFit="1" customWidth="1"/>
    <col min="9506" max="9506" width="13.28515625" style="157" bestFit="1" customWidth="1"/>
    <col min="9507" max="9507" width="2.7109375" style="157" customWidth="1"/>
    <col min="9508" max="9508" width="10.7109375" style="157" customWidth="1"/>
    <col min="9509" max="9509" width="11.85546875" style="157" bestFit="1" customWidth="1"/>
    <col min="9510" max="9513" width="15.42578125" style="157" bestFit="1" customWidth="1"/>
    <col min="9514" max="9514" width="13.7109375" style="157" bestFit="1" customWidth="1"/>
    <col min="9515" max="9515" width="17.7109375" style="157" bestFit="1" customWidth="1"/>
    <col min="9516" max="9730" width="9.140625" style="157"/>
    <col min="9731" max="9731" width="20.42578125" style="157" bestFit="1" customWidth="1"/>
    <col min="9732" max="9732" width="9.42578125" style="157" customWidth="1"/>
    <col min="9733" max="9733" width="8" style="157" customWidth="1"/>
    <col min="9734" max="9734" width="12.5703125" style="157" customWidth="1"/>
    <col min="9735" max="9735" width="7.140625" style="157" customWidth="1"/>
    <col min="9736" max="9736" width="54.28515625" style="157" customWidth="1"/>
    <col min="9737" max="9737" width="11.85546875" style="157" bestFit="1" customWidth="1"/>
    <col min="9738" max="9738" width="11.85546875" style="157" customWidth="1"/>
    <col min="9739" max="9742" width="15.42578125" style="157" bestFit="1" customWidth="1"/>
    <col min="9743" max="9743" width="10.5703125" style="157" bestFit="1" customWidth="1"/>
    <col min="9744" max="9744" width="13.28515625" style="157" bestFit="1" customWidth="1"/>
    <col min="9745" max="9745" width="2.7109375" style="157" customWidth="1"/>
    <col min="9746" max="9746" width="12.42578125" style="157" bestFit="1" customWidth="1"/>
    <col min="9747" max="9747" width="11.85546875" style="157" bestFit="1" customWidth="1"/>
    <col min="9748" max="9751" width="15.42578125" style="157" bestFit="1" customWidth="1"/>
    <col min="9752" max="9752" width="10.5703125" style="157" bestFit="1" customWidth="1"/>
    <col min="9753" max="9753" width="17.7109375" style="157" bestFit="1" customWidth="1"/>
    <col min="9754" max="9754" width="2.7109375" style="157" customWidth="1"/>
    <col min="9755" max="9755" width="12.42578125" style="157" bestFit="1" customWidth="1"/>
    <col min="9756" max="9756" width="11.85546875" style="157" bestFit="1" customWidth="1"/>
    <col min="9757" max="9760" width="15.42578125" style="157" bestFit="1" customWidth="1"/>
    <col min="9761" max="9761" width="13.7109375" style="157" bestFit="1" customWidth="1"/>
    <col min="9762" max="9762" width="13.28515625" style="157" bestFit="1" customWidth="1"/>
    <col min="9763" max="9763" width="2.7109375" style="157" customWidth="1"/>
    <col min="9764" max="9764" width="10.7109375" style="157" customWidth="1"/>
    <col min="9765" max="9765" width="11.85546875" style="157" bestFit="1" customWidth="1"/>
    <col min="9766" max="9769" width="15.42578125" style="157" bestFit="1" customWidth="1"/>
    <col min="9770" max="9770" width="13.7109375" style="157" bestFit="1" customWidth="1"/>
    <col min="9771" max="9771" width="17.7109375" style="157" bestFit="1" customWidth="1"/>
    <col min="9772" max="9986" width="9.140625" style="157"/>
    <col min="9987" max="9987" width="20.42578125" style="157" bestFit="1" customWidth="1"/>
    <col min="9988" max="9988" width="9.42578125" style="157" customWidth="1"/>
    <col min="9989" max="9989" width="8" style="157" customWidth="1"/>
    <col min="9990" max="9990" width="12.5703125" style="157" customWidth="1"/>
    <col min="9991" max="9991" width="7.140625" style="157" customWidth="1"/>
    <col min="9992" max="9992" width="54.28515625" style="157" customWidth="1"/>
    <col min="9993" max="9993" width="11.85546875" style="157" bestFit="1" customWidth="1"/>
    <col min="9994" max="9994" width="11.85546875" style="157" customWidth="1"/>
    <col min="9995" max="9998" width="15.42578125" style="157" bestFit="1" customWidth="1"/>
    <col min="9999" max="9999" width="10.5703125" style="157" bestFit="1" customWidth="1"/>
    <col min="10000" max="10000" width="13.28515625" style="157" bestFit="1" customWidth="1"/>
    <col min="10001" max="10001" width="2.7109375" style="157" customWidth="1"/>
    <col min="10002" max="10002" width="12.42578125" style="157" bestFit="1" customWidth="1"/>
    <col min="10003" max="10003" width="11.85546875" style="157" bestFit="1" customWidth="1"/>
    <col min="10004" max="10007" width="15.42578125" style="157" bestFit="1" customWidth="1"/>
    <col min="10008" max="10008" width="10.5703125" style="157" bestFit="1" customWidth="1"/>
    <col min="10009" max="10009" width="17.7109375" style="157" bestFit="1" customWidth="1"/>
    <col min="10010" max="10010" width="2.7109375" style="157" customWidth="1"/>
    <col min="10011" max="10011" width="12.42578125" style="157" bestFit="1" customWidth="1"/>
    <col min="10012" max="10012" width="11.85546875" style="157" bestFit="1" customWidth="1"/>
    <col min="10013" max="10016" width="15.42578125" style="157" bestFit="1" customWidth="1"/>
    <col min="10017" max="10017" width="13.7109375" style="157" bestFit="1" customWidth="1"/>
    <col min="10018" max="10018" width="13.28515625" style="157" bestFit="1" customWidth="1"/>
    <col min="10019" max="10019" width="2.7109375" style="157" customWidth="1"/>
    <col min="10020" max="10020" width="10.7109375" style="157" customWidth="1"/>
    <col min="10021" max="10021" width="11.85546875" style="157" bestFit="1" customWidth="1"/>
    <col min="10022" max="10025" width="15.42578125" style="157" bestFit="1" customWidth="1"/>
    <col min="10026" max="10026" width="13.7109375" style="157" bestFit="1" customWidth="1"/>
    <col min="10027" max="10027" width="17.7109375" style="157" bestFit="1" customWidth="1"/>
    <col min="10028" max="10242" width="9.140625" style="157"/>
    <col min="10243" max="10243" width="20.42578125" style="157" bestFit="1" customWidth="1"/>
    <col min="10244" max="10244" width="9.42578125" style="157" customWidth="1"/>
    <col min="10245" max="10245" width="8" style="157" customWidth="1"/>
    <col min="10246" max="10246" width="12.5703125" style="157" customWidth="1"/>
    <col min="10247" max="10247" width="7.140625" style="157" customWidth="1"/>
    <col min="10248" max="10248" width="54.28515625" style="157" customWidth="1"/>
    <col min="10249" max="10249" width="11.85546875" style="157" bestFit="1" customWidth="1"/>
    <col min="10250" max="10250" width="11.85546875" style="157" customWidth="1"/>
    <col min="10251" max="10254" width="15.42578125" style="157" bestFit="1" customWidth="1"/>
    <col min="10255" max="10255" width="10.5703125" style="157" bestFit="1" customWidth="1"/>
    <col min="10256" max="10256" width="13.28515625" style="157" bestFit="1" customWidth="1"/>
    <col min="10257" max="10257" width="2.7109375" style="157" customWidth="1"/>
    <col min="10258" max="10258" width="12.42578125" style="157" bestFit="1" customWidth="1"/>
    <col min="10259" max="10259" width="11.85546875" style="157" bestFit="1" customWidth="1"/>
    <col min="10260" max="10263" width="15.42578125" style="157" bestFit="1" customWidth="1"/>
    <col min="10264" max="10264" width="10.5703125" style="157" bestFit="1" customWidth="1"/>
    <col min="10265" max="10265" width="17.7109375" style="157" bestFit="1" customWidth="1"/>
    <col min="10266" max="10266" width="2.7109375" style="157" customWidth="1"/>
    <col min="10267" max="10267" width="12.42578125" style="157" bestFit="1" customWidth="1"/>
    <col min="10268" max="10268" width="11.85546875" style="157" bestFit="1" customWidth="1"/>
    <col min="10269" max="10272" width="15.42578125" style="157" bestFit="1" customWidth="1"/>
    <col min="10273" max="10273" width="13.7109375" style="157" bestFit="1" customWidth="1"/>
    <col min="10274" max="10274" width="13.28515625" style="157" bestFit="1" customWidth="1"/>
    <col min="10275" max="10275" width="2.7109375" style="157" customWidth="1"/>
    <col min="10276" max="10276" width="10.7109375" style="157" customWidth="1"/>
    <col min="10277" max="10277" width="11.85546875" style="157" bestFit="1" customWidth="1"/>
    <col min="10278" max="10281" width="15.42578125" style="157" bestFit="1" customWidth="1"/>
    <col min="10282" max="10282" width="13.7109375" style="157" bestFit="1" customWidth="1"/>
    <col min="10283" max="10283" width="17.7109375" style="157" bestFit="1" customWidth="1"/>
    <col min="10284" max="10498" width="9.140625" style="157"/>
    <col min="10499" max="10499" width="20.42578125" style="157" bestFit="1" customWidth="1"/>
    <col min="10500" max="10500" width="9.42578125" style="157" customWidth="1"/>
    <col min="10501" max="10501" width="8" style="157" customWidth="1"/>
    <col min="10502" max="10502" width="12.5703125" style="157" customWidth="1"/>
    <col min="10503" max="10503" width="7.140625" style="157" customWidth="1"/>
    <col min="10504" max="10504" width="54.28515625" style="157" customWidth="1"/>
    <col min="10505" max="10505" width="11.85546875" style="157" bestFit="1" customWidth="1"/>
    <col min="10506" max="10506" width="11.85546875" style="157" customWidth="1"/>
    <col min="10507" max="10510" width="15.42578125" style="157" bestFit="1" customWidth="1"/>
    <col min="10511" max="10511" width="10.5703125" style="157" bestFit="1" customWidth="1"/>
    <col min="10512" max="10512" width="13.28515625" style="157" bestFit="1" customWidth="1"/>
    <col min="10513" max="10513" width="2.7109375" style="157" customWidth="1"/>
    <col min="10514" max="10514" width="12.42578125" style="157" bestFit="1" customWidth="1"/>
    <col min="10515" max="10515" width="11.85546875" style="157" bestFit="1" customWidth="1"/>
    <col min="10516" max="10519" width="15.42578125" style="157" bestFit="1" customWidth="1"/>
    <col min="10520" max="10520" width="10.5703125" style="157" bestFit="1" customWidth="1"/>
    <col min="10521" max="10521" width="17.7109375" style="157" bestFit="1" customWidth="1"/>
    <col min="10522" max="10522" width="2.7109375" style="157" customWidth="1"/>
    <col min="10523" max="10523" width="12.42578125" style="157" bestFit="1" customWidth="1"/>
    <col min="10524" max="10524" width="11.85546875" style="157" bestFit="1" customWidth="1"/>
    <col min="10525" max="10528" width="15.42578125" style="157" bestFit="1" customWidth="1"/>
    <col min="10529" max="10529" width="13.7109375" style="157" bestFit="1" customWidth="1"/>
    <col min="10530" max="10530" width="13.28515625" style="157" bestFit="1" customWidth="1"/>
    <col min="10531" max="10531" width="2.7109375" style="157" customWidth="1"/>
    <col min="10532" max="10532" width="10.7109375" style="157" customWidth="1"/>
    <col min="10533" max="10533" width="11.85546875" style="157" bestFit="1" customWidth="1"/>
    <col min="10534" max="10537" width="15.42578125" style="157" bestFit="1" customWidth="1"/>
    <col min="10538" max="10538" width="13.7109375" style="157" bestFit="1" customWidth="1"/>
    <col min="10539" max="10539" width="17.7109375" style="157" bestFit="1" customWidth="1"/>
    <col min="10540" max="10754" width="9.140625" style="157"/>
    <col min="10755" max="10755" width="20.42578125" style="157" bestFit="1" customWidth="1"/>
    <col min="10756" max="10756" width="9.42578125" style="157" customWidth="1"/>
    <col min="10757" max="10757" width="8" style="157" customWidth="1"/>
    <col min="10758" max="10758" width="12.5703125" style="157" customWidth="1"/>
    <col min="10759" max="10759" width="7.140625" style="157" customWidth="1"/>
    <col min="10760" max="10760" width="54.28515625" style="157" customWidth="1"/>
    <col min="10761" max="10761" width="11.85546875" style="157" bestFit="1" customWidth="1"/>
    <col min="10762" max="10762" width="11.85546875" style="157" customWidth="1"/>
    <col min="10763" max="10766" width="15.42578125" style="157" bestFit="1" customWidth="1"/>
    <col min="10767" max="10767" width="10.5703125" style="157" bestFit="1" customWidth="1"/>
    <col min="10768" max="10768" width="13.28515625" style="157" bestFit="1" customWidth="1"/>
    <col min="10769" max="10769" width="2.7109375" style="157" customWidth="1"/>
    <col min="10770" max="10770" width="12.42578125" style="157" bestFit="1" customWidth="1"/>
    <col min="10771" max="10771" width="11.85546875" style="157" bestFit="1" customWidth="1"/>
    <col min="10772" max="10775" width="15.42578125" style="157" bestFit="1" customWidth="1"/>
    <col min="10776" max="10776" width="10.5703125" style="157" bestFit="1" customWidth="1"/>
    <col min="10777" max="10777" width="17.7109375" style="157" bestFit="1" customWidth="1"/>
    <col min="10778" max="10778" width="2.7109375" style="157" customWidth="1"/>
    <col min="10779" max="10779" width="12.42578125" style="157" bestFit="1" customWidth="1"/>
    <col min="10780" max="10780" width="11.85546875" style="157" bestFit="1" customWidth="1"/>
    <col min="10781" max="10784" width="15.42578125" style="157" bestFit="1" customWidth="1"/>
    <col min="10785" max="10785" width="13.7109375" style="157" bestFit="1" customWidth="1"/>
    <col min="10786" max="10786" width="13.28515625" style="157" bestFit="1" customWidth="1"/>
    <col min="10787" max="10787" width="2.7109375" style="157" customWidth="1"/>
    <col min="10788" max="10788" width="10.7109375" style="157" customWidth="1"/>
    <col min="10789" max="10789" width="11.85546875" style="157" bestFit="1" customWidth="1"/>
    <col min="10790" max="10793" width="15.42578125" style="157" bestFit="1" customWidth="1"/>
    <col min="10794" max="10794" width="13.7109375" style="157" bestFit="1" customWidth="1"/>
    <col min="10795" max="10795" width="17.7109375" style="157" bestFit="1" customWidth="1"/>
    <col min="10796" max="11010" width="9.140625" style="157"/>
    <col min="11011" max="11011" width="20.42578125" style="157" bestFit="1" customWidth="1"/>
    <col min="11012" max="11012" width="9.42578125" style="157" customWidth="1"/>
    <col min="11013" max="11013" width="8" style="157" customWidth="1"/>
    <col min="11014" max="11014" width="12.5703125" style="157" customWidth="1"/>
    <col min="11015" max="11015" width="7.140625" style="157" customWidth="1"/>
    <col min="11016" max="11016" width="54.28515625" style="157" customWidth="1"/>
    <col min="11017" max="11017" width="11.85546875" style="157" bestFit="1" customWidth="1"/>
    <col min="11018" max="11018" width="11.85546875" style="157" customWidth="1"/>
    <col min="11019" max="11022" width="15.42578125" style="157" bestFit="1" customWidth="1"/>
    <col min="11023" max="11023" width="10.5703125" style="157" bestFit="1" customWidth="1"/>
    <col min="11024" max="11024" width="13.28515625" style="157" bestFit="1" customWidth="1"/>
    <col min="11025" max="11025" width="2.7109375" style="157" customWidth="1"/>
    <col min="11026" max="11026" width="12.42578125" style="157" bestFit="1" customWidth="1"/>
    <col min="11027" max="11027" width="11.85546875" style="157" bestFit="1" customWidth="1"/>
    <col min="11028" max="11031" width="15.42578125" style="157" bestFit="1" customWidth="1"/>
    <col min="11032" max="11032" width="10.5703125" style="157" bestFit="1" customWidth="1"/>
    <col min="11033" max="11033" width="17.7109375" style="157" bestFit="1" customWidth="1"/>
    <col min="11034" max="11034" width="2.7109375" style="157" customWidth="1"/>
    <col min="11035" max="11035" width="12.42578125" style="157" bestFit="1" customWidth="1"/>
    <col min="11036" max="11036" width="11.85546875" style="157" bestFit="1" customWidth="1"/>
    <col min="11037" max="11040" width="15.42578125" style="157" bestFit="1" customWidth="1"/>
    <col min="11041" max="11041" width="13.7109375" style="157" bestFit="1" customWidth="1"/>
    <col min="11042" max="11042" width="13.28515625" style="157" bestFit="1" customWidth="1"/>
    <col min="11043" max="11043" width="2.7109375" style="157" customWidth="1"/>
    <col min="11044" max="11044" width="10.7109375" style="157" customWidth="1"/>
    <col min="11045" max="11045" width="11.85546875" style="157" bestFit="1" customWidth="1"/>
    <col min="11046" max="11049" width="15.42578125" style="157" bestFit="1" customWidth="1"/>
    <col min="11050" max="11050" width="13.7109375" style="157" bestFit="1" customWidth="1"/>
    <col min="11051" max="11051" width="17.7109375" style="157" bestFit="1" customWidth="1"/>
    <col min="11052" max="11266" width="9.140625" style="157"/>
    <col min="11267" max="11267" width="20.42578125" style="157" bestFit="1" customWidth="1"/>
    <col min="11268" max="11268" width="9.42578125" style="157" customWidth="1"/>
    <col min="11269" max="11269" width="8" style="157" customWidth="1"/>
    <col min="11270" max="11270" width="12.5703125" style="157" customWidth="1"/>
    <col min="11271" max="11271" width="7.140625" style="157" customWidth="1"/>
    <col min="11272" max="11272" width="54.28515625" style="157" customWidth="1"/>
    <col min="11273" max="11273" width="11.85546875" style="157" bestFit="1" customWidth="1"/>
    <col min="11274" max="11274" width="11.85546875" style="157" customWidth="1"/>
    <col min="11275" max="11278" width="15.42578125" style="157" bestFit="1" customWidth="1"/>
    <col min="11279" max="11279" width="10.5703125" style="157" bestFit="1" customWidth="1"/>
    <col min="11280" max="11280" width="13.28515625" style="157" bestFit="1" customWidth="1"/>
    <col min="11281" max="11281" width="2.7109375" style="157" customWidth="1"/>
    <col min="11282" max="11282" width="12.42578125" style="157" bestFit="1" customWidth="1"/>
    <col min="11283" max="11283" width="11.85546875" style="157" bestFit="1" customWidth="1"/>
    <col min="11284" max="11287" width="15.42578125" style="157" bestFit="1" customWidth="1"/>
    <col min="11288" max="11288" width="10.5703125" style="157" bestFit="1" customWidth="1"/>
    <col min="11289" max="11289" width="17.7109375" style="157" bestFit="1" customWidth="1"/>
    <col min="11290" max="11290" width="2.7109375" style="157" customWidth="1"/>
    <col min="11291" max="11291" width="12.42578125" style="157" bestFit="1" customWidth="1"/>
    <col min="11292" max="11292" width="11.85546875" style="157" bestFit="1" customWidth="1"/>
    <col min="11293" max="11296" width="15.42578125" style="157" bestFit="1" customWidth="1"/>
    <col min="11297" max="11297" width="13.7109375" style="157" bestFit="1" customWidth="1"/>
    <col min="11298" max="11298" width="13.28515625" style="157" bestFit="1" customWidth="1"/>
    <col min="11299" max="11299" width="2.7109375" style="157" customWidth="1"/>
    <col min="11300" max="11300" width="10.7109375" style="157" customWidth="1"/>
    <col min="11301" max="11301" width="11.85546875" style="157" bestFit="1" customWidth="1"/>
    <col min="11302" max="11305" width="15.42578125" style="157" bestFit="1" customWidth="1"/>
    <col min="11306" max="11306" width="13.7109375" style="157" bestFit="1" customWidth="1"/>
    <col min="11307" max="11307" width="17.7109375" style="157" bestFit="1" customWidth="1"/>
    <col min="11308" max="11522" width="9.140625" style="157"/>
    <col min="11523" max="11523" width="20.42578125" style="157" bestFit="1" customWidth="1"/>
    <col min="11524" max="11524" width="9.42578125" style="157" customWidth="1"/>
    <col min="11525" max="11525" width="8" style="157" customWidth="1"/>
    <col min="11526" max="11526" width="12.5703125" style="157" customWidth="1"/>
    <col min="11527" max="11527" width="7.140625" style="157" customWidth="1"/>
    <col min="11528" max="11528" width="54.28515625" style="157" customWidth="1"/>
    <col min="11529" max="11529" width="11.85546875" style="157" bestFit="1" customWidth="1"/>
    <col min="11530" max="11530" width="11.85546875" style="157" customWidth="1"/>
    <col min="11531" max="11534" width="15.42578125" style="157" bestFit="1" customWidth="1"/>
    <col min="11535" max="11535" width="10.5703125" style="157" bestFit="1" customWidth="1"/>
    <col min="11536" max="11536" width="13.28515625" style="157" bestFit="1" customWidth="1"/>
    <col min="11537" max="11537" width="2.7109375" style="157" customWidth="1"/>
    <col min="11538" max="11538" width="12.42578125" style="157" bestFit="1" customWidth="1"/>
    <col min="11539" max="11539" width="11.85546875" style="157" bestFit="1" customWidth="1"/>
    <col min="11540" max="11543" width="15.42578125" style="157" bestFit="1" customWidth="1"/>
    <col min="11544" max="11544" width="10.5703125" style="157" bestFit="1" customWidth="1"/>
    <col min="11545" max="11545" width="17.7109375" style="157" bestFit="1" customWidth="1"/>
    <col min="11546" max="11546" width="2.7109375" style="157" customWidth="1"/>
    <col min="11547" max="11547" width="12.42578125" style="157" bestFit="1" customWidth="1"/>
    <col min="11548" max="11548" width="11.85546875" style="157" bestFit="1" customWidth="1"/>
    <col min="11549" max="11552" width="15.42578125" style="157" bestFit="1" customWidth="1"/>
    <col min="11553" max="11553" width="13.7109375" style="157" bestFit="1" customWidth="1"/>
    <col min="11554" max="11554" width="13.28515625" style="157" bestFit="1" customWidth="1"/>
    <col min="11555" max="11555" width="2.7109375" style="157" customWidth="1"/>
    <col min="11556" max="11556" width="10.7109375" style="157" customWidth="1"/>
    <col min="11557" max="11557" width="11.85546875" style="157" bestFit="1" customWidth="1"/>
    <col min="11558" max="11561" width="15.42578125" style="157" bestFit="1" customWidth="1"/>
    <col min="11562" max="11562" width="13.7109375" style="157" bestFit="1" customWidth="1"/>
    <col min="11563" max="11563" width="17.7109375" style="157" bestFit="1" customWidth="1"/>
    <col min="11564" max="11778" width="9.140625" style="157"/>
    <col min="11779" max="11779" width="20.42578125" style="157" bestFit="1" customWidth="1"/>
    <col min="11780" max="11780" width="9.42578125" style="157" customWidth="1"/>
    <col min="11781" max="11781" width="8" style="157" customWidth="1"/>
    <col min="11782" max="11782" width="12.5703125" style="157" customWidth="1"/>
    <col min="11783" max="11783" width="7.140625" style="157" customWidth="1"/>
    <col min="11784" max="11784" width="54.28515625" style="157" customWidth="1"/>
    <col min="11785" max="11785" width="11.85546875" style="157" bestFit="1" customWidth="1"/>
    <col min="11786" max="11786" width="11.85546875" style="157" customWidth="1"/>
    <col min="11787" max="11790" width="15.42578125" style="157" bestFit="1" customWidth="1"/>
    <col min="11791" max="11791" width="10.5703125" style="157" bestFit="1" customWidth="1"/>
    <col min="11792" max="11792" width="13.28515625" style="157" bestFit="1" customWidth="1"/>
    <col min="11793" max="11793" width="2.7109375" style="157" customWidth="1"/>
    <col min="11794" max="11794" width="12.42578125" style="157" bestFit="1" customWidth="1"/>
    <col min="11795" max="11795" width="11.85546875" style="157" bestFit="1" customWidth="1"/>
    <col min="11796" max="11799" width="15.42578125" style="157" bestFit="1" customWidth="1"/>
    <col min="11800" max="11800" width="10.5703125" style="157" bestFit="1" customWidth="1"/>
    <col min="11801" max="11801" width="17.7109375" style="157" bestFit="1" customWidth="1"/>
    <col min="11802" max="11802" width="2.7109375" style="157" customWidth="1"/>
    <col min="11803" max="11803" width="12.42578125" style="157" bestFit="1" customWidth="1"/>
    <col min="11804" max="11804" width="11.85546875" style="157" bestFit="1" customWidth="1"/>
    <col min="11805" max="11808" width="15.42578125" style="157" bestFit="1" customWidth="1"/>
    <col min="11809" max="11809" width="13.7109375" style="157" bestFit="1" customWidth="1"/>
    <col min="11810" max="11810" width="13.28515625" style="157" bestFit="1" customWidth="1"/>
    <col min="11811" max="11811" width="2.7109375" style="157" customWidth="1"/>
    <col min="11812" max="11812" width="10.7109375" style="157" customWidth="1"/>
    <col min="11813" max="11813" width="11.85546875" style="157" bestFit="1" customWidth="1"/>
    <col min="11814" max="11817" width="15.42578125" style="157" bestFit="1" customWidth="1"/>
    <col min="11818" max="11818" width="13.7109375" style="157" bestFit="1" customWidth="1"/>
    <col min="11819" max="11819" width="17.7109375" style="157" bestFit="1" customWidth="1"/>
    <col min="11820" max="12034" width="9.140625" style="157"/>
    <col min="12035" max="12035" width="20.42578125" style="157" bestFit="1" customWidth="1"/>
    <col min="12036" max="12036" width="9.42578125" style="157" customWidth="1"/>
    <col min="12037" max="12037" width="8" style="157" customWidth="1"/>
    <col min="12038" max="12038" width="12.5703125" style="157" customWidth="1"/>
    <col min="12039" max="12039" width="7.140625" style="157" customWidth="1"/>
    <col min="12040" max="12040" width="54.28515625" style="157" customWidth="1"/>
    <col min="12041" max="12041" width="11.85546875" style="157" bestFit="1" customWidth="1"/>
    <col min="12042" max="12042" width="11.85546875" style="157" customWidth="1"/>
    <col min="12043" max="12046" width="15.42578125" style="157" bestFit="1" customWidth="1"/>
    <col min="12047" max="12047" width="10.5703125" style="157" bestFit="1" customWidth="1"/>
    <col min="12048" max="12048" width="13.28515625" style="157" bestFit="1" customWidth="1"/>
    <col min="12049" max="12049" width="2.7109375" style="157" customWidth="1"/>
    <col min="12050" max="12050" width="12.42578125" style="157" bestFit="1" customWidth="1"/>
    <col min="12051" max="12051" width="11.85546875" style="157" bestFit="1" customWidth="1"/>
    <col min="12052" max="12055" width="15.42578125" style="157" bestFit="1" customWidth="1"/>
    <col min="12056" max="12056" width="10.5703125" style="157" bestFit="1" customWidth="1"/>
    <col min="12057" max="12057" width="17.7109375" style="157" bestFit="1" customWidth="1"/>
    <col min="12058" max="12058" width="2.7109375" style="157" customWidth="1"/>
    <col min="12059" max="12059" width="12.42578125" style="157" bestFit="1" customWidth="1"/>
    <col min="12060" max="12060" width="11.85546875" style="157" bestFit="1" customWidth="1"/>
    <col min="12061" max="12064" width="15.42578125" style="157" bestFit="1" customWidth="1"/>
    <col min="12065" max="12065" width="13.7109375" style="157" bestFit="1" customWidth="1"/>
    <col min="12066" max="12066" width="13.28515625" style="157" bestFit="1" customWidth="1"/>
    <col min="12067" max="12067" width="2.7109375" style="157" customWidth="1"/>
    <col min="12068" max="12068" width="10.7109375" style="157" customWidth="1"/>
    <col min="12069" max="12069" width="11.85546875" style="157" bestFit="1" customWidth="1"/>
    <col min="12070" max="12073" width="15.42578125" style="157" bestFit="1" customWidth="1"/>
    <col min="12074" max="12074" width="13.7109375" style="157" bestFit="1" customWidth="1"/>
    <col min="12075" max="12075" width="17.7109375" style="157" bestFit="1" customWidth="1"/>
    <col min="12076" max="12290" width="9.140625" style="157"/>
    <col min="12291" max="12291" width="20.42578125" style="157" bestFit="1" customWidth="1"/>
    <col min="12292" max="12292" width="9.42578125" style="157" customWidth="1"/>
    <col min="12293" max="12293" width="8" style="157" customWidth="1"/>
    <col min="12294" max="12294" width="12.5703125" style="157" customWidth="1"/>
    <col min="12295" max="12295" width="7.140625" style="157" customWidth="1"/>
    <col min="12296" max="12296" width="54.28515625" style="157" customWidth="1"/>
    <col min="12297" max="12297" width="11.85546875" style="157" bestFit="1" customWidth="1"/>
    <col min="12298" max="12298" width="11.85546875" style="157" customWidth="1"/>
    <col min="12299" max="12302" width="15.42578125" style="157" bestFit="1" customWidth="1"/>
    <col min="12303" max="12303" width="10.5703125" style="157" bestFit="1" customWidth="1"/>
    <col min="12304" max="12304" width="13.28515625" style="157" bestFit="1" customWidth="1"/>
    <col min="12305" max="12305" width="2.7109375" style="157" customWidth="1"/>
    <col min="12306" max="12306" width="12.42578125" style="157" bestFit="1" customWidth="1"/>
    <col min="12307" max="12307" width="11.85546875" style="157" bestFit="1" customWidth="1"/>
    <col min="12308" max="12311" width="15.42578125" style="157" bestFit="1" customWidth="1"/>
    <col min="12312" max="12312" width="10.5703125" style="157" bestFit="1" customWidth="1"/>
    <col min="12313" max="12313" width="17.7109375" style="157" bestFit="1" customWidth="1"/>
    <col min="12314" max="12314" width="2.7109375" style="157" customWidth="1"/>
    <col min="12315" max="12315" width="12.42578125" style="157" bestFit="1" customWidth="1"/>
    <col min="12316" max="12316" width="11.85546875" style="157" bestFit="1" customWidth="1"/>
    <col min="12317" max="12320" width="15.42578125" style="157" bestFit="1" customWidth="1"/>
    <col min="12321" max="12321" width="13.7109375" style="157" bestFit="1" customWidth="1"/>
    <col min="12322" max="12322" width="13.28515625" style="157" bestFit="1" customWidth="1"/>
    <col min="12323" max="12323" width="2.7109375" style="157" customWidth="1"/>
    <col min="12324" max="12324" width="10.7109375" style="157" customWidth="1"/>
    <col min="12325" max="12325" width="11.85546875" style="157" bestFit="1" customWidth="1"/>
    <col min="12326" max="12329" width="15.42578125" style="157" bestFit="1" customWidth="1"/>
    <col min="12330" max="12330" width="13.7109375" style="157" bestFit="1" customWidth="1"/>
    <col min="12331" max="12331" width="17.7109375" style="157" bestFit="1" customWidth="1"/>
    <col min="12332" max="12546" width="9.140625" style="157"/>
    <col min="12547" max="12547" width="20.42578125" style="157" bestFit="1" customWidth="1"/>
    <col min="12548" max="12548" width="9.42578125" style="157" customWidth="1"/>
    <col min="12549" max="12549" width="8" style="157" customWidth="1"/>
    <col min="12550" max="12550" width="12.5703125" style="157" customWidth="1"/>
    <col min="12551" max="12551" width="7.140625" style="157" customWidth="1"/>
    <col min="12552" max="12552" width="54.28515625" style="157" customWidth="1"/>
    <col min="12553" max="12553" width="11.85546875" style="157" bestFit="1" customWidth="1"/>
    <col min="12554" max="12554" width="11.85546875" style="157" customWidth="1"/>
    <col min="12555" max="12558" width="15.42578125" style="157" bestFit="1" customWidth="1"/>
    <col min="12559" max="12559" width="10.5703125" style="157" bestFit="1" customWidth="1"/>
    <col min="12560" max="12560" width="13.28515625" style="157" bestFit="1" customWidth="1"/>
    <col min="12561" max="12561" width="2.7109375" style="157" customWidth="1"/>
    <col min="12562" max="12562" width="12.42578125" style="157" bestFit="1" customWidth="1"/>
    <col min="12563" max="12563" width="11.85546875" style="157" bestFit="1" customWidth="1"/>
    <col min="12564" max="12567" width="15.42578125" style="157" bestFit="1" customWidth="1"/>
    <col min="12568" max="12568" width="10.5703125" style="157" bestFit="1" customWidth="1"/>
    <col min="12569" max="12569" width="17.7109375" style="157" bestFit="1" customWidth="1"/>
    <col min="12570" max="12570" width="2.7109375" style="157" customWidth="1"/>
    <col min="12571" max="12571" width="12.42578125" style="157" bestFit="1" customWidth="1"/>
    <col min="12572" max="12572" width="11.85546875" style="157" bestFit="1" customWidth="1"/>
    <col min="12573" max="12576" width="15.42578125" style="157" bestFit="1" customWidth="1"/>
    <col min="12577" max="12577" width="13.7109375" style="157" bestFit="1" customWidth="1"/>
    <col min="12578" max="12578" width="13.28515625" style="157" bestFit="1" customWidth="1"/>
    <col min="12579" max="12579" width="2.7109375" style="157" customWidth="1"/>
    <col min="12580" max="12580" width="10.7109375" style="157" customWidth="1"/>
    <col min="12581" max="12581" width="11.85546875" style="157" bestFit="1" customWidth="1"/>
    <col min="12582" max="12585" width="15.42578125" style="157" bestFit="1" customWidth="1"/>
    <col min="12586" max="12586" width="13.7109375" style="157" bestFit="1" customWidth="1"/>
    <col min="12587" max="12587" width="17.7109375" style="157" bestFit="1" customWidth="1"/>
    <col min="12588" max="12802" width="9.140625" style="157"/>
    <col min="12803" max="12803" width="20.42578125" style="157" bestFit="1" customWidth="1"/>
    <col min="12804" max="12804" width="9.42578125" style="157" customWidth="1"/>
    <col min="12805" max="12805" width="8" style="157" customWidth="1"/>
    <col min="12806" max="12806" width="12.5703125" style="157" customWidth="1"/>
    <col min="12807" max="12807" width="7.140625" style="157" customWidth="1"/>
    <col min="12808" max="12808" width="54.28515625" style="157" customWidth="1"/>
    <col min="12809" max="12809" width="11.85546875" style="157" bestFit="1" customWidth="1"/>
    <col min="12810" max="12810" width="11.85546875" style="157" customWidth="1"/>
    <col min="12811" max="12814" width="15.42578125" style="157" bestFit="1" customWidth="1"/>
    <col min="12815" max="12815" width="10.5703125" style="157" bestFit="1" customWidth="1"/>
    <col min="12816" max="12816" width="13.28515625" style="157" bestFit="1" customWidth="1"/>
    <col min="12817" max="12817" width="2.7109375" style="157" customWidth="1"/>
    <col min="12818" max="12818" width="12.42578125" style="157" bestFit="1" customWidth="1"/>
    <col min="12819" max="12819" width="11.85546875" style="157" bestFit="1" customWidth="1"/>
    <col min="12820" max="12823" width="15.42578125" style="157" bestFit="1" customWidth="1"/>
    <col min="12824" max="12824" width="10.5703125" style="157" bestFit="1" customWidth="1"/>
    <col min="12825" max="12825" width="17.7109375" style="157" bestFit="1" customWidth="1"/>
    <col min="12826" max="12826" width="2.7109375" style="157" customWidth="1"/>
    <col min="12827" max="12827" width="12.42578125" style="157" bestFit="1" customWidth="1"/>
    <col min="12828" max="12828" width="11.85546875" style="157" bestFit="1" customWidth="1"/>
    <col min="12829" max="12832" width="15.42578125" style="157" bestFit="1" customWidth="1"/>
    <col min="12833" max="12833" width="13.7109375" style="157" bestFit="1" customWidth="1"/>
    <col min="12834" max="12834" width="13.28515625" style="157" bestFit="1" customWidth="1"/>
    <col min="12835" max="12835" width="2.7109375" style="157" customWidth="1"/>
    <col min="12836" max="12836" width="10.7109375" style="157" customWidth="1"/>
    <col min="12837" max="12837" width="11.85546875" style="157" bestFit="1" customWidth="1"/>
    <col min="12838" max="12841" width="15.42578125" style="157" bestFit="1" customWidth="1"/>
    <col min="12842" max="12842" width="13.7109375" style="157" bestFit="1" customWidth="1"/>
    <col min="12843" max="12843" width="17.7109375" style="157" bestFit="1" customWidth="1"/>
    <col min="12844" max="13058" width="9.140625" style="157"/>
    <col min="13059" max="13059" width="20.42578125" style="157" bestFit="1" customWidth="1"/>
    <col min="13060" max="13060" width="9.42578125" style="157" customWidth="1"/>
    <col min="13061" max="13061" width="8" style="157" customWidth="1"/>
    <col min="13062" max="13062" width="12.5703125" style="157" customWidth="1"/>
    <col min="13063" max="13063" width="7.140625" style="157" customWidth="1"/>
    <col min="13064" max="13064" width="54.28515625" style="157" customWidth="1"/>
    <col min="13065" max="13065" width="11.85546875" style="157" bestFit="1" customWidth="1"/>
    <col min="13066" max="13066" width="11.85546875" style="157" customWidth="1"/>
    <col min="13067" max="13070" width="15.42578125" style="157" bestFit="1" customWidth="1"/>
    <col min="13071" max="13071" width="10.5703125" style="157" bestFit="1" customWidth="1"/>
    <col min="13072" max="13072" width="13.28515625" style="157" bestFit="1" customWidth="1"/>
    <col min="13073" max="13073" width="2.7109375" style="157" customWidth="1"/>
    <col min="13074" max="13074" width="12.42578125" style="157" bestFit="1" customWidth="1"/>
    <col min="13075" max="13075" width="11.85546875" style="157" bestFit="1" customWidth="1"/>
    <col min="13076" max="13079" width="15.42578125" style="157" bestFit="1" customWidth="1"/>
    <col min="13080" max="13080" width="10.5703125" style="157" bestFit="1" customWidth="1"/>
    <col min="13081" max="13081" width="17.7109375" style="157" bestFit="1" customWidth="1"/>
    <col min="13082" max="13082" width="2.7109375" style="157" customWidth="1"/>
    <col min="13083" max="13083" width="12.42578125" style="157" bestFit="1" customWidth="1"/>
    <col min="13084" max="13084" width="11.85546875" style="157" bestFit="1" customWidth="1"/>
    <col min="13085" max="13088" width="15.42578125" style="157" bestFit="1" customWidth="1"/>
    <col min="13089" max="13089" width="13.7109375" style="157" bestFit="1" customWidth="1"/>
    <col min="13090" max="13090" width="13.28515625" style="157" bestFit="1" customWidth="1"/>
    <col min="13091" max="13091" width="2.7109375" style="157" customWidth="1"/>
    <col min="13092" max="13092" width="10.7109375" style="157" customWidth="1"/>
    <col min="13093" max="13093" width="11.85546875" style="157" bestFit="1" customWidth="1"/>
    <col min="13094" max="13097" width="15.42578125" style="157" bestFit="1" customWidth="1"/>
    <col min="13098" max="13098" width="13.7109375" style="157" bestFit="1" customWidth="1"/>
    <col min="13099" max="13099" width="17.7109375" style="157" bestFit="1" customWidth="1"/>
    <col min="13100" max="13314" width="9.140625" style="157"/>
    <col min="13315" max="13315" width="20.42578125" style="157" bestFit="1" customWidth="1"/>
    <col min="13316" max="13316" width="9.42578125" style="157" customWidth="1"/>
    <col min="13317" max="13317" width="8" style="157" customWidth="1"/>
    <col min="13318" max="13318" width="12.5703125" style="157" customWidth="1"/>
    <col min="13319" max="13319" width="7.140625" style="157" customWidth="1"/>
    <col min="13320" max="13320" width="54.28515625" style="157" customWidth="1"/>
    <col min="13321" max="13321" width="11.85546875" style="157" bestFit="1" customWidth="1"/>
    <col min="13322" max="13322" width="11.85546875" style="157" customWidth="1"/>
    <col min="13323" max="13326" width="15.42578125" style="157" bestFit="1" customWidth="1"/>
    <col min="13327" max="13327" width="10.5703125" style="157" bestFit="1" customWidth="1"/>
    <col min="13328" max="13328" width="13.28515625" style="157" bestFit="1" customWidth="1"/>
    <col min="13329" max="13329" width="2.7109375" style="157" customWidth="1"/>
    <col min="13330" max="13330" width="12.42578125" style="157" bestFit="1" customWidth="1"/>
    <col min="13331" max="13331" width="11.85546875" style="157" bestFit="1" customWidth="1"/>
    <col min="13332" max="13335" width="15.42578125" style="157" bestFit="1" customWidth="1"/>
    <col min="13336" max="13336" width="10.5703125" style="157" bestFit="1" customWidth="1"/>
    <col min="13337" max="13337" width="17.7109375" style="157" bestFit="1" customWidth="1"/>
    <col min="13338" max="13338" width="2.7109375" style="157" customWidth="1"/>
    <col min="13339" max="13339" width="12.42578125" style="157" bestFit="1" customWidth="1"/>
    <col min="13340" max="13340" width="11.85546875" style="157" bestFit="1" customWidth="1"/>
    <col min="13341" max="13344" width="15.42578125" style="157" bestFit="1" customWidth="1"/>
    <col min="13345" max="13345" width="13.7109375" style="157" bestFit="1" customWidth="1"/>
    <col min="13346" max="13346" width="13.28515625" style="157" bestFit="1" customWidth="1"/>
    <col min="13347" max="13347" width="2.7109375" style="157" customWidth="1"/>
    <col min="13348" max="13348" width="10.7109375" style="157" customWidth="1"/>
    <col min="13349" max="13349" width="11.85546875" style="157" bestFit="1" customWidth="1"/>
    <col min="13350" max="13353" width="15.42578125" style="157" bestFit="1" customWidth="1"/>
    <col min="13354" max="13354" width="13.7109375" style="157" bestFit="1" customWidth="1"/>
    <col min="13355" max="13355" width="17.7109375" style="157" bestFit="1" customWidth="1"/>
    <col min="13356" max="13570" width="9.140625" style="157"/>
    <col min="13571" max="13571" width="20.42578125" style="157" bestFit="1" customWidth="1"/>
    <col min="13572" max="13572" width="9.42578125" style="157" customWidth="1"/>
    <col min="13573" max="13573" width="8" style="157" customWidth="1"/>
    <col min="13574" max="13574" width="12.5703125" style="157" customWidth="1"/>
    <col min="13575" max="13575" width="7.140625" style="157" customWidth="1"/>
    <col min="13576" max="13576" width="54.28515625" style="157" customWidth="1"/>
    <col min="13577" max="13577" width="11.85546875" style="157" bestFit="1" customWidth="1"/>
    <col min="13578" max="13578" width="11.85546875" style="157" customWidth="1"/>
    <col min="13579" max="13582" width="15.42578125" style="157" bestFit="1" customWidth="1"/>
    <col min="13583" max="13583" width="10.5703125" style="157" bestFit="1" customWidth="1"/>
    <col min="13584" max="13584" width="13.28515625" style="157" bestFit="1" customWidth="1"/>
    <col min="13585" max="13585" width="2.7109375" style="157" customWidth="1"/>
    <col min="13586" max="13586" width="12.42578125" style="157" bestFit="1" customWidth="1"/>
    <col min="13587" max="13587" width="11.85546875" style="157" bestFit="1" customWidth="1"/>
    <col min="13588" max="13591" width="15.42578125" style="157" bestFit="1" customWidth="1"/>
    <col min="13592" max="13592" width="10.5703125" style="157" bestFit="1" customWidth="1"/>
    <col min="13593" max="13593" width="17.7109375" style="157" bestFit="1" customWidth="1"/>
    <col min="13594" max="13594" width="2.7109375" style="157" customWidth="1"/>
    <col min="13595" max="13595" width="12.42578125" style="157" bestFit="1" customWidth="1"/>
    <col min="13596" max="13596" width="11.85546875" style="157" bestFit="1" customWidth="1"/>
    <col min="13597" max="13600" width="15.42578125" style="157" bestFit="1" customWidth="1"/>
    <col min="13601" max="13601" width="13.7109375" style="157" bestFit="1" customWidth="1"/>
    <col min="13602" max="13602" width="13.28515625" style="157" bestFit="1" customWidth="1"/>
    <col min="13603" max="13603" width="2.7109375" style="157" customWidth="1"/>
    <col min="13604" max="13604" width="10.7109375" style="157" customWidth="1"/>
    <col min="13605" max="13605" width="11.85546875" style="157" bestFit="1" customWidth="1"/>
    <col min="13606" max="13609" width="15.42578125" style="157" bestFit="1" customWidth="1"/>
    <col min="13610" max="13610" width="13.7109375" style="157" bestFit="1" customWidth="1"/>
    <col min="13611" max="13611" width="17.7109375" style="157" bestFit="1" customWidth="1"/>
    <col min="13612" max="13826" width="9.140625" style="157"/>
    <col min="13827" max="13827" width="20.42578125" style="157" bestFit="1" customWidth="1"/>
    <col min="13828" max="13828" width="9.42578125" style="157" customWidth="1"/>
    <col min="13829" max="13829" width="8" style="157" customWidth="1"/>
    <col min="13830" max="13830" width="12.5703125" style="157" customWidth="1"/>
    <col min="13831" max="13831" width="7.140625" style="157" customWidth="1"/>
    <col min="13832" max="13832" width="54.28515625" style="157" customWidth="1"/>
    <col min="13833" max="13833" width="11.85546875" style="157" bestFit="1" customWidth="1"/>
    <col min="13834" max="13834" width="11.85546875" style="157" customWidth="1"/>
    <col min="13835" max="13838" width="15.42578125" style="157" bestFit="1" customWidth="1"/>
    <col min="13839" max="13839" width="10.5703125" style="157" bestFit="1" customWidth="1"/>
    <col min="13840" max="13840" width="13.28515625" style="157" bestFit="1" customWidth="1"/>
    <col min="13841" max="13841" width="2.7109375" style="157" customWidth="1"/>
    <col min="13842" max="13842" width="12.42578125" style="157" bestFit="1" customWidth="1"/>
    <col min="13843" max="13843" width="11.85546875" style="157" bestFit="1" customWidth="1"/>
    <col min="13844" max="13847" width="15.42578125" style="157" bestFit="1" customWidth="1"/>
    <col min="13848" max="13848" width="10.5703125" style="157" bestFit="1" customWidth="1"/>
    <col min="13849" max="13849" width="17.7109375" style="157" bestFit="1" customWidth="1"/>
    <col min="13850" max="13850" width="2.7109375" style="157" customWidth="1"/>
    <col min="13851" max="13851" width="12.42578125" style="157" bestFit="1" customWidth="1"/>
    <col min="13852" max="13852" width="11.85546875" style="157" bestFit="1" customWidth="1"/>
    <col min="13853" max="13856" width="15.42578125" style="157" bestFit="1" customWidth="1"/>
    <col min="13857" max="13857" width="13.7109375" style="157" bestFit="1" customWidth="1"/>
    <col min="13858" max="13858" width="13.28515625" style="157" bestFit="1" customWidth="1"/>
    <col min="13859" max="13859" width="2.7109375" style="157" customWidth="1"/>
    <col min="13860" max="13860" width="10.7109375" style="157" customWidth="1"/>
    <col min="13861" max="13861" width="11.85546875" style="157" bestFit="1" customWidth="1"/>
    <col min="13862" max="13865" width="15.42578125" style="157" bestFit="1" customWidth="1"/>
    <col min="13866" max="13866" width="13.7109375" style="157" bestFit="1" customWidth="1"/>
    <col min="13867" max="13867" width="17.7109375" style="157" bestFit="1" customWidth="1"/>
    <col min="13868" max="14082" width="9.140625" style="157"/>
    <col min="14083" max="14083" width="20.42578125" style="157" bestFit="1" customWidth="1"/>
    <col min="14084" max="14084" width="9.42578125" style="157" customWidth="1"/>
    <col min="14085" max="14085" width="8" style="157" customWidth="1"/>
    <col min="14086" max="14086" width="12.5703125" style="157" customWidth="1"/>
    <col min="14087" max="14087" width="7.140625" style="157" customWidth="1"/>
    <col min="14088" max="14088" width="54.28515625" style="157" customWidth="1"/>
    <col min="14089" max="14089" width="11.85546875" style="157" bestFit="1" customWidth="1"/>
    <col min="14090" max="14090" width="11.85546875" style="157" customWidth="1"/>
    <col min="14091" max="14094" width="15.42578125" style="157" bestFit="1" customWidth="1"/>
    <col min="14095" max="14095" width="10.5703125" style="157" bestFit="1" customWidth="1"/>
    <col min="14096" max="14096" width="13.28515625" style="157" bestFit="1" customWidth="1"/>
    <col min="14097" max="14097" width="2.7109375" style="157" customWidth="1"/>
    <col min="14098" max="14098" width="12.42578125" style="157" bestFit="1" customWidth="1"/>
    <col min="14099" max="14099" width="11.85546875" style="157" bestFit="1" customWidth="1"/>
    <col min="14100" max="14103" width="15.42578125" style="157" bestFit="1" customWidth="1"/>
    <col min="14104" max="14104" width="10.5703125" style="157" bestFit="1" customWidth="1"/>
    <col min="14105" max="14105" width="17.7109375" style="157" bestFit="1" customWidth="1"/>
    <col min="14106" max="14106" width="2.7109375" style="157" customWidth="1"/>
    <col min="14107" max="14107" width="12.42578125" style="157" bestFit="1" customWidth="1"/>
    <col min="14108" max="14108" width="11.85546875" style="157" bestFit="1" customWidth="1"/>
    <col min="14109" max="14112" width="15.42578125" style="157" bestFit="1" customWidth="1"/>
    <col min="14113" max="14113" width="13.7109375" style="157" bestFit="1" customWidth="1"/>
    <col min="14114" max="14114" width="13.28515625" style="157" bestFit="1" customWidth="1"/>
    <col min="14115" max="14115" width="2.7109375" style="157" customWidth="1"/>
    <col min="14116" max="14116" width="10.7109375" style="157" customWidth="1"/>
    <col min="14117" max="14117" width="11.85546875" style="157" bestFit="1" customWidth="1"/>
    <col min="14118" max="14121" width="15.42578125" style="157" bestFit="1" customWidth="1"/>
    <col min="14122" max="14122" width="13.7109375" style="157" bestFit="1" customWidth="1"/>
    <col min="14123" max="14123" width="17.7109375" style="157" bestFit="1" customWidth="1"/>
    <col min="14124" max="14338" width="9.140625" style="157"/>
    <col min="14339" max="14339" width="20.42578125" style="157" bestFit="1" customWidth="1"/>
    <col min="14340" max="14340" width="9.42578125" style="157" customWidth="1"/>
    <col min="14341" max="14341" width="8" style="157" customWidth="1"/>
    <col min="14342" max="14342" width="12.5703125" style="157" customWidth="1"/>
    <col min="14343" max="14343" width="7.140625" style="157" customWidth="1"/>
    <col min="14344" max="14344" width="54.28515625" style="157" customWidth="1"/>
    <col min="14345" max="14345" width="11.85546875" style="157" bestFit="1" customWidth="1"/>
    <col min="14346" max="14346" width="11.85546875" style="157" customWidth="1"/>
    <col min="14347" max="14350" width="15.42578125" style="157" bestFit="1" customWidth="1"/>
    <col min="14351" max="14351" width="10.5703125" style="157" bestFit="1" customWidth="1"/>
    <col min="14352" max="14352" width="13.28515625" style="157" bestFit="1" customWidth="1"/>
    <col min="14353" max="14353" width="2.7109375" style="157" customWidth="1"/>
    <col min="14354" max="14354" width="12.42578125" style="157" bestFit="1" customWidth="1"/>
    <col min="14355" max="14355" width="11.85546875" style="157" bestFit="1" customWidth="1"/>
    <col min="14356" max="14359" width="15.42578125" style="157" bestFit="1" customWidth="1"/>
    <col min="14360" max="14360" width="10.5703125" style="157" bestFit="1" customWidth="1"/>
    <col min="14361" max="14361" width="17.7109375" style="157" bestFit="1" customWidth="1"/>
    <col min="14362" max="14362" width="2.7109375" style="157" customWidth="1"/>
    <col min="14363" max="14363" width="12.42578125" style="157" bestFit="1" customWidth="1"/>
    <col min="14364" max="14364" width="11.85546875" style="157" bestFit="1" customWidth="1"/>
    <col min="14365" max="14368" width="15.42578125" style="157" bestFit="1" customWidth="1"/>
    <col min="14369" max="14369" width="13.7109375" style="157" bestFit="1" customWidth="1"/>
    <col min="14370" max="14370" width="13.28515625" style="157" bestFit="1" customWidth="1"/>
    <col min="14371" max="14371" width="2.7109375" style="157" customWidth="1"/>
    <col min="14372" max="14372" width="10.7109375" style="157" customWidth="1"/>
    <col min="14373" max="14373" width="11.85546875" style="157" bestFit="1" customWidth="1"/>
    <col min="14374" max="14377" width="15.42578125" style="157" bestFit="1" customWidth="1"/>
    <col min="14378" max="14378" width="13.7109375" style="157" bestFit="1" customWidth="1"/>
    <col min="14379" max="14379" width="17.7109375" style="157" bestFit="1" customWidth="1"/>
    <col min="14380" max="14594" width="9.140625" style="157"/>
    <col min="14595" max="14595" width="20.42578125" style="157" bestFit="1" customWidth="1"/>
    <col min="14596" max="14596" width="9.42578125" style="157" customWidth="1"/>
    <col min="14597" max="14597" width="8" style="157" customWidth="1"/>
    <col min="14598" max="14598" width="12.5703125" style="157" customWidth="1"/>
    <col min="14599" max="14599" width="7.140625" style="157" customWidth="1"/>
    <col min="14600" max="14600" width="54.28515625" style="157" customWidth="1"/>
    <col min="14601" max="14601" width="11.85546875" style="157" bestFit="1" customWidth="1"/>
    <col min="14602" max="14602" width="11.85546875" style="157" customWidth="1"/>
    <col min="14603" max="14606" width="15.42578125" style="157" bestFit="1" customWidth="1"/>
    <col min="14607" max="14607" width="10.5703125" style="157" bestFit="1" customWidth="1"/>
    <col min="14608" max="14608" width="13.28515625" style="157" bestFit="1" customWidth="1"/>
    <col min="14609" max="14609" width="2.7109375" style="157" customWidth="1"/>
    <col min="14610" max="14610" width="12.42578125" style="157" bestFit="1" customWidth="1"/>
    <col min="14611" max="14611" width="11.85546875" style="157" bestFit="1" customWidth="1"/>
    <col min="14612" max="14615" width="15.42578125" style="157" bestFit="1" customWidth="1"/>
    <col min="14616" max="14616" width="10.5703125" style="157" bestFit="1" customWidth="1"/>
    <col min="14617" max="14617" width="17.7109375" style="157" bestFit="1" customWidth="1"/>
    <col min="14618" max="14618" width="2.7109375" style="157" customWidth="1"/>
    <col min="14619" max="14619" width="12.42578125" style="157" bestFit="1" customWidth="1"/>
    <col min="14620" max="14620" width="11.85546875" style="157" bestFit="1" customWidth="1"/>
    <col min="14621" max="14624" width="15.42578125" style="157" bestFit="1" customWidth="1"/>
    <col min="14625" max="14625" width="13.7109375" style="157" bestFit="1" customWidth="1"/>
    <col min="14626" max="14626" width="13.28515625" style="157" bestFit="1" customWidth="1"/>
    <col min="14627" max="14627" width="2.7109375" style="157" customWidth="1"/>
    <col min="14628" max="14628" width="10.7109375" style="157" customWidth="1"/>
    <col min="14629" max="14629" width="11.85546875" style="157" bestFit="1" customWidth="1"/>
    <col min="14630" max="14633" width="15.42578125" style="157" bestFit="1" customWidth="1"/>
    <col min="14634" max="14634" width="13.7109375" style="157" bestFit="1" customWidth="1"/>
    <col min="14635" max="14635" width="17.7109375" style="157" bestFit="1" customWidth="1"/>
    <col min="14636" max="14850" width="9.140625" style="157"/>
    <col min="14851" max="14851" width="20.42578125" style="157" bestFit="1" customWidth="1"/>
    <col min="14852" max="14852" width="9.42578125" style="157" customWidth="1"/>
    <col min="14853" max="14853" width="8" style="157" customWidth="1"/>
    <col min="14854" max="14854" width="12.5703125" style="157" customWidth="1"/>
    <col min="14855" max="14855" width="7.140625" style="157" customWidth="1"/>
    <col min="14856" max="14856" width="54.28515625" style="157" customWidth="1"/>
    <col min="14857" max="14857" width="11.85546875" style="157" bestFit="1" customWidth="1"/>
    <col min="14858" max="14858" width="11.85546875" style="157" customWidth="1"/>
    <col min="14859" max="14862" width="15.42578125" style="157" bestFit="1" customWidth="1"/>
    <col min="14863" max="14863" width="10.5703125" style="157" bestFit="1" customWidth="1"/>
    <col min="14864" max="14864" width="13.28515625" style="157" bestFit="1" customWidth="1"/>
    <col min="14865" max="14865" width="2.7109375" style="157" customWidth="1"/>
    <col min="14866" max="14866" width="12.42578125" style="157" bestFit="1" customWidth="1"/>
    <col min="14867" max="14867" width="11.85546875" style="157" bestFit="1" customWidth="1"/>
    <col min="14868" max="14871" width="15.42578125" style="157" bestFit="1" customWidth="1"/>
    <col min="14872" max="14872" width="10.5703125" style="157" bestFit="1" customWidth="1"/>
    <col min="14873" max="14873" width="17.7109375" style="157" bestFit="1" customWidth="1"/>
    <col min="14874" max="14874" width="2.7109375" style="157" customWidth="1"/>
    <col min="14875" max="14875" width="12.42578125" style="157" bestFit="1" customWidth="1"/>
    <col min="14876" max="14876" width="11.85546875" style="157" bestFit="1" customWidth="1"/>
    <col min="14877" max="14880" width="15.42578125" style="157" bestFit="1" customWidth="1"/>
    <col min="14881" max="14881" width="13.7109375" style="157" bestFit="1" customWidth="1"/>
    <col min="14882" max="14882" width="13.28515625" style="157" bestFit="1" customWidth="1"/>
    <col min="14883" max="14883" width="2.7109375" style="157" customWidth="1"/>
    <col min="14884" max="14884" width="10.7109375" style="157" customWidth="1"/>
    <col min="14885" max="14885" width="11.85546875" style="157" bestFit="1" customWidth="1"/>
    <col min="14886" max="14889" width="15.42578125" style="157" bestFit="1" customWidth="1"/>
    <col min="14890" max="14890" width="13.7109375" style="157" bestFit="1" customWidth="1"/>
    <col min="14891" max="14891" width="17.7109375" style="157" bestFit="1" customWidth="1"/>
    <col min="14892" max="15106" width="9.140625" style="157"/>
    <col min="15107" max="15107" width="20.42578125" style="157" bestFit="1" customWidth="1"/>
    <col min="15108" max="15108" width="9.42578125" style="157" customWidth="1"/>
    <col min="15109" max="15109" width="8" style="157" customWidth="1"/>
    <col min="15110" max="15110" width="12.5703125" style="157" customWidth="1"/>
    <col min="15111" max="15111" width="7.140625" style="157" customWidth="1"/>
    <col min="15112" max="15112" width="54.28515625" style="157" customWidth="1"/>
    <col min="15113" max="15113" width="11.85546875" style="157" bestFit="1" customWidth="1"/>
    <col min="15114" max="15114" width="11.85546875" style="157" customWidth="1"/>
    <col min="15115" max="15118" width="15.42578125" style="157" bestFit="1" customWidth="1"/>
    <col min="15119" max="15119" width="10.5703125" style="157" bestFit="1" customWidth="1"/>
    <col min="15120" max="15120" width="13.28515625" style="157" bestFit="1" customWidth="1"/>
    <col min="15121" max="15121" width="2.7109375" style="157" customWidth="1"/>
    <col min="15122" max="15122" width="12.42578125" style="157" bestFit="1" customWidth="1"/>
    <col min="15123" max="15123" width="11.85546875" style="157" bestFit="1" customWidth="1"/>
    <col min="15124" max="15127" width="15.42578125" style="157" bestFit="1" customWidth="1"/>
    <col min="15128" max="15128" width="10.5703125" style="157" bestFit="1" customWidth="1"/>
    <col min="15129" max="15129" width="17.7109375" style="157" bestFit="1" customWidth="1"/>
    <col min="15130" max="15130" width="2.7109375" style="157" customWidth="1"/>
    <col min="15131" max="15131" width="12.42578125" style="157" bestFit="1" customWidth="1"/>
    <col min="15132" max="15132" width="11.85546875" style="157" bestFit="1" customWidth="1"/>
    <col min="15133" max="15136" width="15.42578125" style="157" bestFit="1" customWidth="1"/>
    <col min="15137" max="15137" width="13.7109375" style="157" bestFit="1" customWidth="1"/>
    <col min="15138" max="15138" width="13.28515625" style="157" bestFit="1" customWidth="1"/>
    <col min="15139" max="15139" width="2.7109375" style="157" customWidth="1"/>
    <col min="15140" max="15140" width="10.7109375" style="157" customWidth="1"/>
    <col min="15141" max="15141" width="11.85546875" style="157" bestFit="1" customWidth="1"/>
    <col min="15142" max="15145" width="15.42578125" style="157" bestFit="1" customWidth="1"/>
    <col min="15146" max="15146" width="13.7109375" style="157" bestFit="1" customWidth="1"/>
    <col min="15147" max="15147" width="17.7109375" style="157" bestFit="1" customWidth="1"/>
    <col min="15148" max="15362" width="9.140625" style="157"/>
    <col min="15363" max="15363" width="20.42578125" style="157" bestFit="1" customWidth="1"/>
    <col min="15364" max="15364" width="9.42578125" style="157" customWidth="1"/>
    <col min="15365" max="15365" width="8" style="157" customWidth="1"/>
    <col min="15366" max="15366" width="12.5703125" style="157" customWidth="1"/>
    <col min="15367" max="15367" width="7.140625" style="157" customWidth="1"/>
    <col min="15368" max="15368" width="54.28515625" style="157" customWidth="1"/>
    <col min="15369" max="15369" width="11.85546875" style="157" bestFit="1" customWidth="1"/>
    <col min="15370" max="15370" width="11.85546875" style="157" customWidth="1"/>
    <col min="15371" max="15374" width="15.42578125" style="157" bestFit="1" customWidth="1"/>
    <col min="15375" max="15375" width="10.5703125" style="157" bestFit="1" customWidth="1"/>
    <col min="15376" max="15376" width="13.28515625" style="157" bestFit="1" customWidth="1"/>
    <col min="15377" max="15377" width="2.7109375" style="157" customWidth="1"/>
    <col min="15378" max="15378" width="12.42578125" style="157" bestFit="1" customWidth="1"/>
    <col min="15379" max="15379" width="11.85546875" style="157" bestFit="1" customWidth="1"/>
    <col min="15380" max="15383" width="15.42578125" style="157" bestFit="1" customWidth="1"/>
    <col min="15384" max="15384" width="10.5703125" style="157" bestFit="1" customWidth="1"/>
    <col min="15385" max="15385" width="17.7109375" style="157" bestFit="1" customWidth="1"/>
    <col min="15386" max="15386" width="2.7109375" style="157" customWidth="1"/>
    <col min="15387" max="15387" width="12.42578125" style="157" bestFit="1" customWidth="1"/>
    <col min="15388" max="15388" width="11.85546875" style="157" bestFit="1" customWidth="1"/>
    <col min="15389" max="15392" width="15.42578125" style="157" bestFit="1" customWidth="1"/>
    <col min="15393" max="15393" width="13.7109375" style="157" bestFit="1" customWidth="1"/>
    <col min="15394" max="15394" width="13.28515625" style="157" bestFit="1" customWidth="1"/>
    <col min="15395" max="15395" width="2.7109375" style="157" customWidth="1"/>
    <col min="15396" max="15396" width="10.7109375" style="157" customWidth="1"/>
    <col min="15397" max="15397" width="11.85546875" style="157" bestFit="1" customWidth="1"/>
    <col min="15398" max="15401" width="15.42578125" style="157" bestFit="1" customWidth="1"/>
    <col min="15402" max="15402" width="13.7109375" style="157" bestFit="1" customWidth="1"/>
    <col min="15403" max="15403" width="17.7109375" style="157" bestFit="1" customWidth="1"/>
    <col min="15404" max="15618" width="9.140625" style="157"/>
    <col min="15619" max="15619" width="20.42578125" style="157" bestFit="1" customWidth="1"/>
    <col min="15620" max="15620" width="9.42578125" style="157" customWidth="1"/>
    <col min="15621" max="15621" width="8" style="157" customWidth="1"/>
    <col min="15622" max="15622" width="12.5703125" style="157" customWidth="1"/>
    <col min="15623" max="15623" width="7.140625" style="157" customWidth="1"/>
    <col min="15624" max="15624" width="54.28515625" style="157" customWidth="1"/>
    <col min="15625" max="15625" width="11.85546875" style="157" bestFit="1" customWidth="1"/>
    <col min="15626" max="15626" width="11.85546875" style="157" customWidth="1"/>
    <col min="15627" max="15630" width="15.42578125" style="157" bestFit="1" customWidth="1"/>
    <col min="15631" max="15631" width="10.5703125" style="157" bestFit="1" customWidth="1"/>
    <col min="15632" max="15632" width="13.28515625" style="157" bestFit="1" customWidth="1"/>
    <col min="15633" max="15633" width="2.7109375" style="157" customWidth="1"/>
    <col min="15634" max="15634" width="12.42578125" style="157" bestFit="1" customWidth="1"/>
    <col min="15635" max="15635" width="11.85546875" style="157" bestFit="1" customWidth="1"/>
    <col min="15636" max="15639" width="15.42578125" style="157" bestFit="1" customWidth="1"/>
    <col min="15640" max="15640" width="10.5703125" style="157" bestFit="1" customWidth="1"/>
    <col min="15641" max="15641" width="17.7109375" style="157" bestFit="1" customWidth="1"/>
    <col min="15642" max="15642" width="2.7109375" style="157" customWidth="1"/>
    <col min="15643" max="15643" width="12.42578125" style="157" bestFit="1" customWidth="1"/>
    <col min="15644" max="15644" width="11.85546875" style="157" bestFit="1" customWidth="1"/>
    <col min="15645" max="15648" width="15.42578125" style="157" bestFit="1" customWidth="1"/>
    <col min="15649" max="15649" width="13.7109375" style="157" bestFit="1" customWidth="1"/>
    <col min="15650" max="15650" width="13.28515625" style="157" bestFit="1" customWidth="1"/>
    <col min="15651" max="15651" width="2.7109375" style="157" customWidth="1"/>
    <col min="15652" max="15652" width="10.7109375" style="157" customWidth="1"/>
    <col min="15653" max="15653" width="11.85546875" style="157" bestFit="1" customWidth="1"/>
    <col min="15654" max="15657" width="15.42578125" style="157" bestFit="1" customWidth="1"/>
    <col min="15658" max="15658" width="13.7109375" style="157" bestFit="1" customWidth="1"/>
    <col min="15659" max="15659" width="17.7109375" style="157" bestFit="1" customWidth="1"/>
    <col min="15660" max="15874" width="9.140625" style="157"/>
    <col min="15875" max="15875" width="20.42578125" style="157" bestFit="1" customWidth="1"/>
    <col min="15876" max="15876" width="9.42578125" style="157" customWidth="1"/>
    <col min="15877" max="15877" width="8" style="157" customWidth="1"/>
    <col min="15878" max="15878" width="12.5703125" style="157" customWidth="1"/>
    <col min="15879" max="15879" width="7.140625" style="157" customWidth="1"/>
    <col min="15880" max="15880" width="54.28515625" style="157" customWidth="1"/>
    <col min="15881" max="15881" width="11.85546875" style="157" bestFit="1" customWidth="1"/>
    <col min="15882" max="15882" width="11.85546875" style="157" customWidth="1"/>
    <col min="15883" max="15886" width="15.42578125" style="157" bestFit="1" customWidth="1"/>
    <col min="15887" max="15887" width="10.5703125" style="157" bestFit="1" customWidth="1"/>
    <col min="15888" max="15888" width="13.28515625" style="157" bestFit="1" customWidth="1"/>
    <col min="15889" max="15889" width="2.7109375" style="157" customWidth="1"/>
    <col min="15890" max="15890" width="12.42578125" style="157" bestFit="1" customWidth="1"/>
    <col min="15891" max="15891" width="11.85546875" style="157" bestFit="1" customWidth="1"/>
    <col min="15892" max="15895" width="15.42578125" style="157" bestFit="1" customWidth="1"/>
    <col min="15896" max="15896" width="10.5703125" style="157" bestFit="1" customWidth="1"/>
    <col min="15897" max="15897" width="17.7109375" style="157" bestFit="1" customWidth="1"/>
    <col min="15898" max="15898" width="2.7109375" style="157" customWidth="1"/>
    <col min="15899" max="15899" width="12.42578125" style="157" bestFit="1" customWidth="1"/>
    <col min="15900" max="15900" width="11.85546875" style="157" bestFit="1" customWidth="1"/>
    <col min="15901" max="15904" width="15.42578125" style="157" bestFit="1" customWidth="1"/>
    <col min="15905" max="15905" width="13.7109375" style="157" bestFit="1" customWidth="1"/>
    <col min="15906" max="15906" width="13.28515625" style="157" bestFit="1" customWidth="1"/>
    <col min="15907" max="15907" width="2.7109375" style="157" customWidth="1"/>
    <col min="15908" max="15908" width="10.7109375" style="157" customWidth="1"/>
    <col min="15909" max="15909" width="11.85546875" style="157" bestFit="1" customWidth="1"/>
    <col min="15910" max="15913" width="15.42578125" style="157" bestFit="1" customWidth="1"/>
    <col min="15914" max="15914" width="13.7109375" style="157" bestFit="1" customWidth="1"/>
    <col min="15915" max="15915" width="17.7109375" style="157" bestFit="1" customWidth="1"/>
    <col min="15916" max="16130" width="9.140625" style="157"/>
    <col min="16131" max="16131" width="20.42578125" style="157" bestFit="1" customWidth="1"/>
    <col min="16132" max="16132" width="9.42578125" style="157" customWidth="1"/>
    <col min="16133" max="16133" width="8" style="157" customWidth="1"/>
    <col min="16134" max="16134" width="12.5703125" style="157" customWidth="1"/>
    <col min="16135" max="16135" width="7.140625" style="157" customWidth="1"/>
    <col min="16136" max="16136" width="54.28515625" style="157" customWidth="1"/>
    <col min="16137" max="16137" width="11.85546875" style="157" bestFit="1" customWidth="1"/>
    <col min="16138" max="16138" width="11.85546875" style="157" customWidth="1"/>
    <col min="16139" max="16142" width="15.42578125" style="157" bestFit="1" customWidth="1"/>
    <col min="16143" max="16143" width="10.5703125" style="157" bestFit="1" customWidth="1"/>
    <col min="16144" max="16144" width="13.28515625" style="157" bestFit="1" customWidth="1"/>
    <col min="16145" max="16145" width="2.7109375" style="157" customWidth="1"/>
    <col min="16146" max="16146" width="12.42578125" style="157" bestFit="1" customWidth="1"/>
    <col min="16147" max="16147" width="11.85546875" style="157" bestFit="1" customWidth="1"/>
    <col min="16148" max="16151" width="15.42578125" style="157" bestFit="1" customWidth="1"/>
    <col min="16152" max="16152" width="10.5703125" style="157" bestFit="1" customWidth="1"/>
    <col min="16153" max="16153" width="17.7109375" style="157" bestFit="1" customWidth="1"/>
    <col min="16154" max="16154" width="2.7109375" style="157" customWidth="1"/>
    <col min="16155" max="16155" width="12.42578125" style="157" bestFit="1" customWidth="1"/>
    <col min="16156" max="16156" width="11.85546875" style="157" bestFit="1" customWidth="1"/>
    <col min="16157" max="16160" width="15.42578125" style="157" bestFit="1" customWidth="1"/>
    <col min="16161" max="16161" width="13.7109375" style="157" bestFit="1" customWidth="1"/>
    <col min="16162" max="16162" width="13.28515625" style="157" bestFit="1" customWidth="1"/>
    <col min="16163" max="16163" width="2.7109375" style="157" customWidth="1"/>
    <col min="16164" max="16164" width="10.7109375" style="157" customWidth="1"/>
    <col min="16165" max="16165" width="11.85546875" style="157" bestFit="1" customWidth="1"/>
    <col min="16166" max="16169" width="15.42578125" style="157" bestFit="1" customWidth="1"/>
    <col min="16170" max="16170" width="13.7109375" style="157" bestFit="1" customWidth="1"/>
    <col min="16171" max="16171" width="17.7109375" style="157" bestFit="1" customWidth="1"/>
    <col min="16172" max="16384" width="9.140625" style="157"/>
  </cols>
  <sheetData>
    <row r="1" spans="1:62" x14ac:dyDescent="0.2">
      <c r="H1" s="237" t="s">
        <v>80</v>
      </c>
      <c r="I1" s="237"/>
      <c r="J1" s="237"/>
      <c r="K1" s="237"/>
      <c r="L1" s="237"/>
      <c r="M1" s="237"/>
      <c r="N1" s="237"/>
      <c r="O1" s="172"/>
      <c r="Q1" s="238" t="s">
        <v>81</v>
      </c>
      <c r="R1" s="238"/>
      <c r="S1" s="238"/>
      <c r="T1" s="238"/>
      <c r="U1" s="238"/>
      <c r="V1" s="238"/>
      <c r="W1" s="238"/>
      <c r="X1" s="238"/>
      <c r="Z1" s="239" t="s">
        <v>82</v>
      </c>
      <c r="AA1" s="239"/>
      <c r="AB1" s="239"/>
      <c r="AC1" s="239"/>
      <c r="AD1" s="239"/>
      <c r="AE1" s="239"/>
      <c r="AF1" s="239"/>
      <c r="AG1" s="239"/>
      <c r="AI1" s="240" t="s">
        <v>83</v>
      </c>
      <c r="AJ1" s="240"/>
      <c r="AK1" s="240"/>
      <c r="AL1" s="240"/>
      <c r="AM1" s="240"/>
      <c r="AN1" s="240"/>
      <c r="AO1" s="240"/>
      <c r="AP1" s="240"/>
      <c r="AQ1" s="240"/>
      <c r="AS1" s="238" t="s">
        <v>84</v>
      </c>
      <c r="AT1" s="238"/>
      <c r="AU1" s="238"/>
      <c r="AV1" s="238"/>
      <c r="AW1" s="238"/>
      <c r="AX1" s="238"/>
      <c r="AY1" s="238"/>
      <c r="AZ1" s="238"/>
    </row>
    <row r="2" spans="1:62" s="175" customFormat="1" ht="25.5" x14ac:dyDescent="0.2">
      <c r="A2" s="159" t="s">
        <v>149</v>
      </c>
      <c r="B2" s="160" t="s">
        <v>150</v>
      </c>
      <c r="C2" s="173" t="s">
        <v>151</v>
      </c>
      <c r="D2" s="173" t="s">
        <v>152</v>
      </c>
      <c r="E2" s="159" t="s">
        <v>153</v>
      </c>
      <c r="F2" s="161" t="s">
        <v>154</v>
      </c>
      <c r="G2" s="161" t="s">
        <v>155</v>
      </c>
      <c r="H2" s="162" t="s">
        <v>85</v>
      </c>
      <c r="I2" s="162" t="s">
        <v>86</v>
      </c>
      <c r="J2" s="162" t="s">
        <v>156</v>
      </c>
      <c r="K2" s="162" t="s">
        <v>157</v>
      </c>
      <c r="L2" s="162" t="s">
        <v>158</v>
      </c>
      <c r="M2" s="162" t="s">
        <v>159</v>
      </c>
      <c r="N2" s="162" t="s">
        <v>91</v>
      </c>
      <c r="O2" s="162" t="s">
        <v>160</v>
      </c>
      <c r="P2" s="174"/>
      <c r="Q2" s="163" t="s">
        <v>85</v>
      </c>
      <c r="R2" s="163" t="s">
        <v>86</v>
      </c>
      <c r="S2" s="163" t="s">
        <v>156</v>
      </c>
      <c r="T2" s="163" t="s">
        <v>157</v>
      </c>
      <c r="U2" s="163" t="s">
        <v>158</v>
      </c>
      <c r="V2" s="163" t="s">
        <v>159</v>
      </c>
      <c r="W2" s="163" t="s">
        <v>91</v>
      </c>
      <c r="X2" s="163" t="s">
        <v>160</v>
      </c>
      <c r="Y2" s="174"/>
      <c r="Z2" s="164" t="s">
        <v>85</v>
      </c>
      <c r="AA2" s="164" t="s">
        <v>86</v>
      </c>
      <c r="AB2" s="164" t="s">
        <v>156</v>
      </c>
      <c r="AC2" s="164" t="s">
        <v>157</v>
      </c>
      <c r="AD2" s="164" t="s">
        <v>158</v>
      </c>
      <c r="AE2" s="164" t="s">
        <v>159</v>
      </c>
      <c r="AF2" s="164" t="s">
        <v>95</v>
      </c>
      <c r="AG2" s="164" t="s">
        <v>160</v>
      </c>
      <c r="AH2" s="174"/>
      <c r="AI2" s="165" t="s">
        <v>500</v>
      </c>
      <c r="AJ2" s="165" t="s">
        <v>86</v>
      </c>
      <c r="AK2" s="165" t="s">
        <v>499</v>
      </c>
      <c r="AL2" s="165" t="s">
        <v>156</v>
      </c>
      <c r="AM2" s="165" t="s">
        <v>157</v>
      </c>
      <c r="AN2" s="165" t="s">
        <v>158</v>
      </c>
      <c r="AO2" s="165" t="s">
        <v>159</v>
      </c>
      <c r="AP2" s="165" t="s">
        <v>95</v>
      </c>
      <c r="AQ2" s="166" t="s">
        <v>161</v>
      </c>
      <c r="AR2" s="167"/>
      <c r="AS2" s="163" t="s">
        <v>85</v>
      </c>
      <c r="AT2" s="163" t="s">
        <v>86</v>
      </c>
      <c r="AU2" s="163" t="s">
        <v>156</v>
      </c>
      <c r="AV2" s="163" t="s">
        <v>157</v>
      </c>
      <c r="AW2" s="163" t="s">
        <v>158</v>
      </c>
      <c r="AX2" s="163" t="s">
        <v>159</v>
      </c>
      <c r="AY2" s="163" t="s">
        <v>95</v>
      </c>
      <c r="AZ2" s="209" t="s">
        <v>161</v>
      </c>
      <c r="BA2" s="174"/>
      <c r="BB2" s="174"/>
      <c r="BC2" s="174"/>
      <c r="BD2" s="174"/>
      <c r="BE2" s="174"/>
      <c r="BF2" s="174"/>
      <c r="BG2" s="174"/>
      <c r="BH2" s="174"/>
      <c r="BI2" s="174"/>
      <c r="BJ2" s="174"/>
    </row>
    <row r="3" spans="1:62" s="175" customFormat="1" x14ac:dyDescent="0.2">
      <c r="A3" s="176">
        <v>1</v>
      </c>
      <c r="B3" s="177" t="s">
        <v>239</v>
      </c>
      <c r="C3" s="178" t="s">
        <v>162</v>
      </c>
      <c r="D3" s="178" t="s">
        <v>162</v>
      </c>
      <c r="E3" s="176">
        <v>900</v>
      </c>
      <c r="F3" s="156" t="str">
        <f t="shared" ref="F3:F13" si="0">RIGHT(B3,7)</f>
        <v>4400.10</v>
      </c>
      <c r="G3" s="179" t="s">
        <v>246</v>
      </c>
      <c r="H3" s="193">
        <v>439200</v>
      </c>
      <c r="I3" s="193">
        <v>439200</v>
      </c>
      <c r="J3" s="193"/>
      <c r="K3" s="193"/>
      <c r="L3" s="193"/>
      <c r="M3" s="193"/>
      <c r="N3" s="193">
        <v>413767.44</v>
      </c>
      <c r="O3" s="194">
        <f>N3-H3</f>
        <v>-25432.559999999998</v>
      </c>
      <c r="P3" s="174"/>
      <c r="Q3" s="204">
        <v>438975</v>
      </c>
      <c r="R3" s="204">
        <v>438975</v>
      </c>
      <c r="S3" s="204"/>
      <c r="T3" s="204"/>
      <c r="U3" s="204"/>
      <c r="V3" s="204">
        <v>446309.38</v>
      </c>
      <c r="W3" s="204">
        <v>446309.38</v>
      </c>
      <c r="X3" s="205">
        <f>W3-R3</f>
        <v>7334.3800000000047</v>
      </c>
      <c r="Y3" s="196"/>
      <c r="Z3" s="206">
        <v>452540</v>
      </c>
      <c r="AA3" s="206">
        <v>452540</v>
      </c>
      <c r="AB3" s="206"/>
      <c r="AC3" s="206"/>
      <c r="AD3" s="206"/>
      <c r="AE3" s="206">
        <v>427374.03</v>
      </c>
      <c r="AF3" s="206">
        <v>427374.03</v>
      </c>
      <c r="AG3" s="207">
        <f>AF3-AA3</f>
        <v>-25165.969999999972</v>
      </c>
      <c r="AH3" s="196"/>
      <c r="AI3" s="198">
        <v>452540</v>
      </c>
      <c r="AJ3" s="198">
        <v>452540</v>
      </c>
      <c r="AK3" s="198">
        <f>AJ3</f>
        <v>452540</v>
      </c>
      <c r="AL3" s="198"/>
      <c r="AM3" s="198"/>
      <c r="AN3" s="198"/>
      <c r="AO3" s="198"/>
      <c r="AP3" s="198"/>
      <c r="AQ3" s="208">
        <f>AP3-AJ3</f>
        <v>-452540</v>
      </c>
      <c r="AR3" s="201"/>
      <c r="AS3" s="204"/>
      <c r="AT3" s="204"/>
      <c r="AU3" s="204">
        <f>IFERROR(VLOOKUP(B3,[3]rptBudgetaryBudgetCrossOrganiza!$A$573:$O$589,13,FALSE),"0")</f>
        <v>70146.81</v>
      </c>
      <c r="AV3" s="204"/>
      <c r="AW3" s="204"/>
      <c r="AX3" s="204"/>
      <c r="AY3" s="204"/>
      <c r="AZ3" s="205">
        <f>AY3-AT3</f>
        <v>0</v>
      </c>
      <c r="BA3" s="196"/>
      <c r="BB3" s="196"/>
      <c r="BC3" s="196"/>
      <c r="BD3" s="196"/>
      <c r="BE3" s="174"/>
      <c r="BF3" s="174"/>
      <c r="BG3" s="174"/>
      <c r="BH3" s="174"/>
      <c r="BI3" s="174"/>
      <c r="BJ3" s="174"/>
    </row>
    <row r="4" spans="1:62" x14ac:dyDescent="0.2">
      <c r="A4" s="154">
        <v>1</v>
      </c>
      <c r="B4" s="155" t="s">
        <v>240</v>
      </c>
      <c r="C4" s="178" t="s">
        <v>162</v>
      </c>
      <c r="D4" s="178" t="s">
        <v>162</v>
      </c>
      <c r="E4" s="176">
        <v>900</v>
      </c>
      <c r="F4" s="156" t="str">
        <f t="shared" si="0"/>
        <v>4400.11</v>
      </c>
      <c r="G4" s="157" t="s">
        <v>247</v>
      </c>
      <c r="H4" s="194">
        <v>270000</v>
      </c>
      <c r="I4" s="194">
        <v>270000</v>
      </c>
      <c r="J4" s="194"/>
      <c r="K4" s="194"/>
      <c r="L4" s="194"/>
      <c r="M4" s="194"/>
      <c r="N4" s="194">
        <v>250240.26</v>
      </c>
      <c r="O4" s="194">
        <f>N4-H4</f>
        <v>-19759.739999999991</v>
      </c>
      <c r="Q4" s="205">
        <v>251145</v>
      </c>
      <c r="R4" s="205">
        <v>251145</v>
      </c>
      <c r="S4" s="205"/>
      <c r="T4" s="205"/>
      <c r="U4" s="205"/>
      <c r="V4" s="205">
        <v>273073.36</v>
      </c>
      <c r="W4" s="205">
        <v>273073.36</v>
      </c>
      <c r="X4" s="205">
        <f>W4-R4</f>
        <v>21928.359999999986</v>
      </c>
      <c r="Y4" s="170"/>
      <c r="Z4" s="206">
        <v>269830</v>
      </c>
      <c r="AA4" s="206">
        <v>269830</v>
      </c>
      <c r="AB4" s="207"/>
      <c r="AC4" s="207"/>
      <c r="AD4" s="207"/>
      <c r="AE4" s="206">
        <v>250352.42</v>
      </c>
      <c r="AF4" s="207">
        <v>250352.42</v>
      </c>
      <c r="AG4" s="207">
        <f>AF4-AA4</f>
        <v>-19477.579999999987</v>
      </c>
      <c r="AH4" s="170"/>
      <c r="AI4" s="208">
        <v>269830</v>
      </c>
      <c r="AJ4" s="208">
        <v>269830</v>
      </c>
      <c r="AK4" s="198">
        <f t="shared" ref="AK4:AK13" si="1">AJ4</f>
        <v>269830</v>
      </c>
      <c r="AL4" s="208"/>
      <c r="AM4" s="208"/>
      <c r="AN4" s="208"/>
      <c r="AO4" s="208"/>
      <c r="AP4" s="208"/>
      <c r="AQ4" s="208">
        <f>AP4-AJ4</f>
        <v>-269830</v>
      </c>
      <c r="AR4" s="170"/>
      <c r="AS4" s="205"/>
      <c r="AT4" s="205"/>
      <c r="AU4" s="204">
        <f>IFERROR(VLOOKUP(B4,[3]rptBudgetaryBudgetCrossOrganiza!$A$573:$O$584,13,FALSE),"0")</f>
        <v>42250.34</v>
      </c>
      <c r="AV4" s="205"/>
      <c r="AW4" s="205"/>
      <c r="AX4" s="205"/>
      <c r="AY4" s="205"/>
      <c r="AZ4" s="205">
        <f>AY4-AT4</f>
        <v>0</v>
      </c>
      <c r="BA4" s="170"/>
      <c r="BB4" s="170"/>
      <c r="BC4" s="170"/>
      <c r="BD4" s="170"/>
    </row>
    <row r="5" spans="1:62" x14ac:dyDescent="0.2">
      <c r="A5" s="154">
        <v>1</v>
      </c>
      <c r="B5" s="155" t="s">
        <v>241</v>
      </c>
      <c r="C5" s="178" t="s">
        <v>162</v>
      </c>
      <c r="D5" s="178" t="s">
        <v>162</v>
      </c>
      <c r="E5" s="176">
        <v>900</v>
      </c>
      <c r="F5" s="156" t="str">
        <f t="shared" si="0"/>
        <v>4400.12</v>
      </c>
      <c r="G5" s="157" t="s">
        <v>248</v>
      </c>
      <c r="H5" s="194">
        <v>567800</v>
      </c>
      <c r="I5" s="194">
        <v>567800</v>
      </c>
      <c r="J5" s="194"/>
      <c r="K5" s="194"/>
      <c r="L5" s="194"/>
      <c r="M5" s="194"/>
      <c r="N5" s="194">
        <v>538492.86</v>
      </c>
      <c r="O5" s="194">
        <f t="shared" ref="O5:O12" si="2">N5-H5</f>
        <v>-29307.140000000014</v>
      </c>
      <c r="Q5" s="205">
        <v>544640</v>
      </c>
      <c r="R5" s="205">
        <v>544640</v>
      </c>
      <c r="S5" s="205"/>
      <c r="T5" s="205"/>
      <c r="U5" s="205"/>
      <c r="V5" s="205">
        <v>561283.07999999996</v>
      </c>
      <c r="W5" s="205">
        <v>561283.07999999996</v>
      </c>
      <c r="X5" s="205">
        <f t="shared" ref="X5:X13" si="3">W5-R5</f>
        <v>16643.079999999958</v>
      </c>
      <c r="Y5" s="170"/>
      <c r="Z5" s="206">
        <v>550000</v>
      </c>
      <c r="AA5" s="206">
        <v>550000</v>
      </c>
      <c r="AB5" s="207"/>
      <c r="AC5" s="207"/>
      <c r="AD5" s="207"/>
      <c r="AE5" s="206">
        <v>539641.05000000005</v>
      </c>
      <c r="AF5" s="207">
        <v>539641.05000000005</v>
      </c>
      <c r="AG5" s="207">
        <f t="shared" ref="AG5:AG13" si="4">AF5-AA5</f>
        <v>-10358.949999999953</v>
      </c>
      <c r="AH5" s="170"/>
      <c r="AI5" s="208">
        <v>550000</v>
      </c>
      <c r="AJ5" s="208">
        <v>550000</v>
      </c>
      <c r="AK5" s="198">
        <f t="shared" si="1"/>
        <v>550000</v>
      </c>
      <c r="AL5" s="208"/>
      <c r="AM5" s="208"/>
      <c r="AN5" s="208"/>
      <c r="AO5" s="208"/>
      <c r="AP5" s="208"/>
      <c r="AQ5" s="208">
        <f t="shared" ref="AQ5:AQ11" si="5">AP5-AJ5</f>
        <v>-550000</v>
      </c>
      <c r="AR5" s="170"/>
      <c r="AS5" s="205"/>
      <c r="AT5" s="205"/>
      <c r="AU5" s="204">
        <f>IFERROR(VLOOKUP(B5,[3]rptBudgetaryBudgetCrossOrganiza!$A$573:$O$584,13,FALSE),"0")</f>
        <v>96773.34</v>
      </c>
      <c r="AV5" s="205"/>
      <c r="AW5" s="205"/>
      <c r="AX5" s="205"/>
      <c r="AY5" s="205"/>
      <c r="AZ5" s="205">
        <f t="shared" ref="AZ5:AZ13" si="6">AY5-AT5</f>
        <v>0</v>
      </c>
      <c r="BA5" s="170"/>
      <c r="BB5" s="170"/>
      <c r="BC5" s="170"/>
      <c r="BD5" s="170"/>
    </row>
    <row r="6" spans="1:62" x14ac:dyDescent="0.2">
      <c r="A6" s="154">
        <v>1</v>
      </c>
      <c r="B6" s="155" t="s">
        <v>242</v>
      </c>
      <c r="C6" s="178" t="s">
        <v>162</v>
      </c>
      <c r="D6" s="178" t="s">
        <v>162</v>
      </c>
      <c r="E6" s="176">
        <v>900</v>
      </c>
      <c r="F6" s="156" t="str">
        <f t="shared" si="0"/>
        <v>4400.13</v>
      </c>
      <c r="G6" s="157" t="s">
        <v>249</v>
      </c>
      <c r="H6" s="194">
        <v>7500</v>
      </c>
      <c r="I6" s="194">
        <v>7500</v>
      </c>
      <c r="J6" s="194"/>
      <c r="K6" s="194"/>
      <c r="L6" s="194"/>
      <c r="M6" s="194"/>
      <c r="N6" s="194">
        <v>7500</v>
      </c>
      <c r="O6" s="194">
        <f t="shared" si="2"/>
        <v>0</v>
      </c>
      <c r="Q6" s="205">
        <v>7500</v>
      </c>
      <c r="R6" s="205">
        <v>7500</v>
      </c>
      <c r="S6" s="205"/>
      <c r="T6" s="205"/>
      <c r="U6" s="205"/>
      <c r="V6" s="205">
        <v>7500</v>
      </c>
      <c r="W6" s="205">
        <v>7500</v>
      </c>
      <c r="X6" s="205">
        <f t="shared" si="3"/>
        <v>0</v>
      </c>
      <c r="Y6" s="170"/>
      <c r="Z6" s="206">
        <v>7500</v>
      </c>
      <c r="AA6" s="206">
        <v>7500</v>
      </c>
      <c r="AB6" s="207"/>
      <c r="AC6" s="207"/>
      <c r="AD6" s="207"/>
      <c r="AE6" s="206">
        <v>7500</v>
      </c>
      <c r="AF6" s="207">
        <v>7500</v>
      </c>
      <c r="AG6" s="207">
        <f t="shared" si="4"/>
        <v>0</v>
      </c>
      <c r="AH6" s="170"/>
      <c r="AI6" s="208">
        <v>7500</v>
      </c>
      <c r="AJ6" s="208">
        <v>7500</v>
      </c>
      <c r="AK6" s="198">
        <f t="shared" si="1"/>
        <v>7500</v>
      </c>
      <c r="AL6" s="208"/>
      <c r="AM6" s="208"/>
      <c r="AN6" s="208"/>
      <c r="AO6" s="208"/>
      <c r="AP6" s="208"/>
      <c r="AQ6" s="208">
        <f t="shared" si="5"/>
        <v>-7500</v>
      </c>
      <c r="AR6" s="170"/>
      <c r="AS6" s="205"/>
      <c r="AT6" s="205"/>
      <c r="AU6" s="204">
        <f>IFERROR(VLOOKUP(B6,[3]rptBudgetaryBudgetCrossOrganiza!$A$573:$O$584,13,FALSE),"0")</f>
        <v>7500</v>
      </c>
      <c r="AV6" s="205"/>
      <c r="AW6" s="205"/>
      <c r="AX6" s="205"/>
      <c r="AY6" s="205"/>
      <c r="AZ6" s="205">
        <f t="shared" si="6"/>
        <v>0</v>
      </c>
      <c r="BA6" s="170"/>
      <c r="BB6" s="170"/>
      <c r="BC6" s="170"/>
      <c r="BD6" s="170"/>
    </row>
    <row r="7" spans="1:62" x14ac:dyDescent="0.2">
      <c r="A7" s="154">
        <v>1</v>
      </c>
      <c r="B7" s="155" t="s">
        <v>243</v>
      </c>
      <c r="C7" s="178" t="s">
        <v>162</v>
      </c>
      <c r="D7" s="178" t="s">
        <v>162</v>
      </c>
      <c r="E7" s="176">
        <v>900</v>
      </c>
      <c r="F7" s="156" t="str">
        <f t="shared" si="0"/>
        <v>4400.14</v>
      </c>
      <c r="G7" s="157" t="s">
        <v>250</v>
      </c>
      <c r="H7" s="194">
        <v>326000</v>
      </c>
      <c r="I7" s="194">
        <v>326000</v>
      </c>
      <c r="J7" s="194"/>
      <c r="K7" s="194"/>
      <c r="L7" s="194"/>
      <c r="M7" s="194"/>
      <c r="N7" s="194">
        <v>296924.3</v>
      </c>
      <c r="O7" s="194">
        <f t="shared" si="2"/>
        <v>-29075.700000000012</v>
      </c>
      <c r="Q7" s="205">
        <v>584555</v>
      </c>
      <c r="R7" s="205">
        <v>584555</v>
      </c>
      <c r="S7" s="205"/>
      <c r="T7" s="205"/>
      <c r="U7" s="205"/>
      <c r="V7" s="205">
        <v>271752.57</v>
      </c>
      <c r="W7" s="205">
        <v>271752.57</v>
      </c>
      <c r="X7" s="205">
        <f t="shared" si="3"/>
        <v>-312802.43</v>
      </c>
      <c r="Y7" s="170"/>
      <c r="Z7" s="206">
        <v>350000</v>
      </c>
      <c r="AA7" s="206">
        <v>350000</v>
      </c>
      <c r="AB7" s="207"/>
      <c r="AC7" s="207"/>
      <c r="AD7" s="207"/>
      <c r="AE7" s="206">
        <v>577700.89</v>
      </c>
      <c r="AF7" s="207">
        <v>577700.89</v>
      </c>
      <c r="AG7" s="207">
        <f t="shared" si="4"/>
        <v>227700.89</v>
      </c>
      <c r="AH7" s="170"/>
      <c r="AI7" s="208">
        <v>350000</v>
      </c>
      <c r="AJ7" s="208">
        <v>350000</v>
      </c>
      <c r="AK7" s="198">
        <f t="shared" si="1"/>
        <v>350000</v>
      </c>
      <c r="AL7" s="208"/>
      <c r="AM7" s="208"/>
      <c r="AN7" s="208"/>
      <c r="AO7" s="208"/>
      <c r="AP7" s="208"/>
      <c r="AQ7" s="208">
        <f t="shared" si="5"/>
        <v>-350000</v>
      </c>
      <c r="AR7" s="170"/>
      <c r="AS7" s="205"/>
      <c r="AT7" s="205"/>
      <c r="AU7" s="204">
        <f>IFERROR(VLOOKUP(B7,[3]rptBudgetaryBudgetCrossOrganiza!$A$573:$O$584,13,FALSE),"0")</f>
        <v>125702.55</v>
      </c>
      <c r="AV7" s="205"/>
      <c r="AW7" s="205"/>
      <c r="AX7" s="205"/>
      <c r="AY7" s="205"/>
      <c r="AZ7" s="205">
        <f t="shared" si="6"/>
        <v>0</v>
      </c>
      <c r="BA7" s="170"/>
      <c r="BB7" s="170"/>
      <c r="BC7" s="170"/>
      <c r="BD7" s="170"/>
    </row>
    <row r="8" spans="1:62" x14ac:dyDescent="0.2">
      <c r="A8" s="154">
        <v>1</v>
      </c>
      <c r="B8" s="155" t="s">
        <v>244</v>
      </c>
      <c r="C8" s="178" t="s">
        <v>162</v>
      </c>
      <c r="D8" s="178" t="s">
        <v>162</v>
      </c>
      <c r="E8" s="176">
        <v>900</v>
      </c>
      <c r="F8" s="156" t="str">
        <f t="shared" si="0"/>
        <v>4400.29</v>
      </c>
      <c r="G8" s="157" t="s">
        <v>251</v>
      </c>
      <c r="H8" s="194">
        <v>417000</v>
      </c>
      <c r="I8" s="194">
        <v>417000</v>
      </c>
      <c r="J8" s="194"/>
      <c r="K8" s="194"/>
      <c r="L8" s="194"/>
      <c r="M8" s="194"/>
      <c r="N8" s="194">
        <v>351471.87</v>
      </c>
      <c r="O8" s="194">
        <f t="shared" si="2"/>
        <v>-65528.130000000005</v>
      </c>
      <c r="Q8" s="205">
        <v>1266160</v>
      </c>
      <c r="R8" s="205">
        <v>1266160</v>
      </c>
      <c r="S8" s="205"/>
      <c r="T8" s="205"/>
      <c r="U8" s="205"/>
      <c r="V8" s="205">
        <v>1460642.87</v>
      </c>
      <c r="W8" s="205">
        <v>1460642.87</v>
      </c>
      <c r="X8" s="205">
        <f t="shared" si="3"/>
        <v>194482.87000000011</v>
      </c>
      <c r="Y8" s="170"/>
      <c r="Z8" s="206">
        <v>1340000</v>
      </c>
      <c r="AA8" s="206">
        <v>1340000</v>
      </c>
      <c r="AB8" s="207"/>
      <c r="AC8" s="207"/>
      <c r="AD8" s="207"/>
      <c r="AE8" s="206">
        <v>1355868.45</v>
      </c>
      <c r="AF8" s="207">
        <v>1355868.45</v>
      </c>
      <c r="AG8" s="207">
        <f t="shared" si="4"/>
        <v>15868.449999999953</v>
      </c>
      <c r="AH8" s="170"/>
      <c r="AI8" s="208">
        <v>1340000</v>
      </c>
      <c r="AJ8" s="208">
        <v>1340000</v>
      </c>
      <c r="AK8" s="198">
        <f t="shared" si="1"/>
        <v>1340000</v>
      </c>
      <c r="AL8" s="208"/>
      <c r="AM8" s="208"/>
      <c r="AN8" s="208"/>
      <c r="AO8" s="208"/>
      <c r="AP8" s="208"/>
      <c r="AQ8" s="208">
        <f t="shared" si="5"/>
        <v>-1340000</v>
      </c>
      <c r="AR8" s="170"/>
      <c r="AS8" s="205"/>
      <c r="AT8" s="205"/>
      <c r="AU8" s="204">
        <f>IFERROR(VLOOKUP(B8,[3]rptBudgetaryBudgetCrossOrganiza!$A$573:$O$584,13,FALSE),"0")</f>
        <v>349519.37</v>
      </c>
      <c r="AV8" s="205"/>
      <c r="AW8" s="205"/>
      <c r="AX8" s="205"/>
      <c r="AY8" s="205"/>
      <c r="AZ8" s="205">
        <f t="shared" si="6"/>
        <v>0</v>
      </c>
      <c r="BA8" s="170"/>
      <c r="BB8" s="170"/>
      <c r="BC8" s="170"/>
      <c r="BD8" s="170"/>
    </row>
    <row r="9" spans="1:62" x14ac:dyDescent="0.2">
      <c r="A9" s="154">
        <v>1</v>
      </c>
      <c r="B9" s="155" t="s">
        <v>245</v>
      </c>
      <c r="C9" s="178" t="s">
        <v>162</v>
      </c>
      <c r="D9" s="178" t="s">
        <v>162</v>
      </c>
      <c r="E9" s="176">
        <v>900</v>
      </c>
      <c r="F9" s="156" t="str">
        <f t="shared" si="0"/>
        <v>4400.30</v>
      </c>
      <c r="G9" s="157" t="s">
        <v>252</v>
      </c>
      <c r="H9" s="194">
        <v>84485</v>
      </c>
      <c r="I9" s="194">
        <v>84485</v>
      </c>
      <c r="J9" s="194"/>
      <c r="K9" s="194"/>
      <c r="L9" s="194"/>
      <c r="M9" s="194"/>
      <c r="N9" s="194">
        <v>86679.69</v>
      </c>
      <c r="O9" s="194">
        <f t="shared" si="2"/>
        <v>2194.6900000000023</v>
      </c>
      <c r="Q9" s="205">
        <v>86680</v>
      </c>
      <c r="R9" s="205">
        <v>86680</v>
      </c>
      <c r="S9" s="205"/>
      <c r="T9" s="205"/>
      <c r="U9" s="205"/>
      <c r="V9" s="205">
        <v>91733.13</v>
      </c>
      <c r="W9" s="205">
        <v>91733.13</v>
      </c>
      <c r="X9" s="205">
        <f t="shared" si="3"/>
        <v>5053.1300000000047</v>
      </c>
      <c r="Y9" s="170"/>
      <c r="Z9" s="206">
        <v>91730</v>
      </c>
      <c r="AA9" s="206">
        <v>91730</v>
      </c>
      <c r="AB9" s="207"/>
      <c r="AC9" s="207"/>
      <c r="AD9" s="207"/>
      <c r="AE9" s="206">
        <v>94188.23</v>
      </c>
      <c r="AF9" s="207">
        <v>94188.23</v>
      </c>
      <c r="AG9" s="207">
        <f t="shared" si="4"/>
        <v>2458.2299999999959</v>
      </c>
      <c r="AH9" s="170"/>
      <c r="AI9" s="208">
        <v>91730</v>
      </c>
      <c r="AJ9" s="208">
        <v>91730</v>
      </c>
      <c r="AK9" s="198">
        <f t="shared" si="1"/>
        <v>91730</v>
      </c>
      <c r="AL9" s="208"/>
      <c r="AM9" s="208"/>
      <c r="AN9" s="208"/>
      <c r="AO9" s="208"/>
      <c r="AP9" s="208"/>
      <c r="AQ9" s="208">
        <f t="shared" si="5"/>
        <v>-91730</v>
      </c>
      <c r="AR9" s="170"/>
      <c r="AS9" s="205"/>
      <c r="AT9" s="205"/>
      <c r="AU9" s="204">
        <f>IFERROR(VLOOKUP(B9,[3]rptBudgetaryBudgetCrossOrganiza!$A$573:$O$584,13,FALSE),"0")</f>
        <v>0</v>
      </c>
      <c r="AV9" s="205"/>
      <c r="AW9" s="205"/>
      <c r="AX9" s="205"/>
      <c r="AY9" s="205"/>
      <c r="AZ9" s="205">
        <f t="shared" si="6"/>
        <v>0</v>
      </c>
      <c r="BA9" s="170"/>
      <c r="BB9" s="170"/>
      <c r="BC9" s="170"/>
      <c r="BD9" s="170"/>
    </row>
    <row r="10" spans="1:62" x14ac:dyDescent="0.2">
      <c r="A10" s="154">
        <v>2</v>
      </c>
      <c r="B10" s="155" t="s">
        <v>253</v>
      </c>
      <c r="C10" s="178" t="s">
        <v>162</v>
      </c>
      <c r="D10" s="178" t="s">
        <v>162</v>
      </c>
      <c r="E10" s="176">
        <v>900</v>
      </c>
      <c r="F10" s="156" t="str">
        <f t="shared" si="0"/>
        <v>4700.01</v>
      </c>
      <c r="G10" s="157" t="s">
        <v>214</v>
      </c>
      <c r="H10" s="194">
        <v>9000</v>
      </c>
      <c r="I10" s="194">
        <v>9000</v>
      </c>
      <c r="J10" s="194"/>
      <c r="K10" s="194"/>
      <c r="L10" s="194"/>
      <c r="M10" s="194"/>
      <c r="N10" s="194">
        <v>20786.91</v>
      </c>
      <c r="O10" s="194">
        <f t="shared" si="2"/>
        <v>11786.91</v>
      </c>
      <c r="Q10" s="205">
        <v>11000</v>
      </c>
      <c r="R10" s="205">
        <v>11000</v>
      </c>
      <c r="S10" s="205"/>
      <c r="T10" s="205"/>
      <c r="U10" s="205"/>
      <c r="V10" s="205">
        <v>32382.44</v>
      </c>
      <c r="W10" s="205">
        <v>32382.44</v>
      </c>
      <c r="X10" s="205">
        <f t="shared" si="3"/>
        <v>21382.44</v>
      </c>
      <c r="Y10" s="170"/>
      <c r="Z10" s="206">
        <v>11000</v>
      </c>
      <c r="AA10" s="206">
        <v>11000</v>
      </c>
      <c r="AB10" s="207"/>
      <c r="AC10" s="207"/>
      <c r="AD10" s="207"/>
      <c r="AE10" s="206">
        <v>8455.2000000000007</v>
      </c>
      <c r="AF10" s="207">
        <v>8455.2000000000007</v>
      </c>
      <c r="AG10" s="207">
        <f t="shared" si="4"/>
        <v>-2544.7999999999993</v>
      </c>
      <c r="AH10" s="170"/>
      <c r="AI10" s="208">
        <v>11000</v>
      </c>
      <c r="AJ10" s="208">
        <v>11000</v>
      </c>
      <c r="AK10" s="198">
        <f t="shared" si="1"/>
        <v>11000</v>
      </c>
      <c r="AL10" s="208"/>
      <c r="AM10" s="208"/>
      <c r="AN10" s="208"/>
      <c r="AO10" s="208"/>
      <c r="AP10" s="208"/>
      <c r="AQ10" s="208">
        <f t="shared" si="5"/>
        <v>-11000</v>
      </c>
      <c r="AR10" s="170"/>
      <c r="AS10" s="205"/>
      <c r="AT10" s="205"/>
      <c r="AU10" s="204">
        <f>IFERROR(VLOOKUP(B10,[3]rptBudgetaryBudgetCrossOrganiza!$A$573:$O$584,13,FALSE),"0")</f>
        <v>0</v>
      </c>
      <c r="AV10" s="205"/>
      <c r="AW10" s="205"/>
      <c r="AX10" s="205"/>
      <c r="AY10" s="205"/>
      <c r="AZ10" s="205">
        <f t="shared" si="6"/>
        <v>0</v>
      </c>
      <c r="BA10" s="170"/>
      <c r="BB10" s="170"/>
      <c r="BC10" s="170"/>
      <c r="BD10" s="170"/>
    </row>
    <row r="11" spans="1:62" x14ac:dyDescent="0.2">
      <c r="A11" s="154">
        <v>2</v>
      </c>
      <c r="B11" s="155" t="s">
        <v>254</v>
      </c>
      <c r="C11" s="178" t="s">
        <v>162</v>
      </c>
      <c r="D11" s="178" t="s">
        <v>162</v>
      </c>
      <c r="E11" s="176">
        <v>900</v>
      </c>
      <c r="F11" s="156" t="str">
        <f t="shared" si="0"/>
        <v>4700.21</v>
      </c>
      <c r="G11" s="157" t="s">
        <v>215</v>
      </c>
      <c r="H11" s="194">
        <v>-1000</v>
      </c>
      <c r="I11" s="194">
        <v>-1000</v>
      </c>
      <c r="J11" s="194"/>
      <c r="K11" s="194"/>
      <c r="L11" s="194"/>
      <c r="M11" s="194"/>
      <c r="N11" s="194">
        <v>-1405.79</v>
      </c>
      <c r="O11" s="194">
        <f t="shared" si="2"/>
        <v>-405.78999999999996</v>
      </c>
      <c r="Q11" s="205">
        <v>-1500</v>
      </c>
      <c r="R11" s="205">
        <v>-1500</v>
      </c>
      <c r="S11" s="205"/>
      <c r="T11" s="205"/>
      <c r="U11" s="205"/>
      <c r="V11" s="205">
        <v>-1441</v>
      </c>
      <c r="W11" s="205">
        <v>-1441</v>
      </c>
      <c r="X11" s="205">
        <f t="shared" si="3"/>
        <v>59</v>
      </c>
      <c r="Y11" s="170"/>
      <c r="Z11" s="206">
        <v>-1500</v>
      </c>
      <c r="AA11" s="206">
        <v>-1500</v>
      </c>
      <c r="AB11" s="207"/>
      <c r="AC11" s="207"/>
      <c r="AD11" s="207"/>
      <c r="AE11" s="206">
        <v>-730.9</v>
      </c>
      <c r="AF11" s="207">
        <v>-730.9</v>
      </c>
      <c r="AG11" s="207">
        <f t="shared" si="4"/>
        <v>769.1</v>
      </c>
      <c r="AH11" s="170"/>
      <c r="AI11" s="208">
        <v>-1500</v>
      </c>
      <c r="AJ11" s="208">
        <v>-1500</v>
      </c>
      <c r="AK11" s="198">
        <f t="shared" si="1"/>
        <v>-1500</v>
      </c>
      <c r="AL11" s="208"/>
      <c r="AM11" s="208"/>
      <c r="AN11" s="208"/>
      <c r="AO11" s="208"/>
      <c r="AP11" s="208"/>
      <c r="AQ11" s="208">
        <f t="shared" si="5"/>
        <v>1500</v>
      </c>
      <c r="AR11" s="170"/>
      <c r="AS11" s="205"/>
      <c r="AT11" s="205"/>
      <c r="AU11" s="204">
        <f>IFERROR(VLOOKUP(B11,[3]rptBudgetaryBudgetCrossOrganiza!$A$573:$O$584,13,FALSE),"0")</f>
        <v>0</v>
      </c>
      <c r="AV11" s="205"/>
      <c r="AW11" s="205"/>
      <c r="AX11" s="205"/>
      <c r="AY11" s="205"/>
      <c r="AZ11" s="205">
        <f t="shared" si="6"/>
        <v>0</v>
      </c>
      <c r="BA11" s="170"/>
      <c r="BB11" s="170"/>
      <c r="BC11" s="170"/>
      <c r="BD11" s="170"/>
    </row>
    <row r="12" spans="1:62" x14ac:dyDescent="0.2">
      <c r="A12" s="154">
        <v>3</v>
      </c>
      <c r="B12" s="155" t="s">
        <v>491</v>
      </c>
      <c r="C12" s="178" t="s">
        <v>162</v>
      </c>
      <c r="D12" s="178" t="s">
        <v>162</v>
      </c>
      <c r="E12" s="176">
        <v>900</v>
      </c>
      <c r="F12" s="156" t="str">
        <f t="shared" si="0"/>
        <v>4850.07</v>
      </c>
      <c r="G12" s="157" t="s">
        <v>490</v>
      </c>
      <c r="H12" s="194">
        <v>0</v>
      </c>
      <c r="I12" s="194">
        <v>0</v>
      </c>
      <c r="J12" s="194"/>
      <c r="K12" s="194"/>
      <c r="L12" s="194"/>
      <c r="M12" s="194"/>
      <c r="N12" s="194">
        <v>1906.48</v>
      </c>
      <c r="O12" s="194">
        <f t="shared" si="2"/>
        <v>1906.48</v>
      </c>
      <c r="Q12" s="205"/>
      <c r="R12" s="205"/>
      <c r="S12" s="205"/>
      <c r="T12" s="205"/>
      <c r="U12" s="205"/>
      <c r="V12" s="205">
        <v>2590</v>
      </c>
      <c r="W12" s="205">
        <v>2590</v>
      </c>
      <c r="X12" s="205">
        <f t="shared" si="3"/>
        <v>2590</v>
      </c>
      <c r="Y12" s="170"/>
      <c r="Z12" s="206">
        <v>0</v>
      </c>
      <c r="AA12" s="206">
        <v>0</v>
      </c>
      <c r="AB12" s="207"/>
      <c r="AC12" s="207"/>
      <c r="AD12" s="207"/>
      <c r="AE12" s="206">
        <v>3699.02</v>
      </c>
      <c r="AF12" s="207">
        <v>3699.02</v>
      </c>
      <c r="AG12" s="207">
        <f t="shared" si="4"/>
        <v>3699.02</v>
      </c>
      <c r="AH12" s="170"/>
      <c r="AI12" s="208"/>
      <c r="AJ12" s="208"/>
      <c r="AK12" s="198">
        <f t="shared" si="1"/>
        <v>0</v>
      </c>
      <c r="AL12" s="208"/>
      <c r="AM12" s="208"/>
      <c r="AN12" s="208"/>
      <c r="AO12" s="208"/>
      <c r="AP12" s="208"/>
      <c r="AQ12" s="208"/>
      <c r="AR12" s="170"/>
      <c r="AS12" s="205"/>
      <c r="AT12" s="205"/>
      <c r="AU12" s="204" t="str">
        <f>IFERROR(VLOOKUP(B12,[3]rptBudgetaryBudgetCrossOrganiza!$A$573:$O$584,13,FALSE),"0")</f>
        <v>0</v>
      </c>
      <c r="AV12" s="205"/>
      <c r="AW12" s="205"/>
      <c r="AX12" s="205"/>
      <c r="AY12" s="205"/>
      <c r="AZ12" s="205">
        <f t="shared" si="6"/>
        <v>0</v>
      </c>
      <c r="BA12" s="170"/>
      <c r="BB12" s="170"/>
      <c r="BC12" s="170"/>
      <c r="BD12" s="170"/>
    </row>
    <row r="13" spans="1:62" x14ac:dyDescent="0.2">
      <c r="A13" s="154">
        <v>10</v>
      </c>
      <c r="B13" s="155" t="s">
        <v>493</v>
      </c>
      <c r="C13" s="178" t="s">
        <v>162</v>
      </c>
      <c r="D13" s="178" t="s">
        <v>162</v>
      </c>
      <c r="E13" s="176">
        <v>900</v>
      </c>
      <c r="F13" s="156" t="str">
        <f t="shared" si="0"/>
        <v>4900.01</v>
      </c>
      <c r="G13" s="157" t="s">
        <v>494</v>
      </c>
      <c r="H13" s="194"/>
      <c r="I13" s="194"/>
      <c r="J13" s="194"/>
      <c r="K13" s="194"/>
      <c r="L13" s="194"/>
      <c r="M13" s="194"/>
      <c r="N13" s="194"/>
      <c r="O13" s="194"/>
      <c r="Q13" s="205"/>
      <c r="R13" s="205">
        <v>17000</v>
      </c>
      <c r="S13" s="205"/>
      <c r="T13" s="205"/>
      <c r="U13" s="205"/>
      <c r="V13" s="205">
        <v>17000</v>
      </c>
      <c r="W13" s="205">
        <v>17000</v>
      </c>
      <c r="X13" s="205">
        <f t="shared" si="3"/>
        <v>0</v>
      </c>
      <c r="Y13" s="170"/>
      <c r="Z13" s="206">
        <v>0</v>
      </c>
      <c r="AA13" s="206">
        <v>0</v>
      </c>
      <c r="AB13" s="207"/>
      <c r="AC13" s="207"/>
      <c r="AD13" s="207"/>
      <c r="AE13" s="206">
        <v>0</v>
      </c>
      <c r="AF13" s="207">
        <v>0</v>
      </c>
      <c r="AG13" s="207">
        <f t="shared" si="4"/>
        <v>0</v>
      </c>
      <c r="AH13" s="170"/>
      <c r="AI13" s="208"/>
      <c r="AJ13" s="208"/>
      <c r="AK13" s="198">
        <f t="shared" si="1"/>
        <v>0</v>
      </c>
      <c r="AL13" s="208"/>
      <c r="AM13" s="208"/>
      <c r="AN13" s="208"/>
      <c r="AO13" s="208"/>
      <c r="AP13" s="208"/>
      <c r="AQ13" s="208"/>
      <c r="AR13" s="170"/>
      <c r="AS13" s="205"/>
      <c r="AT13" s="205"/>
      <c r="AU13" s="204" t="str">
        <f>IFERROR(VLOOKUP(B13,[3]rptBudgetaryBudgetCrossOrganiza!$A$573:$O$584,13,FALSE),"0")</f>
        <v>0</v>
      </c>
      <c r="AV13" s="205"/>
      <c r="AW13" s="205"/>
      <c r="AX13" s="205"/>
      <c r="AY13" s="205"/>
      <c r="AZ13" s="205">
        <f t="shared" si="6"/>
        <v>0</v>
      </c>
      <c r="BA13" s="170"/>
      <c r="BB13" s="170"/>
      <c r="BC13" s="170"/>
      <c r="BD13" s="170"/>
    </row>
    <row r="14" spans="1:62" x14ac:dyDescent="0.2">
      <c r="H14" s="170">
        <f>SUM(H3:H13)</f>
        <v>2119985</v>
      </c>
      <c r="I14" s="170">
        <f t="shared" ref="I14:O14" si="7">SUM(I3:I13)</f>
        <v>2119985</v>
      </c>
      <c r="J14" s="170">
        <f t="shared" si="7"/>
        <v>0</v>
      </c>
      <c r="K14" s="170">
        <f t="shared" si="7"/>
        <v>0</v>
      </c>
      <c r="L14" s="170">
        <f t="shared" si="7"/>
        <v>0</v>
      </c>
      <c r="M14" s="170">
        <f t="shared" si="7"/>
        <v>0</v>
      </c>
      <c r="N14" s="170">
        <f t="shared" si="7"/>
        <v>1966364.0199999998</v>
      </c>
      <c r="O14" s="170">
        <f t="shared" si="7"/>
        <v>-153620.98000000001</v>
      </c>
      <c r="Q14" s="170">
        <f>SUM(Q3:Q13)</f>
        <v>3189155</v>
      </c>
      <c r="R14" s="170">
        <f t="shared" ref="R14:X14" si="8">SUM(R3:R13)</f>
        <v>3206155</v>
      </c>
      <c r="S14" s="170">
        <f t="shared" si="8"/>
        <v>0</v>
      </c>
      <c r="T14" s="170">
        <f t="shared" si="8"/>
        <v>0</v>
      </c>
      <c r="U14" s="170">
        <f t="shared" si="8"/>
        <v>0</v>
      </c>
      <c r="V14" s="170">
        <f t="shared" si="8"/>
        <v>3162825.8299999996</v>
      </c>
      <c r="W14" s="170">
        <f t="shared" si="8"/>
        <v>3162825.8299999996</v>
      </c>
      <c r="X14" s="170">
        <f t="shared" si="8"/>
        <v>-43329.169999999925</v>
      </c>
      <c r="Y14" s="170"/>
      <c r="Z14" s="170">
        <f>SUM(Z3:Z13)</f>
        <v>3071100</v>
      </c>
      <c r="AA14" s="170">
        <f t="shared" ref="AA14:AG14" si="9">SUM(AA3:AA13)</f>
        <v>3071100</v>
      </c>
      <c r="AB14" s="170">
        <f t="shared" si="9"/>
        <v>0</v>
      </c>
      <c r="AC14" s="170">
        <f t="shared" si="9"/>
        <v>0</v>
      </c>
      <c r="AD14" s="170">
        <f t="shared" si="9"/>
        <v>0</v>
      </c>
      <c r="AE14" s="170">
        <f t="shared" si="9"/>
        <v>3264048.39</v>
      </c>
      <c r="AF14" s="170">
        <f t="shared" si="9"/>
        <v>3264048.39</v>
      </c>
      <c r="AG14" s="170">
        <f t="shared" si="9"/>
        <v>192948.39000000007</v>
      </c>
      <c r="AH14" s="170"/>
      <c r="AI14" s="170">
        <f>SUM(AI3:AI11)</f>
        <v>3071100</v>
      </c>
      <c r="AJ14" s="170">
        <f t="shared" ref="AJ14:AQ14" si="10">SUM(AJ3:AJ11)</f>
        <v>3071100</v>
      </c>
      <c r="AK14" s="170">
        <f t="shared" si="10"/>
        <v>3071100</v>
      </c>
      <c r="AL14" s="170">
        <f t="shared" si="10"/>
        <v>0</v>
      </c>
      <c r="AM14" s="170">
        <f t="shared" si="10"/>
        <v>0</v>
      </c>
      <c r="AN14" s="170">
        <f t="shared" si="10"/>
        <v>0</v>
      </c>
      <c r="AO14" s="170">
        <f t="shared" si="10"/>
        <v>0</v>
      </c>
      <c r="AP14" s="170">
        <f t="shared" si="10"/>
        <v>0</v>
      </c>
      <c r="AQ14" s="170">
        <f t="shared" si="10"/>
        <v>-3071100</v>
      </c>
      <c r="AR14" s="170"/>
      <c r="AS14" s="170">
        <f>SUM(AS3:AS11)</f>
        <v>0</v>
      </c>
      <c r="AT14" s="170">
        <f t="shared" ref="AT14:AZ14" si="11">SUM(AT3:AT11)</f>
        <v>0</v>
      </c>
      <c r="AU14" s="170">
        <f t="shared" si="11"/>
        <v>691892.40999999992</v>
      </c>
      <c r="AV14" s="170">
        <f t="shared" si="11"/>
        <v>0</v>
      </c>
      <c r="AW14" s="170">
        <f t="shared" si="11"/>
        <v>0</v>
      </c>
      <c r="AX14" s="170">
        <f t="shared" si="11"/>
        <v>0</v>
      </c>
      <c r="AY14" s="170">
        <f t="shared" si="11"/>
        <v>0</v>
      </c>
      <c r="AZ14" s="170">
        <f t="shared" si="11"/>
        <v>0</v>
      </c>
      <c r="BA14" s="170"/>
      <c r="BB14" s="170"/>
      <c r="BC14" s="170"/>
      <c r="BD14" s="170"/>
    </row>
  </sheetData>
  <mergeCells count="5">
    <mergeCell ref="H1:N1"/>
    <mergeCell ref="Q1:X1"/>
    <mergeCell ref="Z1:AG1"/>
    <mergeCell ref="AI1:AQ1"/>
    <mergeCell ref="AS1:AZ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workbookViewId="0">
      <selection activeCell="C27" sqref="C27"/>
    </sheetView>
  </sheetViews>
  <sheetFormatPr defaultColWidth="9.140625" defaultRowHeight="15" x14ac:dyDescent="0.25"/>
  <cols>
    <col min="1" max="1" width="1.7109375" customWidth="1"/>
    <col min="2" max="2" width="22.85546875" customWidth="1"/>
    <col min="3" max="3" width="42.42578125" customWidth="1"/>
    <col min="4" max="4" width="13.7109375" customWidth="1"/>
    <col min="5" max="5" width="1.7109375" customWidth="1"/>
    <col min="6" max="6" width="14.5703125" customWidth="1"/>
    <col min="7" max="7" width="1.7109375" customWidth="1"/>
    <col min="8" max="8" width="14.28515625" bestFit="1" customWidth="1"/>
    <col min="9" max="9" width="1.7109375" customWidth="1"/>
    <col min="10" max="10" width="14.5703125" customWidth="1"/>
    <col min="11" max="11" width="1.7109375" customWidth="1"/>
    <col min="12" max="12" width="13.7109375" customWidth="1"/>
    <col min="13" max="13" width="1.7109375" customWidth="1"/>
    <col min="14" max="14" width="13.7109375" customWidth="1"/>
    <col min="15" max="15" width="1.7109375" customWidth="1"/>
    <col min="16" max="16" width="13.7109375" customWidth="1"/>
    <col min="17" max="17" width="1.7109375" customWidth="1"/>
    <col min="18" max="18" width="13.7109375" customWidth="1"/>
    <col min="19" max="19" width="2" customWidth="1"/>
    <col min="20" max="20" width="14.85546875" style="181" customWidth="1"/>
    <col min="22" max="22" width="10.28515625" bestFit="1" customWidth="1"/>
    <col min="257" max="257" width="1.7109375" customWidth="1"/>
    <col min="258" max="258" width="22.85546875" customWidth="1"/>
    <col min="259" max="259" width="42.42578125" customWidth="1"/>
    <col min="260" max="260" width="13.7109375" customWidth="1"/>
    <col min="261" max="261" width="1.7109375" customWidth="1"/>
    <col min="262" max="262" width="14.5703125" customWidth="1"/>
    <col min="263" max="263" width="1.7109375" customWidth="1"/>
    <col min="264" max="264" width="14.28515625" bestFit="1" customWidth="1"/>
    <col min="265" max="265" width="1.7109375" customWidth="1"/>
    <col min="266" max="266" width="14.5703125" customWidth="1"/>
    <col min="267" max="267" width="1.7109375" customWidth="1"/>
    <col min="268" max="268" width="13.7109375" customWidth="1"/>
    <col min="269" max="269" width="1.7109375" customWidth="1"/>
    <col min="270" max="270" width="13.7109375" customWidth="1"/>
    <col min="271" max="271" width="1.7109375" customWidth="1"/>
    <col min="272" max="272" width="13.7109375" customWidth="1"/>
    <col min="273" max="273" width="1.7109375" customWidth="1"/>
    <col min="274" max="274" width="13.7109375" customWidth="1"/>
    <col min="275" max="275" width="2" customWidth="1"/>
    <col min="276" max="276" width="14.85546875" customWidth="1"/>
    <col min="278" max="278" width="10.28515625" bestFit="1" customWidth="1"/>
    <col min="513" max="513" width="1.7109375" customWidth="1"/>
    <col min="514" max="514" width="22.85546875" customWidth="1"/>
    <col min="515" max="515" width="42.42578125" customWidth="1"/>
    <col min="516" max="516" width="13.7109375" customWidth="1"/>
    <col min="517" max="517" width="1.7109375" customWidth="1"/>
    <col min="518" max="518" width="14.5703125" customWidth="1"/>
    <col min="519" max="519" width="1.7109375" customWidth="1"/>
    <col min="520" max="520" width="14.28515625" bestFit="1" customWidth="1"/>
    <col min="521" max="521" width="1.7109375" customWidth="1"/>
    <col min="522" max="522" width="14.5703125" customWidth="1"/>
    <col min="523" max="523" width="1.7109375" customWidth="1"/>
    <col min="524" max="524" width="13.7109375" customWidth="1"/>
    <col min="525" max="525" width="1.7109375" customWidth="1"/>
    <col min="526" max="526" width="13.7109375" customWidth="1"/>
    <col min="527" max="527" width="1.7109375" customWidth="1"/>
    <col min="528" max="528" width="13.7109375" customWidth="1"/>
    <col min="529" max="529" width="1.7109375" customWidth="1"/>
    <col min="530" max="530" width="13.7109375" customWidth="1"/>
    <col min="531" max="531" width="2" customWidth="1"/>
    <col min="532" max="532" width="14.85546875" customWidth="1"/>
    <col min="534" max="534" width="10.28515625" bestFit="1" customWidth="1"/>
    <col min="769" max="769" width="1.7109375" customWidth="1"/>
    <col min="770" max="770" width="22.85546875" customWidth="1"/>
    <col min="771" max="771" width="42.42578125" customWidth="1"/>
    <col min="772" max="772" width="13.7109375" customWidth="1"/>
    <col min="773" max="773" width="1.7109375" customWidth="1"/>
    <col min="774" max="774" width="14.5703125" customWidth="1"/>
    <col min="775" max="775" width="1.7109375" customWidth="1"/>
    <col min="776" max="776" width="14.28515625" bestFit="1" customWidth="1"/>
    <col min="777" max="777" width="1.7109375" customWidth="1"/>
    <col min="778" max="778" width="14.5703125" customWidth="1"/>
    <col min="779" max="779" width="1.7109375" customWidth="1"/>
    <col min="780" max="780" width="13.7109375" customWidth="1"/>
    <col min="781" max="781" width="1.7109375" customWidth="1"/>
    <col min="782" max="782" width="13.7109375" customWidth="1"/>
    <col min="783" max="783" width="1.7109375" customWidth="1"/>
    <col min="784" max="784" width="13.7109375" customWidth="1"/>
    <col min="785" max="785" width="1.7109375" customWidth="1"/>
    <col min="786" max="786" width="13.7109375" customWidth="1"/>
    <col min="787" max="787" width="2" customWidth="1"/>
    <col min="788" max="788" width="14.85546875" customWidth="1"/>
    <col min="790" max="790" width="10.28515625" bestFit="1" customWidth="1"/>
    <col min="1025" max="1025" width="1.7109375" customWidth="1"/>
    <col min="1026" max="1026" width="22.85546875" customWidth="1"/>
    <col min="1027" max="1027" width="42.42578125" customWidth="1"/>
    <col min="1028" max="1028" width="13.7109375" customWidth="1"/>
    <col min="1029" max="1029" width="1.7109375" customWidth="1"/>
    <col min="1030" max="1030" width="14.5703125" customWidth="1"/>
    <col min="1031" max="1031" width="1.7109375" customWidth="1"/>
    <col min="1032" max="1032" width="14.28515625" bestFit="1" customWidth="1"/>
    <col min="1033" max="1033" width="1.7109375" customWidth="1"/>
    <col min="1034" max="1034" width="14.5703125" customWidth="1"/>
    <col min="1035" max="1035" width="1.7109375" customWidth="1"/>
    <col min="1036" max="1036" width="13.7109375" customWidth="1"/>
    <col min="1037" max="1037" width="1.7109375" customWidth="1"/>
    <col min="1038" max="1038" width="13.7109375" customWidth="1"/>
    <col min="1039" max="1039" width="1.7109375" customWidth="1"/>
    <col min="1040" max="1040" width="13.7109375" customWidth="1"/>
    <col min="1041" max="1041" width="1.7109375" customWidth="1"/>
    <col min="1042" max="1042" width="13.7109375" customWidth="1"/>
    <col min="1043" max="1043" width="2" customWidth="1"/>
    <col min="1044" max="1044" width="14.85546875" customWidth="1"/>
    <col min="1046" max="1046" width="10.28515625" bestFit="1" customWidth="1"/>
    <col min="1281" max="1281" width="1.7109375" customWidth="1"/>
    <col min="1282" max="1282" width="22.85546875" customWidth="1"/>
    <col min="1283" max="1283" width="42.42578125" customWidth="1"/>
    <col min="1284" max="1284" width="13.7109375" customWidth="1"/>
    <col min="1285" max="1285" width="1.7109375" customWidth="1"/>
    <col min="1286" max="1286" width="14.5703125" customWidth="1"/>
    <col min="1287" max="1287" width="1.7109375" customWidth="1"/>
    <col min="1288" max="1288" width="14.28515625" bestFit="1" customWidth="1"/>
    <col min="1289" max="1289" width="1.7109375" customWidth="1"/>
    <col min="1290" max="1290" width="14.5703125" customWidth="1"/>
    <col min="1291" max="1291" width="1.7109375" customWidth="1"/>
    <col min="1292" max="1292" width="13.7109375" customWidth="1"/>
    <col min="1293" max="1293" width="1.7109375" customWidth="1"/>
    <col min="1294" max="1294" width="13.7109375" customWidth="1"/>
    <col min="1295" max="1295" width="1.7109375" customWidth="1"/>
    <col min="1296" max="1296" width="13.7109375" customWidth="1"/>
    <col min="1297" max="1297" width="1.7109375" customWidth="1"/>
    <col min="1298" max="1298" width="13.7109375" customWidth="1"/>
    <col min="1299" max="1299" width="2" customWidth="1"/>
    <col min="1300" max="1300" width="14.85546875" customWidth="1"/>
    <col min="1302" max="1302" width="10.28515625" bestFit="1" customWidth="1"/>
    <col min="1537" max="1537" width="1.7109375" customWidth="1"/>
    <col min="1538" max="1538" width="22.85546875" customWidth="1"/>
    <col min="1539" max="1539" width="42.42578125" customWidth="1"/>
    <col min="1540" max="1540" width="13.7109375" customWidth="1"/>
    <col min="1541" max="1541" width="1.7109375" customWidth="1"/>
    <col min="1542" max="1542" width="14.5703125" customWidth="1"/>
    <col min="1543" max="1543" width="1.7109375" customWidth="1"/>
    <col min="1544" max="1544" width="14.28515625" bestFit="1" customWidth="1"/>
    <col min="1545" max="1545" width="1.7109375" customWidth="1"/>
    <col min="1546" max="1546" width="14.5703125" customWidth="1"/>
    <col min="1547" max="1547" width="1.7109375" customWidth="1"/>
    <col min="1548" max="1548" width="13.7109375" customWidth="1"/>
    <col min="1549" max="1549" width="1.7109375" customWidth="1"/>
    <col min="1550" max="1550" width="13.7109375" customWidth="1"/>
    <col min="1551" max="1551" width="1.7109375" customWidth="1"/>
    <col min="1552" max="1552" width="13.7109375" customWidth="1"/>
    <col min="1553" max="1553" width="1.7109375" customWidth="1"/>
    <col min="1554" max="1554" width="13.7109375" customWidth="1"/>
    <col min="1555" max="1555" width="2" customWidth="1"/>
    <col min="1556" max="1556" width="14.85546875" customWidth="1"/>
    <col min="1558" max="1558" width="10.28515625" bestFit="1" customWidth="1"/>
    <col min="1793" max="1793" width="1.7109375" customWidth="1"/>
    <col min="1794" max="1794" width="22.85546875" customWidth="1"/>
    <col min="1795" max="1795" width="42.42578125" customWidth="1"/>
    <col min="1796" max="1796" width="13.7109375" customWidth="1"/>
    <col min="1797" max="1797" width="1.7109375" customWidth="1"/>
    <col min="1798" max="1798" width="14.5703125" customWidth="1"/>
    <col min="1799" max="1799" width="1.7109375" customWidth="1"/>
    <col min="1800" max="1800" width="14.28515625" bestFit="1" customWidth="1"/>
    <col min="1801" max="1801" width="1.7109375" customWidth="1"/>
    <col min="1802" max="1802" width="14.5703125" customWidth="1"/>
    <col min="1803" max="1803" width="1.7109375" customWidth="1"/>
    <col min="1804" max="1804" width="13.7109375" customWidth="1"/>
    <col min="1805" max="1805" width="1.7109375" customWidth="1"/>
    <col min="1806" max="1806" width="13.7109375" customWidth="1"/>
    <col min="1807" max="1807" width="1.7109375" customWidth="1"/>
    <col min="1808" max="1808" width="13.7109375" customWidth="1"/>
    <col min="1809" max="1809" width="1.7109375" customWidth="1"/>
    <col min="1810" max="1810" width="13.7109375" customWidth="1"/>
    <col min="1811" max="1811" width="2" customWidth="1"/>
    <col min="1812" max="1812" width="14.85546875" customWidth="1"/>
    <col min="1814" max="1814" width="10.28515625" bestFit="1" customWidth="1"/>
    <col min="2049" max="2049" width="1.7109375" customWidth="1"/>
    <col min="2050" max="2050" width="22.85546875" customWidth="1"/>
    <col min="2051" max="2051" width="42.42578125" customWidth="1"/>
    <col min="2052" max="2052" width="13.7109375" customWidth="1"/>
    <col min="2053" max="2053" width="1.7109375" customWidth="1"/>
    <col min="2054" max="2054" width="14.5703125" customWidth="1"/>
    <col min="2055" max="2055" width="1.7109375" customWidth="1"/>
    <col min="2056" max="2056" width="14.28515625" bestFit="1" customWidth="1"/>
    <col min="2057" max="2057" width="1.7109375" customWidth="1"/>
    <col min="2058" max="2058" width="14.5703125" customWidth="1"/>
    <col min="2059" max="2059" width="1.7109375" customWidth="1"/>
    <col min="2060" max="2060" width="13.7109375" customWidth="1"/>
    <col min="2061" max="2061" width="1.7109375" customWidth="1"/>
    <col min="2062" max="2062" width="13.7109375" customWidth="1"/>
    <col min="2063" max="2063" width="1.7109375" customWidth="1"/>
    <col min="2064" max="2064" width="13.7109375" customWidth="1"/>
    <col min="2065" max="2065" width="1.7109375" customWidth="1"/>
    <col min="2066" max="2066" width="13.7109375" customWidth="1"/>
    <col min="2067" max="2067" width="2" customWidth="1"/>
    <col min="2068" max="2068" width="14.85546875" customWidth="1"/>
    <col min="2070" max="2070" width="10.28515625" bestFit="1" customWidth="1"/>
    <col min="2305" max="2305" width="1.7109375" customWidth="1"/>
    <col min="2306" max="2306" width="22.85546875" customWidth="1"/>
    <col min="2307" max="2307" width="42.42578125" customWidth="1"/>
    <col min="2308" max="2308" width="13.7109375" customWidth="1"/>
    <col min="2309" max="2309" width="1.7109375" customWidth="1"/>
    <col min="2310" max="2310" width="14.5703125" customWidth="1"/>
    <col min="2311" max="2311" width="1.7109375" customWidth="1"/>
    <col min="2312" max="2312" width="14.28515625" bestFit="1" customWidth="1"/>
    <col min="2313" max="2313" width="1.7109375" customWidth="1"/>
    <col min="2314" max="2314" width="14.5703125" customWidth="1"/>
    <col min="2315" max="2315" width="1.7109375" customWidth="1"/>
    <col min="2316" max="2316" width="13.7109375" customWidth="1"/>
    <col min="2317" max="2317" width="1.7109375" customWidth="1"/>
    <col min="2318" max="2318" width="13.7109375" customWidth="1"/>
    <col min="2319" max="2319" width="1.7109375" customWidth="1"/>
    <col min="2320" max="2320" width="13.7109375" customWidth="1"/>
    <col min="2321" max="2321" width="1.7109375" customWidth="1"/>
    <col min="2322" max="2322" width="13.7109375" customWidth="1"/>
    <col min="2323" max="2323" width="2" customWidth="1"/>
    <col min="2324" max="2324" width="14.85546875" customWidth="1"/>
    <col min="2326" max="2326" width="10.28515625" bestFit="1" customWidth="1"/>
    <col min="2561" max="2561" width="1.7109375" customWidth="1"/>
    <col min="2562" max="2562" width="22.85546875" customWidth="1"/>
    <col min="2563" max="2563" width="42.42578125" customWidth="1"/>
    <col min="2564" max="2564" width="13.7109375" customWidth="1"/>
    <col min="2565" max="2565" width="1.7109375" customWidth="1"/>
    <col min="2566" max="2566" width="14.5703125" customWidth="1"/>
    <col min="2567" max="2567" width="1.7109375" customWidth="1"/>
    <col min="2568" max="2568" width="14.28515625" bestFit="1" customWidth="1"/>
    <col min="2569" max="2569" width="1.7109375" customWidth="1"/>
    <col min="2570" max="2570" width="14.5703125" customWidth="1"/>
    <col min="2571" max="2571" width="1.7109375" customWidth="1"/>
    <col min="2572" max="2572" width="13.7109375" customWidth="1"/>
    <col min="2573" max="2573" width="1.7109375" customWidth="1"/>
    <col min="2574" max="2574" width="13.7109375" customWidth="1"/>
    <col min="2575" max="2575" width="1.7109375" customWidth="1"/>
    <col min="2576" max="2576" width="13.7109375" customWidth="1"/>
    <col min="2577" max="2577" width="1.7109375" customWidth="1"/>
    <col min="2578" max="2578" width="13.7109375" customWidth="1"/>
    <col min="2579" max="2579" width="2" customWidth="1"/>
    <col min="2580" max="2580" width="14.85546875" customWidth="1"/>
    <col min="2582" max="2582" width="10.28515625" bestFit="1" customWidth="1"/>
    <col min="2817" max="2817" width="1.7109375" customWidth="1"/>
    <col min="2818" max="2818" width="22.85546875" customWidth="1"/>
    <col min="2819" max="2819" width="42.42578125" customWidth="1"/>
    <col min="2820" max="2820" width="13.7109375" customWidth="1"/>
    <col min="2821" max="2821" width="1.7109375" customWidth="1"/>
    <col min="2822" max="2822" width="14.5703125" customWidth="1"/>
    <col min="2823" max="2823" width="1.7109375" customWidth="1"/>
    <col min="2824" max="2824" width="14.28515625" bestFit="1" customWidth="1"/>
    <col min="2825" max="2825" width="1.7109375" customWidth="1"/>
    <col min="2826" max="2826" width="14.5703125" customWidth="1"/>
    <col min="2827" max="2827" width="1.7109375" customWidth="1"/>
    <col min="2828" max="2828" width="13.7109375" customWidth="1"/>
    <col min="2829" max="2829" width="1.7109375" customWidth="1"/>
    <col min="2830" max="2830" width="13.7109375" customWidth="1"/>
    <col min="2831" max="2831" width="1.7109375" customWidth="1"/>
    <col min="2832" max="2832" width="13.7109375" customWidth="1"/>
    <col min="2833" max="2833" width="1.7109375" customWidth="1"/>
    <col min="2834" max="2834" width="13.7109375" customWidth="1"/>
    <col min="2835" max="2835" width="2" customWidth="1"/>
    <col min="2836" max="2836" width="14.85546875" customWidth="1"/>
    <col min="2838" max="2838" width="10.28515625" bestFit="1" customWidth="1"/>
    <col min="3073" max="3073" width="1.7109375" customWidth="1"/>
    <col min="3074" max="3074" width="22.85546875" customWidth="1"/>
    <col min="3075" max="3075" width="42.42578125" customWidth="1"/>
    <col min="3076" max="3076" width="13.7109375" customWidth="1"/>
    <col min="3077" max="3077" width="1.7109375" customWidth="1"/>
    <col min="3078" max="3078" width="14.5703125" customWidth="1"/>
    <col min="3079" max="3079" width="1.7109375" customWidth="1"/>
    <col min="3080" max="3080" width="14.28515625" bestFit="1" customWidth="1"/>
    <col min="3081" max="3081" width="1.7109375" customWidth="1"/>
    <col min="3082" max="3082" width="14.5703125" customWidth="1"/>
    <col min="3083" max="3083" width="1.7109375" customWidth="1"/>
    <col min="3084" max="3084" width="13.7109375" customWidth="1"/>
    <col min="3085" max="3085" width="1.7109375" customWidth="1"/>
    <col min="3086" max="3086" width="13.7109375" customWidth="1"/>
    <col min="3087" max="3087" width="1.7109375" customWidth="1"/>
    <col min="3088" max="3088" width="13.7109375" customWidth="1"/>
    <col min="3089" max="3089" width="1.7109375" customWidth="1"/>
    <col min="3090" max="3090" width="13.7109375" customWidth="1"/>
    <col min="3091" max="3091" width="2" customWidth="1"/>
    <col min="3092" max="3092" width="14.85546875" customWidth="1"/>
    <col min="3094" max="3094" width="10.28515625" bestFit="1" customWidth="1"/>
    <col min="3329" max="3329" width="1.7109375" customWidth="1"/>
    <col min="3330" max="3330" width="22.85546875" customWidth="1"/>
    <col min="3331" max="3331" width="42.42578125" customWidth="1"/>
    <col min="3332" max="3332" width="13.7109375" customWidth="1"/>
    <col min="3333" max="3333" width="1.7109375" customWidth="1"/>
    <col min="3334" max="3334" width="14.5703125" customWidth="1"/>
    <col min="3335" max="3335" width="1.7109375" customWidth="1"/>
    <col min="3336" max="3336" width="14.28515625" bestFit="1" customWidth="1"/>
    <col min="3337" max="3337" width="1.7109375" customWidth="1"/>
    <col min="3338" max="3338" width="14.5703125" customWidth="1"/>
    <col min="3339" max="3339" width="1.7109375" customWidth="1"/>
    <col min="3340" max="3340" width="13.7109375" customWidth="1"/>
    <col min="3341" max="3341" width="1.7109375" customWidth="1"/>
    <col min="3342" max="3342" width="13.7109375" customWidth="1"/>
    <col min="3343" max="3343" width="1.7109375" customWidth="1"/>
    <col min="3344" max="3344" width="13.7109375" customWidth="1"/>
    <col min="3345" max="3345" width="1.7109375" customWidth="1"/>
    <col min="3346" max="3346" width="13.7109375" customWidth="1"/>
    <col min="3347" max="3347" width="2" customWidth="1"/>
    <col min="3348" max="3348" width="14.85546875" customWidth="1"/>
    <col min="3350" max="3350" width="10.28515625" bestFit="1" customWidth="1"/>
    <col min="3585" max="3585" width="1.7109375" customWidth="1"/>
    <col min="3586" max="3586" width="22.85546875" customWidth="1"/>
    <col min="3587" max="3587" width="42.42578125" customWidth="1"/>
    <col min="3588" max="3588" width="13.7109375" customWidth="1"/>
    <col min="3589" max="3589" width="1.7109375" customWidth="1"/>
    <col min="3590" max="3590" width="14.5703125" customWidth="1"/>
    <col min="3591" max="3591" width="1.7109375" customWidth="1"/>
    <col min="3592" max="3592" width="14.28515625" bestFit="1" customWidth="1"/>
    <col min="3593" max="3593" width="1.7109375" customWidth="1"/>
    <col min="3594" max="3594" width="14.5703125" customWidth="1"/>
    <col min="3595" max="3595" width="1.7109375" customWidth="1"/>
    <col min="3596" max="3596" width="13.7109375" customWidth="1"/>
    <col min="3597" max="3597" width="1.7109375" customWidth="1"/>
    <col min="3598" max="3598" width="13.7109375" customWidth="1"/>
    <col min="3599" max="3599" width="1.7109375" customWidth="1"/>
    <col min="3600" max="3600" width="13.7109375" customWidth="1"/>
    <col min="3601" max="3601" width="1.7109375" customWidth="1"/>
    <col min="3602" max="3602" width="13.7109375" customWidth="1"/>
    <col min="3603" max="3603" width="2" customWidth="1"/>
    <col min="3604" max="3604" width="14.85546875" customWidth="1"/>
    <col min="3606" max="3606" width="10.28515625" bestFit="1" customWidth="1"/>
    <col min="3841" max="3841" width="1.7109375" customWidth="1"/>
    <col min="3842" max="3842" width="22.85546875" customWidth="1"/>
    <col min="3843" max="3843" width="42.42578125" customWidth="1"/>
    <col min="3844" max="3844" width="13.7109375" customWidth="1"/>
    <col min="3845" max="3845" width="1.7109375" customWidth="1"/>
    <col min="3846" max="3846" width="14.5703125" customWidth="1"/>
    <col min="3847" max="3847" width="1.7109375" customWidth="1"/>
    <col min="3848" max="3848" width="14.28515625" bestFit="1" customWidth="1"/>
    <col min="3849" max="3849" width="1.7109375" customWidth="1"/>
    <col min="3850" max="3850" width="14.5703125" customWidth="1"/>
    <col min="3851" max="3851" width="1.7109375" customWidth="1"/>
    <col min="3852" max="3852" width="13.7109375" customWidth="1"/>
    <col min="3853" max="3853" width="1.7109375" customWidth="1"/>
    <col min="3854" max="3854" width="13.7109375" customWidth="1"/>
    <col min="3855" max="3855" width="1.7109375" customWidth="1"/>
    <col min="3856" max="3856" width="13.7109375" customWidth="1"/>
    <col min="3857" max="3857" width="1.7109375" customWidth="1"/>
    <col min="3858" max="3858" width="13.7109375" customWidth="1"/>
    <col min="3859" max="3859" width="2" customWidth="1"/>
    <col min="3860" max="3860" width="14.85546875" customWidth="1"/>
    <col min="3862" max="3862" width="10.28515625" bestFit="1" customWidth="1"/>
    <col min="4097" max="4097" width="1.7109375" customWidth="1"/>
    <col min="4098" max="4098" width="22.85546875" customWidth="1"/>
    <col min="4099" max="4099" width="42.42578125" customWidth="1"/>
    <col min="4100" max="4100" width="13.7109375" customWidth="1"/>
    <col min="4101" max="4101" width="1.7109375" customWidth="1"/>
    <col min="4102" max="4102" width="14.5703125" customWidth="1"/>
    <col min="4103" max="4103" width="1.7109375" customWidth="1"/>
    <col min="4104" max="4104" width="14.28515625" bestFit="1" customWidth="1"/>
    <col min="4105" max="4105" width="1.7109375" customWidth="1"/>
    <col min="4106" max="4106" width="14.5703125" customWidth="1"/>
    <col min="4107" max="4107" width="1.7109375" customWidth="1"/>
    <col min="4108" max="4108" width="13.7109375" customWidth="1"/>
    <col min="4109" max="4109" width="1.7109375" customWidth="1"/>
    <col min="4110" max="4110" width="13.7109375" customWidth="1"/>
    <col min="4111" max="4111" width="1.7109375" customWidth="1"/>
    <col min="4112" max="4112" width="13.7109375" customWidth="1"/>
    <col min="4113" max="4113" width="1.7109375" customWidth="1"/>
    <col min="4114" max="4114" width="13.7109375" customWidth="1"/>
    <col min="4115" max="4115" width="2" customWidth="1"/>
    <col min="4116" max="4116" width="14.85546875" customWidth="1"/>
    <col min="4118" max="4118" width="10.28515625" bestFit="1" customWidth="1"/>
    <col min="4353" max="4353" width="1.7109375" customWidth="1"/>
    <col min="4354" max="4354" width="22.85546875" customWidth="1"/>
    <col min="4355" max="4355" width="42.42578125" customWidth="1"/>
    <col min="4356" max="4356" width="13.7109375" customWidth="1"/>
    <col min="4357" max="4357" width="1.7109375" customWidth="1"/>
    <col min="4358" max="4358" width="14.5703125" customWidth="1"/>
    <col min="4359" max="4359" width="1.7109375" customWidth="1"/>
    <col min="4360" max="4360" width="14.28515625" bestFit="1" customWidth="1"/>
    <col min="4361" max="4361" width="1.7109375" customWidth="1"/>
    <col min="4362" max="4362" width="14.5703125" customWidth="1"/>
    <col min="4363" max="4363" width="1.7109375" customWidth="1"/>
    <col min="4364" max="4364" width="13.7109375" customWidth="1"/>
    <col min="4365" max="4365" width="1.7109375" customWidth="1"/>
    <col min="4366" max="4366" width="13.7109375" customWidth="1"/>
    <col min="4367" max="4367" width="1.7109375" customWidth="1"/>
    <col min="4368" max="4368" width="13.7109375" customWidth="1"/>
    <col min="4369" max="4369" width="1.7109375" customWidth="1"/>
    <col min="4370" max="4370" width="13.7109375" customWidth="1"/>
    <col min="4371" max="4371" width="2" customWidth="1"/>
    <col min="4372" max="4372" width="14.85546875" customWidth="1"/>
    <col min="4374" max="4374" width="10.28515625" bestFit="1" customWidth="1"/>
    <col min="4609" max="4609" width="1.7109375" customWidth="1"/>
    <col min="4610" max="4610" width="22.85546875" customWidth="1"/>
    <col min="4611" max="4611" width="42.42578125" customWidth="1"/>
    <col min="4612" max="4612" width="13.7109375" customWidth="1"/>
    <col min="4613" max="4613" width="1.7109375" customWidth="1"/>
    <col min="4614" max="4614" width="14.5703125" customWidth="1"/>
    <col min="4615" max="4615" width="1.7109375" customWidth="1"/>
    <col min="4616" max="4616" width="14.28515625" bestFit="1" customWidth="1"/>
    <col min="4617" max="4617" width="1.7109375" customWidth="1"/>
    <col min="4618" max="4618" width="14.5703125" customWidth="1"/>
    <col min="4619" max="4619" width="1.7109375" customWidth="1"/>
    <col min="4620" max="4620" width="13.7109375" customWidth="1"/>
    <col min="4621" max="4621" width="1.7109375" customWidth="1"/>
    <col min="4622" max="4622" width="13.7109375" customWidth="1"/>
    <col min="4623" max="4623" width="1.7109375" customWidth="1"/>
    <col min="4624" max="4624" width="13.7109375" customWidth="1"/>
    <col min="4625" max="4625" width="1.7109375" customWidth="1"/>
    <col min="4626" max="4626" width="13.7109375" customWidth="1"/>
    <col min="4627" max="4627" width="2" customWidth="1"/>
    <col min="4628" max="4628" width="14.85546875" customWidth="1"/>
    <col min="4630" max="4630" width="10.28515625" bestFit="1" customWidth="1"/>
    <col min="4865" max="4865" width="1.7109375" customWidth="1"/>
    <col min="4866" max="4866" width="22.85546875" customWidth="1"/>
    <col min="4867" max="4867" width="42.42578125" customWidth="1"/>
    <col min="4868" max="4868" width="13.7109375" customWidth="1"/>
    <col min="4869" max="4869" width="1.7109375" customWidth="1"/>
    <col min="4870" max="4870" width="14.5703125" customWidth="1"/>
    <col min="4871" max="4871" width="1.7109375" customWidth="1"/>
    <col min="4872" max="4872" width="14.28515625" bestFit="1" customWidth="1"/>
    <col min="4873" max="4873" width="1.7109375" customWidth="1"/>
    <col min="4874" max="4874" width="14.5703125" customWidth="1"/>
    <col min="4875" max="4875" width="1.7109375" customWidth="1"/>
    <col min="4876" max="4876" width="13.7109375" customWidth="1"/>
    <col min="4877" max="4877" width="1.7109375" customWidth="1"/>
    <col min="4878" max="4878" width="13.7109375" customWidth="1"/>
    <col min="4879" max="4879" width="1.7109375" customWidth="1"/>
    <col min="4880" max="4880" width="13.7109375" customWidth="1"/>
    <col min="4881" max="4881" width="1.7109375" customWidth="1"/>
    <col min="4882" max="4882" width="13.7109375" customWidth="1"/>
    <col min="4883" max="4883" width="2" customWidth="1"/>
    <col min="4884" max="4884" width="14.85546875" customWidth="1"/>
    <col min="4886" max="4886" width="10.28515625" bestFit="1" customWidth="1"/>
    <col min="5121" max="5121" width="1.7109375" customWidth="1"/>
    <col min="5122" max="5122" width="22.85546875" customWidth="1"/>
    <col min="5123" max="5123" width="42.42578125" customWidth="1"/>
    <col min="5124" max="5124" width="13.7109375" customWidth="1"/>
    <col min="5125" max="5125" width="1.7109375" customWidth="1"/>
    <col min="5126" max="5126" width="14.5703125" customWidth="1"/>
    <col min="5127" max="5127" width="1.7109375" customWidth="1"/>
    <col min="5128" max="5128" width="14.28515625" bestFit="1" customWidth="1"/>
    <col min="5129" max="5129" width="1.7109375" customWidth="1"/>
    <col min="5130" max="5130" width="14.5703125" customWidth="1"/>
    <col min="5131" max="5131" width="1.7109375" customWidth="1"/>
    <col min="5132" max="5132" width="13.7109375" customWidth="1"/>
    <col min="5133" max="5133" width="1.7109375" customWidth="1"/>
    <col min="5134" max="5134" width="13.7109375" customWidth="1"/>
    <col min="5135" max="5135" width="1.7109375" customWidth="1"/>
    <col min="5136" max="5136" width="13.7109375" customWidth="1"/>
    <col min="5137" max="5137" width="1.7109375" customWidth="1"/>
    <col min="5138" max="5138" width="13.7109375" customWidth="1"/>
    <col min="5139" max="5139" width="2" customWidth="1"/>
    <col min="5140" max="5140" width="14.85546875" customWidth="1"/>
    <col min="5142" max="5142" width="10.28515625" bestFit="1" customWidth="1"/>
    <col min="5377" max="5377" width="1.7109375" customWidth="1"/>
    <col min="5378" max="5378" width="22.85546875" customWidth="1"/>
    <col min="5379" max="5379" width="42.42578125" customWidth="1"/>
    <col min="5380" max="5380" width="13.7109375" customWidth="1"/>
    <col min="5381" max="5381" width="1.7109375" customWidth="1"/>
    <col min="5382" max="5382" width="14.5703125" customWidth="1"/>
    <col min="5383" max="5383" width="1.7109375" customWidth="1"/>
    <col min="5384" max="5384" width="14.28515625" bestFit="1" customWidth="1"/>
    <col min="5385" max="5385" width="1.7109375" customWidth="1"/>
    <col min="5386" max="5386" width="14.5703125" customWidth="1"/>
    <col min="5387" max="5387" width="1.7109375" customWidth="1"/>
    <col min="5388" max="5388" width="13.7109375" customWidth="1"/>
    <col min="5389" max="5389" width="1.7109375" customWidth="1"/>
    <col min="5390" max="5390" width="13.7109375" customWidth="1"/>
    <col min="5391" max="5391" width="1.7109375" customWidth="1"/>
    <col min="5392" max="5392" width="13.7109375" customWidth="1"/>
    <col min="5393" max="5393" width="1.7109375" customWidth="1"/>
    <col min="5394" max="5394" width="13.7109375" customWidth="1"/>
    <col min="5395" max="5395" width="2" customWidth="1"/>
    <col min="5396" max="5396" width="14.85546875" customWidth="1"/>
    <col min="5398" max="5398" width="10.28515625" bestFit="1" customWidth="1"/>
    <col min="5633" max="5633" width="1.7109375" customWidth="1"/>
    <col min="5634" max="5634" width="22.85546875" customWidth="1"/>
    <col min="5635" max="5635" width="42.42578125" customWidth="1"/>
    <col min="5636" max="5636" width="13.7109375" customWidth="1"/>
    <col min="5637" max="5637" width="1.7109375" customWidth="1"/>
    <col min="5638" max="5638" width="14.5703125" customWidth="1"/>
    <col min="5639" max="5639" width="1.7109375" customWidth="1"/>
    <col min="5640" max="5640" width="14.28515625" bestFit="1" customWidth="1"/>
    <col min="5641" max="5641" width="1.7109375" customWidth="1"/>
    <col min="5642" max="5642" width="14.5703125" customWidth="1"/>
    <col min="5643" max="5643" width="1.7109375" customWidth="1"/>
    <col min="5644" max="5644" width="13.7109375" customWidth="1"/>
    <col min="5645" max="5645" width="1.7109375" customWidth="1"/>
    <col min="5646" max="5646" width="13.7109375" customWidth="1"/>
    <col min="5647" max="5647" width="1.7109375" customWidth="1"/>
    <col min="5648" max="5648" width="13.7109375" customWidth="1"/>
    <col min="5649" max="5649" width="1.7109375" customWidth="1"/>
    <col min="5650" max="5650" width="13.7109375" customWidth="1"/>
    <col min="5651" max="5651" width="2" customWidth="1"/>
    <col min="5652" max="5652" width="14.85546875" customWidth="1"/>
    <col min="5654" max="5654" width="10.28515625" bestFit="1" customWidth="1"/>
    <col min="5889" max="5889" width="1.7109375" customWidth="1"/>
    <col min="5890" max="5890" width="22.85546875" customWidth="1"/>
    <col min="5891" max="5891" width="42.42578125" customWidth="1"/>
    <col min="5892" max="5892" width="13.7109375" customWidth="1"/>
    <col min="5893" max="5893" width="1.7109375" customWidth="1"/>
    <col min="5894" max="5894" width="14.5703125" customWidth="1"/>
    <col min="5895" max="5895" width="1.7109375" customWidth="1"/>
    <col min="5896" max="5896" width="14.28515625" bestFit="1" customWidth="1"/>
    <col min="5897" max="5897" width="1.7109375" customWidth="1"/>
    <col min="5898" max="5898" width="14.5703125" customWidth="1"/>
    <col min="5899" max="5899" width="1.7109375" customWidth="1"/>
    <col min="5900" max="5900" width="13.7109375" customWidth="1"/>
    <col min="5901" max="5901" width="1.7109375" customWidth="1"/>
    <col min="5902" max="5902" width="13.7109375" customWidth="1"/>
    <col min="5903" max="5903" width="1.7109375" customWidth="1"/>
    <col min="5904" max="5904" width="13.7109375" customWidth="1"/>
    <col min="5905" max="5905" width="1.7109375" customWidth="1"/>
    <col min="5906" max="5906" width="13.7109375" customWidth="1"/>
    <col min="5907" max="5907" width="2" customWidth="1"/>
    <col min="5908" max="5908" width="14.85546875" customWidth="1"/>
    <col min="5910" max="5910" width="10.28515625" bestFit="1" customWidth="1"/>
    <col min="6145" max="6145" width="1.7109375" customWidth="1"/>
    <col min="6146" max="6146" width="22.85546875" customWidth="1"/>
    <col min="6147" max="6147" width="42.42578125" customWidth="1"/>
    <col min="6148" max="6148" width="13.7109375" customWidth="1"/>
    <col min="6149" max="6149" width="1.7109375" customWidth="1"/>
    <col min="6150" max="6150" width="14.5703125" customWidth="1"/>
    <col min="6151" max="6151" width="1.7109375" customWidth="1"/>
    <col min="6152" max="6152" width="14.28515625" bestFit="1" customWidth="1"/>
    <col min="6153" max="6153" width="1.7109375" customWidth="1"/>
    <col min="6154" max="6154" width="14.5703125" customWidth="1"/>
    <col min="6155" max="6155" width="1.7109375" customWidth="1"/>
    <col min="6156" max="6156" width="13.7109375" customWidth="1"/>
    <col min="6157" max="6157" width="1.7109375" customWidth="1"/>
    <col min="6158" max="6158" width="13.7109375" customWidth="1"/>
    <col min="6159" max="6159" width="1.7109375" customWidth="1"/>
    <col min="6160" max="6160" width="13.7109375" customWidth="1"/>
    <col min="6161" max="6161" width="1.7109375" customWidth="1"/>
    <col min="6162" max="6162" width="13.7109375" customWidth="1"/>
    <col min="6163" max="6163" width="2" customWidth="1"/>
    <col min="6164" max="6164" width="14.85546875" customWidth="1"/>
    <col min="6166" max="6166" width="10.28515625" bestFit="1" customWidth="1"/>
    <col min="6401" max="6401" width="1.7109375" customWidth="1"/>
    <col min="6402" max="6402" width="22.85546875" customWidth="1"/>
    <col min="6403" max="6403" width="42.42578125" customWidth="1"/>
    <col min="6404" max="6404" width="13.7109375" customWidth="1"/>
    <col min="6405" max="6405" width="1.7109375" customWidth="1"/>
    <col min="6406" max="6406" width="14.5703125" customWidth="1"/>
    <col min="6407" max="6407" width="1.7109375" customWidth="1"/>
    <col min="6408" max="6408" width="14.28515625" bestFit="1" customWidth="1"/>
    <col min="6409" max="6409" width="1.7109375" customWidth="1"/>
    <col min="6410" max="6410" width="14.5703125" customWidth="1"/>
    <col min="6411" max="6411" width="1.7109375" customWidth="1"/>
    <col min="6412" max="6412" width="13.7109375" customWidth="1"/>
    <col min="6413" max="6413" width="1.7109375" customWidth="1"/>
    <col min="6414" max="6414" width="13.7109375" customWidth="1"/>
    <col min="6415" max="6415" width="1.7109375" customWidth="1"/>
    <col min="6416" max="6416" width="13.7109375" customWidth="1"/>
    <col min="6417" max="6417" width="1.7109375" customWidth="1"/>
    <col min="6418" max="6418" width="13.7109375" customWidth="1"/>
    <col min="6419" max="6419" width="2" customWidth="1"/>
    <col min="6420" max="6420" width="14.85546875" customWidth="1"/>
    <col min="6422" max="6422" width="10.28515625" bestFit="1" customWidth="1"/>
    <col min="6657" max="6657" width="1.7109375" customWidth="1"/>
    <col min="6658" max="6658" width="22.85546875" customWidth="1"/>
    <col min="6659" max="6659" width="42.42578125" customWidth="1"/>
    <col min="6660" max="6660" width="13.7109375" customWidth="1"/>
    <col min="6661" max="6661" width="1.7109375" customWidth="1"/>
    <col min="6662" max="6662" width="14.5703125" customWidth="1"/>
    <col min="6663" max="6663" width="1.7109375" customWidth="1"/>
    <col min="6664" max="6664" width="14.28515625" bestFit="1" customWidth="1"/>
    <col min="6665" max="6665" width="1.7109375" customWidth="1"/>
    <col min="6666" max="6666" width="14.5703125" customWidth="1"/>
    <col min="6667" max="6667" width="1.7109375" customWidth="1"/>
    <col min="6668" max="6668" width="13.7109375" customWidth="1"/>
    <col min="6669" max="6669" width="1.7109375" customWidth="1"/>
    <col min="6670" max="6670" width="13.7109375" customWidth="1"/>
    <col min="6671" max="6671" width="1.7109375" customWidth="1"/>
    <col min="6672" max="6672" width="13.7109375" customWidth="1"/>
    <col min="6673" max="6673" width="1.7109375" customWidth="1"/>
    <col min="6674" max="6674" width="13.7109375" customWidth="1"/>
    <col min="6675" max="6675" width="2" customWidth="1"/>
    <col min="6676" max="6676" width="14.85546875" customWidth="1"/>
    <col min="6678" max="6678" width="10.28515625" bestFit="1" customWidth="1"/>
    <col min="6913" max="6913" width="1.7109375" customWidth="1"/>
    <col min="6914" max="6914" width="22.85546875" customWidth="1"/>
    <col min="6915" max="6915" width="42.42578125" customWidth="1"/>
    <col min="6916" max="6916" width="13.7109375" customWidth="1"/>
    <col min="6917" max="6917" width="1.7109375" customWidth="1"/>
    <col min="6918" max="6918" width="14.5703125" customWidth="1"/>
    <col min="6919" max="6919" width="1.7109375" customWidth="1"/>
    <col min="6920" max="6920" width="14.28515625" bestFit="1" customWidth="1"/>
    <col min="6921" max="6921" width="1.7109375" customWidth="1"/>
    <col min="6922" max="6922" width="14.5703125" customWidth="1"/>
    <col min="6923" max="6923" width="1.7109375" customWidth="1"/>
    <col min="6924" max="6924" width="13.7109375" customWidth="1"/>
    <col min="6925" max="6925" width="1.7109375" customWidth="1"/>
    <col min="6926" max="6926" width="13.7109375" customWidth="1"/>
    <col min="6927" max="6927" width="1.7109375" customWidth="1"/>
    <col min="6928" max="6928" width="13.7109375" customWidth="1"/>
    <col min="6929" max="6929" width="1.7109375" customWidth="1"/>
    <col min="6930" max="6930" width="13.7109375" customWidth="1"/>
    <col min="6931" max="6931" width="2" customWidth="1"/>
    <col min="6932" max="6932" width="14.85546875" customWidth="1"/>
    <col min="6934" max="6934" width="10.28515625" bestFit="1" customWidth="1"/>
    <col min="7169" max="7169" width="1.7109375" customWidth="1"/>
    <col min="7170" max="7170" width="22.85546875" customWidth="1"/>
    <col min="7171" max="7171" width="42.42578125" customWidth="1"/>
    <col min="7172" max="7172" width="13.7109375" customWidth="1"/>
    <col min="7173" max="7173" width="1.7109375" customWidth="1"/>
    <col min="7174" max="7174" width="14.5703125" customWidth="1"/>
    <col min="7175" max="7175" width="1.7109375" customWidth="1"/>
    <col min="7176" max="7176" width="14.28515625" bestFit="1" customWidth="1"/>
    <col min="7177" max="7177" width="1.7109375" customWidth="1"/>
    <col min="7178" max="7178" width="14.5703125" customWidth="1"/>
    <col min="7179" max="7179" width="1.7109375" customWidth="1"/>
    <col min="7180" max="7180" width="13.7109375" customWidth="1"/>
    <col min="7181" max="7181" width="1.7109375" customWidth="1"/>
    <col min="7182" max="7182" width="13.7109375" customWidth="1"/>
    <col min="7183" max="7183" width="1.7109375" customWidth="1"/>
    <col min="7184" max="7184" width="13.7109375" customWidth="1"/>
    <col min="7185" max="7185" width="1.7109375" customWidth="1"/>
    <col min="7186" max="7186" width="13.7109375" customWidth="1"/>
    <col min="7187" max="7187" width="2" customWidth="1"/>
    <col min="7188" max="7188" width="14.85546875" customWidth="1"/>
    <col min="7190" max="7190" width="10.28515625" bestFit="1" customWidth="1"/>
    <col min="7425" max="7425" width="1.7109375" customWidth="1"/>
    <col min="7426" max="7426" width="22.85546875" customWidth="1"/>
    <col min="7427" max="7427" width="42.42578125" customWidth="1"/>
    <col min="7428" max="7428" width="13.7109375" customWidth="1"/>
    <col min="7429" max="7429" width="1.7109375" customWidth="1"/>
    <col min="7430" max="7430" width="14.5703125" customWidth="1"/>
    <col min="7431" max="7431" width="1.7109375" customWidth="1"/>
    <col min="7432" max="7432" width="14.28515625" bestFit="1" customWidth="1"/>
    <col min="7433" max="7433" width="1.7109375" customWidth="1"/>
    <col min="7434" max="7434" width="14.5703125" customWidth="1"/>
    <col min="7435" max="7435" width="1.7109375" customWidth="1"/>
    <col min="7436" max="7436" width="13.7109375" customWidth="1"/>
    <col min="7437" max="7437" width="1.7109375" customWidth="1"/>
    <col min="7438" max="7438" width="13.7109375" customWidth="1"/>
    <col min="7439" max="7439" width="1.7109375" customWidth="1"/>
    <col min="7440" max="7440" width="13.7109375" customWidth="1"/>
    <col min="7441" max="7441" width="1.7109375" customWidth="1"/>
    <col min="7442" max="7442" width="13.7109375" customWidth="1"/>
    <col min="7443" max="7443" width="2" customWidth="1"/>
    <col min="7444" max="7444" width="14.85546875" customWidth="1"/>
    <col min="7446" max="7446" width="10.28515625" bestFit="1" customWidth="1"/>
    <col min="7681" max="7681" width="1.7109375" customWidth="1"/>
    <col min="7682" max="7682" width="22.85546875" customWidth="1"/>
    <col min="7683" max="7683" width="42.42578125" customWidth="1"/>
    <col min="7684" max="7684" width="13.7109375" customWidth="1"/>
    <col min="7685" max="7685" width="1.7109375" customWidth="1"/>
    <col min="7686" max="7686" width="14.5703125" customWidth="1"/>
    <col min="7687" max="7687" width="1.7109375" customWidth="1"/>
    <col min="7688" max="7688" width="14.28515625" bestFit="1" customWidth="1"/>
    <col min="7689" max="7689" width="1.7109375" customWidth="1"/>
    <col min="7690" max="7690" width="14.5703125" customWidth="1"/>
    <col min="7691" max="7691" width="1.7109375" customWidth="1"/>
    <col min="7692" max="7692" width="13.7109375" customWidth="1"/>
    <col min="7693" max="7693" width="1.7109375" customWidth="1"/>
    <col min="7694" max="7694" width="13.7109375" customWidth="1"/>
    <col min="7695" max="7695" width="1.7109375" customWidth="1"/>
    <col min="7696" max="7696" width="13.7109375" customWidth="1"/>
    <col min="7697" max="7697" width="1.7109375" customWidth="1"/>
    <col min="7698" max="7698" width="13.7109375" customWidth="1"/>
    <col min="7699" max="7699" width="2" customWidth="1"/>
    <col min="7700" max="7700" width="14.85546875" customWidth="1"/>
    <col min="7702" max="7702" width="10.28515625" bestFit="1" customWidth="1"/>
    <col min="7937" max="7937" width="1.7109375" customWidth="1"/>
    <col min="7938" max="7938" width="22.85546875" customWidth="1"/>
    <col min="7939" max="7939" width="42.42578125" customWidth="1"/>
    <col min="7940" max="7940" width="13.7109375" customWidth="1"/>
    <col min="7941" max="7941" width="1.7109375" customWidth="1"/>
    <col min="7942" max="7942" width="14.5703125" customWidth="1"/>
    <col min="7943" max="7943" width="1.7109375" customWidth="1"/>
    <col min="7944" max="7944" width="14.28515625" bestFit="1" customWidth="1"/>
    <col min="7945" max="7945" width="1.7109375" customWidth="1"/>
    <col min="7946" max="7946" width="14.5703125" customWidth="1"/>
    <col min="7947" max="7947" width="1.7109375" customWidth="1"/>
    <col min="7948" max="7948" width="13.7109375" customWidth="1"/>
    <col min="7949" max="7949" width="1.7109375" customWidth="1"/>
    <col min="7950" max="7950" width="13.7109375" customWidth="1"/>
    <col min="7951" max="7951" width="1.7109375" customWidth="1"/>
    <col min="7952" max="7952" width="13.7109375" customWidth="1"/>
    <col min="7953" max="7953" width="1.7109375" customWidth="1"/>
    <col min="7954" max="7954" width="13.7109375" customWidth="1"/>
    <col min="7955" max="7955" width="2" customWidth="1"/>
    <col min="7956" max="7956" width="14.85546875" customWidth="1"/>
    <col min="7958" max="7958" width="10.28515625" bestFit="1" customWidth="1"/>
    <col min="8193" max="8193" width="1.7109375" customWidth="1"/>
    <col min="8194" max="8194" width="22.85546875" customWidth="1"/>
    <col min="8195" max="8195" width="42.42578125" customWidth="1"/>
    <col min="8196" max="8196" width="13.7109375" customWidth="1"/>
    <col min="8197" max="8197" width="1.7109375" customWidth="1"/>
    <col min="8198" max="8198" width="14.5703125" customWidth="1"/>
    <col min="8199" max="8199" width="1.7109375" customWidth="1"/>
    <col min="8200" max="8200" width="14.28515625" bestFit="1" customWidth="1"/>
    <col min="8201" max="8201" width="1.7109375" customWidth="1"/>
    <col min="8202" max="8202" width="14.5703125" customWidth="1"/>
    <col min="8203" max="8203" width="1.7109375" customWidth="1"/>
    <col min="8204" max="8204" width="13.7109375" customWidth="1"/>
    <col min="8205" max="8205" width="1.7109375" customWidth="1"/>
    <col min="8206" max="8206" width="13.7109375" customWidth="1"/>
    <col min="8207" max="8207" width="1.7109375" customWidth="1"/>
    <col min="8208" max="8208" width="13.7109375" customWidth="1"/>
    <col min="8209" max="8209" width="1.7109375" customWidth="1"/>
    <col min="8210" max="8210" width="13.7109375" customWidth="1"/>
    <col min="8211" max="8211" width="2" customWidth="1"/>
    <col min="8212" max="8212" width="14.85546875" customWidth="1"/>
    <col min="8214" max="8214" width="10.28515625" bestFit="1" customWidth="1"/>
    <col min="8449" max="8449" width="1.7109375" customWidth="1"/>
    <col min="8450" max="8450" width="22.85546875" customWidth="1"/>
    <col min="8451" max="8451" width="42.42578125" customWidth="1"/>
    <col min="8452" max="8452" width="13.7109375" customWidth="1"/>
    <col min="8453" max="8453" width="1.7109375" customWidth="1"/>
    <col min="8454" max="8454" width="14.5703125" customWidth="1"/>
    <col min="8455" max="8455" width="1.7109375" customWidth="1"/>
    <col min="8456" max="8456" width="14.28515625" bestFit="1" customWidth="1"/>
    <col min="8457" max="8457" width="1.7109375" customWidth="1"/>
    <col min="8458" max="8458" width="14.5703125" customWidth="1"/>
    <col min="8459" max="8459" width="1.7109375" customWidth="1"/>
    <col min="8460" max="8460" width="13.7109375" customWidth="1"/>
    <col min="8461" max="8461" width="1.7109375" customWidth="1"/>
    <col min="8462" max="8462" width="13.7109375" customWidth="1"/>
    <col min="8463" max="8463" width="1.7109375" customWidth="1"/>
    <col min="8464" max="8464" width="13.7109375" customWidth="1"/>
    <col min="8465" max="8465" width="1.7109375" customWidth="1"/>
    <col min="8466" max="8466" width="13.7109375" customWidth="1"/>
    <col min="8467" max="8467" width="2" customWidth="1"/>
    <col min="8468" max="8468" width="14.85546875" customWidth="1"/>
    <col min="8470" max="8470" width="10.28515625" bestFit="1" customWidth="1"/>
    <col min="8705" max="8705" width="1.7109375" customWidth="1"/>
    <col min="8706" max="8706" width="22.85546875" customWidth="1"/>
    <col min="8707" max="8707" width="42.42578125" customWidth="1"/>
    <col min="8708" max="8708" width="13.7109375" customWidth="1"/>
    <col min="8709" max="8709" width="1.7109375" customWidth="1"/>
    <col min="8710" max="8710" width="14.5703125" customWidth="1"/>
    <col min="8711" max="8711" width="1.7109375" customWidth="1"/>
    <col min="8712" max="8712" width="14.28515625" bestFit="1" customWidth="1"/>
    <col min="8713" max="8713" width="1.7109375" customWidth="1"/>
    <col min="8714" max="8714" width="14.5703125" customWidth="1"/>
    <col min="8715" max="8715" width="1.7109375" customWidth="1"/>
    <col min="8716" max="8716" width="13.7109375" customWidth="1"/>
    <col min="8717" max="8717" width="1.7109375" customWidth="1"/>
    <col min="8718" max="8718" width="13.7109375" customWidth="1"/>
    <col min="8719" max="8719" width="1.7109375" customWidth="1"/>
    <col min="8720" max="8720" width="13.7109375" customWidth="1"/>
    <col min="8721" max="8721" width="1.7109375" customWidth="1"/>
    <col min="8722" max="8722" width="13.7109375" customWidth="1"/>
    <col min="8723" max="8723" width="2" customWidth="1"/>
    <col min="8724" max="8724" width="14.85546875" customWidth="1"/>
    <col min="8726" max="8726" width="10.28515625" bestFit="1" customWidth="1"/>
    <col min="8961" max="8961" width="1.7109375" customWidth="1"/>
    <col min="8962" max="8962" width="22.85546875" customWidth="1"/>
    <col min="8963" max="8963" width="42.42578125" customWidth="1"/>
    <col min="8964" max="8964" width="13.7109375" customWidth="1"/>
    <col min="8965" max="8965" width="1.7109375" customWidth="1"/>
    <col min="8966" max="8966" width="14.5703125" customWidth="1"/>
    <col min="8967" max="8967" width="1.7109375" customWidth="1"/>
    <col min="8968" max="8968" width="14.28515625" bestFit="1" customWidth="1"/>
    <col min="8969" max="8969" width="1.7109375" customWidth="1"/>
    <col min="8970" max="8970" width="14.5703125" customWidth="1"/>
    <col min="8971" max="8971" width="1.7109375" customWidth="1"/>
    <col min="8972" max="8972" width="13.7109375" customWidth="1"/>
    <col min="8973" max="8973" width="1.7109375" customWidth="1"/>
    <col min="8974" max="8974" width="13.7109375" customWidth="1"/>
    <col min="8975" max="8975" width="1.7109375" customWidth="1"/>
    <col min="8976" max="8976" width="13.7109375" customWidth="1"/>
    <col min="8977" max="8977" width="1.7109375" customWidth="1"/>
    <col min="8978" max="8978" width="13.7109375" customWidth="1"/>
    <col min="8979" max="8979" width="2" customWidth="1"/>
    <col min="8980" max="8980" width="14.85546875" customWidth="1"/>
    <col min="8982" max="8982" width="10.28515625" bestFit="1" customWidth="1"/>
    <col min="9217" max="9217" width="1.7109375" customWidth="1"/>
    <col min="9218" max="9218" width="22.85546875" customWidth="1"/>
    <col min="9219" max="9219" width="42.42578125" customWidth="1"/>
    <col min="9220" max="9220" width="13.7109375" customWidth="1"/>
    <col min="9221" max="9221" width="1.7109375" customWidth="1"/>
    <col min="9222" max="9222" width="14.5703125" customWidth="1"/>
    <col min="9223" max="9223" width="1.7109375" customWidth="1"/>
    <col min="9224" max="9224" width="14.28515625" bestFit="1" customWidth="1"/>
    <col min="9225" max="9225" width="1.7109375" customWidth="1"/>
    <col min="9226" max="9226" width="14.5703125" customWidth="1"/>
    <col min="9227" max="9227" width="1.7109375" customWidth="1"/>
    <col min="9228" max="9228" width="13.7109375" customWidth="1"/>
    <col min="9229" max="9229" width="1.7109375" customWidth="1"/>
    <col min="9230" max="9230" width="13.7109375" customWidth="1"/>
    <col min="9231" max="9231" width="1.7109375" customWidth="1"/>
    <col min="9232" max="9232" width="13.7109375" customWidth="1"/>
    <col min="9233" max="9233" width="1.7109375" customWidth="1"/>
    <col min="9234" max="9234" width="13.7109375" customWidth="1"/>
    <col min="9235" max="9235" width="2" customWidth="1"/>
    <col min="9236" max="9236" width="14.85546875" customWidth="1"/>
    <col min="9238" max="9238" width="10.28515625" bestFit="1" customWidth="1"/>
    <col min="9473" max="9473" width="1.7109375" customWidth="1"/>
    <col min="9474" max="9474" width="22.85546875" customWidth="1"/>
    <col min="9475" max="9475" width="42.42578125" customWidth="1"/>
    <col min="9476" max="9476" width="13.7109375" customWidth="1"/>
    <col min="9477" max="9477" width="1.7109375" customWidth="1"/>
    <col min="9478" max="9478" width="14.5703125" customWidth="1"/>
    <col min="9479" max="9479" width="1.7109375" customWidth="1"/>
    <col min="9480" max="9480" width="14.28515625" bestFit="1" customWidth="1"/>
    <col min="9481" max="9481" width="1.7109375" customWidth="1"/>
    <col min="9482" max="9482" width="14.5703125" customWidth="1"/>
    <col min="9483" max="9483" width="1.7109375" customWidth="1"/>
    <col min="9484" max="9484" width="13.7109375" customWidth="1"/>
    <col min="9485" max="9485" width="1.7109375" customWidth="1"/>
    <col min="9486" max="9486" width="13.7109375" customWidth="1"/>
    <col min="9487" max="9487" width="1.7109375" customWidth="1"/>
    <col min="9488" max="9488" width="13.7109375" customWidth="1"/>
    <col min="9489" max="9489" width="1.7109375" customWidth="1"/>
    <col min="9490" max="9490" width="13.7109375" customWidth="1"/>
    <col min="9491" max="9491" width="2" customWidth="1"/>
    <col min="9492" max="9492" width="14.85546875" customWidth="1"/>
    <col min="9494" max="9494" width="10.28515625" bestFit="1" customWidth="1"/>
    <col min="9729" max="9729" width="1.7109375" customWidth="1"/>
    <col min="9730" max="9730" width="22.85546875" customWidth="1"/>
    <col min="9731" max="9731" width="42.42578125" customWidth="1"/>
    <col min="9732" max="9732" width="13.7109375" customWidth="1"/>
    <col min="9733" max="9733" width="1.7109375" customWidth="1"/>
    <col min="9734" max="9734" width="14.5703125" customWidth="1"/>
    <col min="9735" max="9735" width="1.7109375" customWidth="1"/>
    <col min="9736" max="9736" width="14.28515625" bestFit="1" customWidth="1"/>
    <col min="9737" max="9737" width="1.7109375" customWidth="1"/>
    <col min="9738" max="9738" width="14.5703125" customWidth="1"/>
    <col min="9739" max="9739" width="1.7109375" customWidth="1"/>
    <col min="9740" max="9740" width="13.7109375" customWidth="1"/>
    <col min="9741" max="9741" width="1.7109375" customWidth="1"/>
    <col min="9742" max="9742" width="13.7109375" customWidth="1"/>
    <col min="9743" max="9743" width="1.7109375" customWidth="1"/>
    <col min="9744" max="9744" width="13.7109375" customWidth="1"/>
    <col min="9745" max="9745" width="1.7109375" customWidth="1"/>
    <col min="9746" max="9746" width="13.7109375" customWidth="1"/>
    <col min="9747" max="9747" width="2" customWidth="1"/>
    <col min="9748" max="9748" width="14.85546875" customWidth="1"/>
    <col min="9750" max="9750" width="10.28515625" bestFit="1" customWidth="1"/>
    <col min="9985" max="9985" width="1.7109375" customWidth="1"/>
    <col min="9986" max="9986" width="22.85546875" customWidth="1"/>
    <col min="9987" max="9987" width="42.42578125" customWidth="1"/>
    <col min="9988" max="9988" width="13.7109375" customWidth="1"/>
    <col min="9989" max="9989" width="1.7109375" customWidth="1"/>
    <col min="9990" max="9990" width="14.5703125" customWidth="1"/>
    <col min="9991" max="9991" width="1.7109375" customWidth="1"/>
    <col min="9992" max="9992" width="14.28515625" bestFit="1" customWidth="1"/>
    <col min="9993" max="9993" width="1.7109375" customWidth="1"/>
    <col min="9994" max="9994" width="14.5703125" customWidth="1"/>
    <col min="9995" max="9995" width="1.7109375" customWidth="1"/>
    <col min="9996" max="9996" width="13.7109375" customWidth="1"/>
    <col min="9997" max="9997" width="1.7109375" customWidth="1"/>
    <col min="9998" max="9998" width="13.7109375" customWidth="1"/>
    <col min="9999" max="9999" width="1.7109375" customWidth="1"/>
    <col min="10000" max="10000" width="13.7109375" customWidth="1"/>
    <col min="10001" max="10001" width="1.7109375" customWidth="1"/>
    <col min="10002" max="10002" width="13.7109375" customWidth="1"/>
    <col min="10003" max="10003" width="2" customWidth="1"/>
    <col min="10004" max="10004" width="14.85546875" customWidth="1"/>
    <col min="10006" max="10006" width="10.28515625" bestFit="1" customWidth="1"/>
    <col min="10241" max="10241" width="1.7109375" customWidth="1"/>
    <col min="10242" max="10242" width="22.85546875" customWidth="1"/>
    <col min="10243" max="10243" width="42.42578125" customWidth="1"/>
    <col min="10244" max="10244" width="13.7109375" customWidth="1"/>
    <col min="10245" max="10245" width="1.7109375" customWidth="1"/>
    <col min="10246" max="10246" width="14.5703125" customWidth="1"/>
    <col min="10247" max="10247" width="1.7109375" customWidth="1"/>
    <col min="10248" max="10248" width="14.28515625" bestFit="1" customWidth="1"/>
    <col min="10249" max="10249" width="1.7109375" customWidth="1"/>
    <col min="10250" max="10250" width="14.5703125" customWidth="1"/>
    <col min="10251" max="10251" width="1.7109375" customWidth="1"/>
    <col min="10252" max="10252" width="13.7109375" customWidth="1"/>
    <col min="10253" max="10253" width="1.7109375" customWidth="1"/>
    <col min="10254" max="10254" width="13.7109375" customWidth="1"/>
    <col min="10255" max="10255" width="1.7109375" customWidth="1"/>
    <col min="10256" max="10256" width="13.7109375" customWidth="1"/>
    <col min="10257" max="10257" width="1.7109375" customWidth="1"/>
    <col min="10258" max="10258" width="13.7109375" customWidth="1"/>
    <col min="10259" max="10259" width="2" customWidth="1"/>
    <col min="10260" max="10260" width="14.85546875" customWidth="1"/>
    <col min="10262" max="10262" width="10.28515625" bestFit="1" customWidth="1"/>
    <col min="10497" max="10497" width="1.7109375" customWidth="1"/>
    <col min="10498" max="10498" width="22.85546875" customWidth="1"/>
    <col min="10499" max="10499" width="42.42578125" customWidth="1"/>
    <col min="10500" max="10500" width="13.7109375" customWidth="1"/>
    <col min="10501" max="10501" width="1.7109375" customWidth="1"/>
    <col min="10502" max="10502" width="14.5703125" customWidth="1"/>
    <col min="10503" max="10503" width="1.7109375" customWidth="1"/>
    <col min="10504" max="10504" width="14.28515625" bestFit="1" customWidth="1"/>
    <col min="10505" max="10505" width="1.7109375" customWidth="1"/>
    <col min="10506" max="10506" width="14.5703125" customWidth="1"/>
    <col min="10507" max="10507" width="1.7109375" customWidth="1"/>
    <col min="10508" max="10508" width="13.7109375" customWidth="1"/>
    <col min="10509" max="10509" width="1.7109375" customWidth="1"/>
    <col min="10510" max="10510" width="13.7109375" customWidth="1"/>
    <col min="10511" max="10511" width="1.7109375" customWidth="1"/>
    <col min="10512" max="10512" width="13.7109375" customWidth="1"/>
    <col min="10513" max="10513" width="1.7109375" customWidth="1"/>
    <col min="10514" max="10514" width="13.7109375" customWidth="1"/>
    <col min="10515" max="10515" width="2" customWidth="1"/>
    <col min="10516" max="10516" width="14.85546875" customWidth="1"/>
    <col min="10518" max="10518" width="10.28515625" bestFit="1" customWidth="1"/>
    <col min="10753" max="10753" width="1.7109375" customWidth="1"/>
    <col min="10754" max="10754" width="22.85546875" customWidth="1"/>
    <col min="10755" max="10755" width="42.42578125" customWidth="1"/>
    <col min="10756" max="10756" width="13.7109375" customWidth="1"/>
    <col min="10757" max="10757" width="1.7109375" customWidth="1"/>
    <col min="10758" max="10758" width="14.5703125" customWidth="1"/>
    <col min="10759" max="10759" width="1.7109375" customWidth="1"/>
    <col min="10760" max="10760" width="14.28515625" bestFit="1" customWidth="1"/>
    <col min="10761" max="10761" width="1.7109375" customWidth="1"/>
    <col min="10762" max="10762" width="14.5703125" customWidth="1"/>
    <col min="10763" max="10763" width="1.7109375" customWidth="1"/>
    <col min="10764" max="10764" width="13.7109375" customWidth="1"/>
    <col min="10765" max="10765" width="1.7109375" customWidth="1"/>
    <col min="10766" max="10766" width="13.7109375" customWidth="1"/>
    <col min="10767" max="10767" width="1.7109375" customWidth="1"/>
    <col min="10768" max="10768" width="13.7109375" customWidth="1"/>
    <col min="10769" max="10769" width="1.7109375" customWidth="1"/>
    <col min="10770" max="10770" width="13.7109375" customWidth="1"/>
    <col min="10771" max="10771" width="2" customWidth="1"/>
    <col min="10772" max="10772" width="14.85546875" customWidth="1"/>
    <col min="10774" max="10774" width="10.28515625" bestFit="1" customWidth="1"/>
    <col min="11009" max="11009" width="1.7109375" customWidth="1"/>
    <col min="11010" max="11010" width="22.85546875" customWidth="1"/>
    <col min="11011" max="11011" width="42.42578125" customWidth="1"/>
    <col min="11012" max="11012" width="13.7109375" customWidth="1"/>
    <col min="11013" max="11013" width="1.7109375" customWidth="1"/>
    <col min="11014" max="11014" width="14.5703125" customWidth="1"/>
    <col min="11015" max="11015" width="1.7109375" customWidth="1"/>
    <col min="11016" max="11016" width="14.28515625" bestFit="1" customWidth="1"/>
    <col min="11017" max="11017" width="1.7109375" customWidth="1"/>
    <col min="11018" max="11018" width="14.5703125" customWidth="1"/>
    <col min="11019" max="11019" width="1.7109375" customWidth="1"/>
    <col min="11020" max="11020" width="13.7109375" customWidth="1"/>
    <col min="11021" max="11021" width="1.7109375" customWidth="1"/>
    <col min="11022" max="11022" width="13.7109375" customWidth="1"/>
    <col min="11023" max="11023" width="1.7109375" customWidth="1"/>
    <col min="11024" max="11024" width="13.7109375" customWidth="1"/>
    <col min="11025" max="11025" width="1.7109375" customWidth="1"/>
    <col min="11026" max="11026" width="13.7109375" customWidth="1"/>
    <col min="11027" max="11027" width="2" customWidth="1"/>
    <col min="11028" max="11028" width="14.85546875" customWidth="1"/>
    <col min="11030" max="11030" width="10.28515625" bestFit="1" customWidth="1"/>
    <col min="11265" max="11265" width="1.7109375" customWidth="1"/>
    <col min="11266" max="11266" width="22.85546875" customWidth="1"/>
    <col min="11267" max="11267" width="42.42578125" customWidth="1"/>
    <col min="11268" max="11268" width="13.7109375" customWidth="1"/>
    <col min="11269" max="11269" width="1.7109375" customWidth="1"/>
    <col min="11270" max="11270" width="14.5703125" customWidth="1"/>
    <col min="11271" max="11271" width="1.7109375" customWidth="1"/>
    <col min="11272" max="11272" width="14.28515625" bestFit="1" customWidth="1"/>
    <col min="11273" max="11273" width="1.7109375" customWidth="1"/>
    <col min="11274" max="11274" width="14.5703125" customWidth="1"/>
    <col min="11275" max="11275" width="1.7109375" customWidth="1"/>
    <col min="11276" max="11276" width="13.7109375" customWidth="1"/>
    <col min="11277" max="11277" width="1.7109375" customWidth="1"/>
    <col min="11278" max="11278" width="13.7109375" customWidth="1"/>
    <col min="11279" max="11279" width="1.7109375" customWidth="1"/>
    <col min="11280" max="11280" width="13.7109375" customWidth="1"/>
    <col min="11281" max="11281" width="1.7109375" customWidth="1"/>
    <col min="11282" max="11282" width="13.7109375" customWidth="1"/>
    <col min="11283" max="11283" width="2" customWidth="1"/>
    <col min="11284" max="11284" width="14.85546875" customWidth="1"/>
    <col min="11286" max="11286" width="10.28515625" bestFit="1" customWidth="1"/>
    <col min="11521" max="11521" width="1.7109375" customWidth="1"/>
    <col min="11522" max="11522" width="22.85546875" customWidth="1"/>
    <col min="11523" max="11523" width="42.42578125" customWidth="1"/>
    <col min="11524" max="11524" width="13.7109375" customWidth="1"/>
    <col min="11525" max="11525" width="1.7109375" customWidth="1"/>
    <col min="11526" max="11526" width="14.5703125" customWidth="1"/>
    <col min="11527" max="11527" width="1.7109375" customWidth="1"/>
    <col min="11528" max="11528" width="14.28515625" bestFit="1" customWidth="1"/>
    <col min="11529" max="11529" width="1.7109375" customWidth="1"/>
    <col min="11530" max="11530" width="14.5703125" customWidth="1"/>
    <col min="11531" max="11531" width="1.7109375" customWidth="1"/>
    <col min="11532" max="11532" width="13.7109375" customWidth="1"/>
    <col min="11533" max="11533" width="1.7109375" customWidth="1"/>
    <col min="11534" max="11534" width="13.7109375" customWidth="1"/>
    <col min="11535" max="11535" width="1.7109375" customWidth="1"/>
    <col min="11536" max="11536" width="13.7109375" customWidth="1"/>
    <col min="11537" max="11537" width="1.7109375" customWidth="1"/>
    <col min="11538" max="11538" width="13.7109375" customWidth="1"/>
    <col min="11539" max="11539" width="2" customWidth="1"/>
    <col min="11540" max="11540" width="14.85546875" customWidth="1"/>
    <col min="11542" max="11542" width="10.28515625" bestFit="1" customWidth="1"/>
    <col min="11777" max="11777" width="1.7109375" customWidth="1"/>
    <col min="11778" max="11778" width="22.85546875" customWidth="1"/>
    <col min="11779" max="11779" width="42.42578125" customWidth="1"/>
    <col min="11780" max="11780" width="13.7109375" customWidth="1"/>
    <col min="11781" max="11781" width="1.7109375" customWidth="1"/>
    <col min="11782" max="11782" width="14.5703125" customWidth="1"/>
    <col min="11783" max="11783" width="1.7109375" customWidth="1"/>
    <col min="11784" max="11784" width="14.28515625" bestFit="1" customWidth="1"/>
    <col min="11785" max="11785" width="1.7109375" customWidth="1"/>
    <col min="11786" max="11786" width="14.5703125" customWidth="1"/>
    <col min="11787" max="11787" width="1.7109375" customWidth="1"/>
    <col min="11788" max="11788" width="13.7109375" customWidth="1"/>
    <col min="11789" max="11789" width="1.7109375" customWidth="1"/>
    <col min="11790" max="11790" width="13.7109375" customWidth="1"/>
    <col min="11791" max="11791" width="1.7109375" customWidth="1"/>
    <col min="11792" max="11792" width="13.7109375" customWidth="1"/>
    <col min="11793" max="11793" width="1.7109375" customWidth="1"/>
    <col min="11794" max="11794" width="13.7109375" customWidth="1"/>
    <col min="11795" max="11795" width="2" customWidth="1"/>
    <col min="11796" max="11796" width="14.85546875" customWidth="1"/>
    <col min="11798" max="11798" width="10.28515625" bestFit="1" customWidth="1"/>
    <col min="12033" max="12033" width="1.7109375" customWidth="1"/>
    <col min="12034" max="12034" width="22.85546875" customWidth="1"/>
    <col min="12035" max="12035" width="42.42578125" customWidth="1"/>
    <col min="12036" max="12036" width="13.7109375" customWidth="1"/>
    <col min="12037" max="12037" width="1.7109375" customWidth="1"/>
    <col min="12038" max="12038" width="14.5703125" customWidth="1"/>
    <col min="12039" max="12039" width="1.7109375" customWidth="1"/>
    <col min="12040" max="12040" width="14.28515625" bestFit="1" customWidth="1"/>
    <col min="12041" max="12041" width="1.7109375" customWidth="1"/>
    <col min="12042" max="12042" width="14.5703125" customWidth="1"/>
    <col min="12043" max="12043" width="1.7109375" customWidth="1"/>
    <col min="12044" max="12044" width="13.7109375" customWidth="1"/>
    <col min="12045" max="12045" width="1.7109375" customWidth="1"/>
    <col min="12046" max="12046" width="13.7109375" customWidth="1"/>
    <col min="12047" max="12047" width="1.7109375" customWidth="1"/>
    <col min="12048" max="12048" width="13.7109375" customWidth="1"/>
    <col min="12049" max="12049" width="1.7109375" customWidth="1"/>
    <col min="12050" max="12050" width="13.7109375" customWidth="1"/>
    <col min="12051" max="12051" width="2" customWidth="1"/>
    <col min="12052" max="12052" width="14.85546875" customWidth="1"/>
    <col min="12054" max="12054" width="10.28515625" bestFit="1" customWidth="1"/>
    <col min="12289" max="12289" width="1.7109375" customWidth="1"/>
    <col min="12290" max="12290" width="22.85546875" customWidth="1"/>
    <col min="12291" max="12291" width="42.42578125" customWidth="1"/>
    <col min="12292" max="12292" width="13.7109375" customWidth="1"/>
    <col min="12293" max="12293" width="1.7109375" customWidth="1"/>
    <col min="12294" max="12294" width="14.5703125" customWidth="1"/>
    <col min="12295" max="12295" width="1.7109375" customWidth="1"/>
    <col min="12296" max="12296" width="14.28515625" bestFit="1" customWidth="1"/>
    <col min="12297" max="12297" width="1.7109375" customWidth="1"/>
    <col min="12298" max="12298" width="14.5703125" customWidth="1"/>
    <col min="12299" max="12299" width="1.7109375" customWidth="1"/>
    <col min="12300" max="12300" width="13.7109375" customWidth="1"/>
    <col min="12301" max="12301" width="1.7109375" customWidth="1"/>
    <col min="12302" max="12302" width="13.7109375" customWidth="1"/>
    <col min="12303" max="12303" width="1.7109375" customWidth="1"/>
    <col min="12304" max="12304" width="13.7109375" customWidth="1"/>
    <col min="12305" max="12305" width="1.7109375" customWidth="1"/>
    <col min="12306" max="12306" width="13.7109375" customWidth="1"/>
    <col min="12307" max="12307" width="2" customWidth="1"/>
    <col min="12308" max="12308" width="14.85546875" customWidth="1"/>
    <col min="12310" max="12310" width="10.28515625" bestFit="1" customWidth="1"/>
    <col min="12545" max="12545" width="1.7109375" customWidth="1"/>
    <col min="12546" max="12546" width="22.85546875" customWidth="1"/>
    <col min="12547" max="12547" width="42.42578125" customWidth="1"/>
    <col min="12548" max="12548" width="13.7109375" customWidth="1"/>
    <col min="12549" max="12549" width="1.7109375" customWidth="1"/>
    <col min="12550" max="12550" width="14.5703125" customWidth="1"/>
    <col min="12551" max="12551" width="1.7109375" customWidth="1"/>
    <col min="12552" max="12552" width="14.28515625" bestFit="1" customWidth="1"/>
    <col min="12553" max="12553" width="1.7109375" customWidth="1"/>
    <col min="12554" max="12554" width="14.5703125" customWidth="1"/>
    <col min="12555" max="12555" width="1.7109375" customWidth="1"/>
    <col min="12556" max="12556" width="13.7109375" customWidth="1"/>
    <col min="12557" max="12557" width="1.7109375" customWidth="1"/>
    <col min="12558" max="12558" width="13.7109375" customWidth="1"/>
    <col min="12559" max="12559" width="1.7109375" customWidth="1"/>
    <col min="12560" max="12560" width="13.7109375" customWidth="1"/>
    <col min="12561" max="12561" width="1.7109375" customWidth="1"/>
    <col min="12562" max="12562" width="13.7109375" customWidth="1"/>
    <col min="12563" max="12563" width="2" customWidth="1"/>
    <col min="12564" max="12564" width="14.85546875" customWidth="1"/>
    <col min="12566" max="12566" width="10.28515625" bestFit="1" customWidth="1"/>
    <col min="12801" max="12801" width="1.7109375" customWidth="1"/>
    <col min="12802" max="12802" width="22.85546875" customWidth="1"/>
    <col min="12803" max="12803" width="42.42578125" customWidth="1"/>
    <col min="12804" max="12804" width="13.7109375" customWidth="1"/>
    <col min="12805" max="12805" width="1.7109375" customWidth="1"/>
    <col min="12806" max="12806" width="14.5703125" customWidth="1"/>
    <col min="12807" max="12807" width="1.7109375" customWidth="1"/>
    <col min="12808" max="12808" width="14.28515625" bestFit="1" customWidth="1"/>
    <col min="12809" max="12809" width="1.7109375" customWidth="1"/>
    <col min="12810" max="12810" width="14.5703125" customWidth="1"/>
    <col min="12811" max="12811" width="1.7109375" customWidth="1"/>
    <col min="12812" max="12812" width="13.7109375" customWidth="1"/>
    <col min="12813" max="12813" width="1.7109375" customWidth="1"/>
    <col min="12814" max="12814" width="13.7109375" customWidth="1"/>
    <col min="12815" max="12815" width="1.7109375" customWidth="1"/>
    <col min="12816" max="12816" width="13.7109375" customWidth="1"/>
    <col min="12817" max="12817" width="1.7109375" customWidth="1"/>
    <col min="12818" max="12818" width="13.7109375" customWidth="1"/>
    <col min="12819" max="12819" width="2" customWidth="1"/>
    <col min="12820" max="12820" width="14.85546875" customWidth="1"/>
    <col min="12822" max="12822" width="10.28515625" bestFit="1" customWidth="1"/>
    <col min="13057" max="13057" width="1.7109375" customWidth="1"/>
    <col min="13058" max="13058" width="22.85546875" customWidth="1"/>
    <col min="13059" max="13059" width="42.42578125" customWidth="1"/>
    <col min="13060" max="13060" width="13.7109375" customWidth="1"/>
    <col min="13061" max="13061" width="1.7109375" customWidth="1"/>
    <col min="13062" max="13062" width="14.5703125" customWidth="1"/>
    <col min="13063" max="13063" width="1.7109375" customWidth="1"/>
    <col min="13064" max="13064" width="14.28515625" bestFit="1" customWidth="1"/>
    <col min="13065" max="13065" width="1.7109375" customWidth="1"/>
    <col min="13066" max="13066" width="14.5703125" customWidth="1"/>
    <col min="13067" max="13067" width="1.7109375" customWidth="1"/>
    <col min="13068" max="13068" width="13.7109375" customWidth="1"/>
    <col min="13069" max="13069" width="1.7109375" customWidth="1"/>
    <col min="13070" max="13070" width="13.7109375" customWidth="1"/>
    <col min="13071" max="13071" width="1.7109375" customWidth="1"/>
    <col min="13072" max="13072" width="13.7109375" customWidth="1"/>
    <col min="13073" max="13073" width="1.7109375" customWidth="1"/>
    <col min="13074" max="13074" width="13.7109375" customWidth="1"/>
    <col min="13075" max="13075" width="2" customWidth="1"/>
    <col min="13076" max="13076" width="14.85546875" customWidth="1"/>
    <col min="13078" max="13078" width="10.28515625" bestFit="1" customWidth="1"/>
    <col min="13313" max="13313" width="1.7109375" customWidth="1"/>
    <col min="13314" max="13314" width="22.85546875" customWidth="1"/>
    <col min="13315" max="13315" width="42.42578125" customWidth="1"/>
    <col min="13316" max="13316" width="13.7109375" customWidth="1"/>
    <col min="13317" max="13317" width="1.7109375" customWidth="1"/>
    <col min="13318" max="13318" width="14.5703125" customWidth="1"/>
    <col min="13319" max="13319" width="1.7109375" customWidth="1"/>
    <col min="13320" max="13320" width="14.28515625" bestFit="1" customWidth="1"/>
    <col min="13321" max="13321" width="1.7109375" customWidth="1"/>
    <col min="13322" max="13322" width="14.5703125" customWidth="1"/>
    <col min="13323" max="13323" width="1.7109375" customWidth="1"/>
    <col min="13324" max="13324" width="13.7109375" customWidth="1"/>
    <col min="13325" max="13325" width="1.7109375" customWidth="1"/>
    <col min="13326" max="13326" width="13.7109375" customWidth="1"/>
    <col min="13327" max="13327" width="1.7109375" customWidth="1"/>
    <col min="13328" max="13328" width="13.7109375" customWidth="1"/>
    <col min="13329" max="13329" width="1.7109375" customWidth="1"/>
    <col min="13330" max="13330" width="13.7109375" customWidth="1"/>
    <col min="13331" max="13331" width="2" customWidth="1"/>
    <col min="13332" max="13332" width="14.85546875" customWidth="1"/>
    <col min="13334" max="13334" width="10.28515625" bestFit="1" customWidth="1"/>
    <col min="13569" max="13569" width="1.7109375" customWidth="1"/>
    <col min="13570" max="13570" width="22.85546875" customWidth="1"/>
    <col min="13571" max="13571" width="42.42578125" customWidth="1"/>
    <col min="13572" max="13572" width="13.7109375" customWidth="1"/>
    <col min="13573" max="13573" width="1.7109375" customWidth="1"/>
    <col min="13574" max="13574" width="14.5703125" customWidth="1"/>
    <col min="13575" max="13575" width="1.7109375" customWidth="1"/>
    <col min="13576" max="13576" width="14.28515625" bestFit="1" customWidth="1"/>
    <col min="13577" max="13577" width="1.7109375" customWidth="1"/>
    <col min="13578" max="13578" width="14.5703125" customWidth="1"/>
    <col min="13579" max="13579" width="1.7109375" customWidth="1"/>
    <col min="13580" max="13580" width="13.7109375" customWidth="1"/>
    <col min="13581" max="13581" width="1.7109375" customWidth="1"/>
    <col min="13582" max="13582" width="13.7109375" customWidth="1"/>
    <col min="13583" max="13583" width="1.7109375" customWidth="1"/>
    <col min="13584" max="13584" width="13.7109375" customWidth="1"/>
    <col min="13585" max="13585" width="1.7109375" customWidth="1"/>
    <col min="13586" max="13586" width="13.7109375" customWidth="1"/>
    <col min="13587" max="13587" width="2" customWidth="1"/>
    <col min="13588" max="13588" width="14.85546875" customWidth="1"/>
    <col min="13590" max="13590" width="10.28515625" bestFit="1" customWidth="1"/>
    <col min="13825" max="13825" width="1.7109375" customWidth="1"/>
    <col min="13826" max="13826" width="22.85546875" customWidth="1"/>
    <col min="13827" max="13827" width="42.42578125" customWidth="1"/>
    <col min="13828" max="13828" width="13.7109375" customWidth="1"/>
    <col min="13829" max="13829" width="1.7109375" customWidth="1"/>
    <col min="13830" max="13830" width="14.5703125" customWidth="1"/>
    <col min="13831" max="13831" width="1.7109375" customWidth="1"/>
    <col min="13832" max="13832" width="14.28515625" bestFit="1" customWidth="1"/>
    <col min="13833" max="13833" width="1.7109375" customWidth="1"/>
    <col min="13834" max="13834" width="14.5703125" customWidth="1"/>
    <col min="13835" max="13835" width="1.7109375" customWidth="1"/>
    <col min="13836" max="13836" width="13.7109375" customWidth="1"/>
    <col min="13837" max="13837" width="1.7109375" customWidth="1"/>
    <col min="13838" max="13838" width="13.7109375" customWidth="1"/>
    <col min="13839" max="13839" width="1.7109375" customWidth="1"/>
    <col min="13840" max="13840" width="13.7109375" customWidth="1"/>
    <col min="13841" max="13841" width="1.7109375" customWidth="1"/>
    <col min="13842" max="13842" width="13.7109375" customWidth="1"/>
    <col min="13843" max="13843" width="2" customWidth="1"/>
    <col min="13844" max="13844" width="14.85546875" customWidth="1"/>
    <col min="13846" max="13846" width="10.28515625" bestFit="1" customWidth="1"/>
    <col min="14081" max="14081" width="1.7109375" customWidth="1"/>
    <col min="14082" max="14082" width="22.85546875" customWidth="1"/>
    <col min="14083" max="14083" width="42.42578125" customWidth="1"/>
    <col min="14084" max="14084" width="13.7109375" customWidth="1"/>
    <col min="14085" max="14085" width="1.7109375" customWidth="1"/>
    <col min="14086" max="14086" width="14.5703125" customWidth="1"/>
    <col min="14087" max="14087" width="1.7109375" customWidth="1"/>
    <col min="14088" max="14088" width="14.28515625" bestFit="1" customWidth="1"/>
    <col min="14089" max="14089" width="1.7109375" customWidth="1"/>
    <col min="14090" max="14090" width="14.5703125" customWidth="1"/>
    <col min="14091" max="14091" width="1.7109375" customWidth="1"/>
    <col min="14092" max="14092" width="13.7109375" customWidth="1"/>
    <col min="14093" max="14093" width="1.7109375" customWidth="1"/>
    <col min="14094" max="14094" width="13.7109375" customWidth="1"/>
    <col min="14095" max="14095" width="1.7109375" customWidth="1"/>
    <col min="14096" max="14096" width="13.7109375" customWidth="1"/>
    <col min="14097" max="14097" width="1.7109375" customWidth="1"/>
    <col min="14098" max="14098" width="13.7109375" customWidth="1"/>
    <col min="14099" max="14099" width="2" customWidth="1"/>
    <col min="14100" max="14100" width="14.85546875" customWidth="1"/>
    <col min="14102" max="14102" width="10.28515625" bestFit="1" customWidth="1"/>
    <col min="14337" max="14337" width="1.7109375" customWidth="1"/>
    <col min="14338" max="14338" width="22.85546875" customWidth="1"/>
    <col min="14339" max="14339" width="42.42578125" customWidth="1"/>
    <col min="14340" max="14340" width="13.7109375" customWidth="1"/>
    <col min="14341" max="14341" width="1.7109375" customWidth="1"/>
    <col min="14342" max="14342" width="14.5703125" customWidth="1"/>
    <col min="14343" max="14343" width="1.7109375" customWidth="1"/>
    <col min="14344" max="14344" width="14.28515625" bestFit="1" customWidth="1"/>
    <col min="14345" max="14345" width="1.7109375" customWidth="1"/>
    <col min="14346" max="14346" width="14.5703125" customWidth="1"/>
    <col min="14347" max="14347" width="1.7109375" customWidth="1"/>
    <col min="14348" max="14348" width="13.7109375" customWidth="1"/>
    <col min="14349" max="14349" width="1.7109375" customWidth="1"/>
    <col min="14350" max="14350" width="13.7109375" customWidth="1"/>
    <col min="14351" max="14351" width="1.7109375" customWidth="1"/>
    <col min="14352" max="14352" width="13.7109375" customWidth="1"/>
    <col min="14353" max="14353" width="1.7109375" customWidth="1"/>
    <col min="14354" max="14354" width="13.7109375" customWidth="1"/>
    <col min="14355" max="14355" width="2" customWidth="1"/>
    <col min="14356" max="14356" width="14.85546875" customWidth="1"/>
    <col min="14358" max="14358" width="10.28515625" bestFit="1" customWidth="1"/>
    <col min="14593" max="14593" width="1.7109375" customWidth="1"/>
    <col min="14594" max="14594" width="22.85546875" customWidth="1"/>
    <col min="14595" max="14595" width="42.42578125" customWidth="1"/>
    <col min="14596" max="14596" width="13.7109375" customWidth="1"/>
    <col min="14597" max="14597" width="1.7109375" customWidth="1"/>
    <col min="14598" max="14598" width="14.5703125" customWidth="1"/>
    <col min="14599" max="14599" width="1.7109375" customWidth="1"/>
    <col min="14600" max="14600" width="14.28515625" bestFit="1" customWidth="1"/>
    <col min="14601" max="14601" width="1.7109375" customWidth="1"/>
    <col min="14602" max="14602" width="14.5703125" customWidth="1"/>
    <col min="14603" max="14603" width="1.7109375" customWidth="1"/>
    <col min="14604" max="14604" width="13.7109375" customWidth="1"/>
    <col min="14605" max="14605" width="1.7109375" customWidth="1"/>
    <col min="14606" max="14606" width="13.7109375" customWidth="1"/>
    <col min="14607" max="14607" width="1.7109375" customWidth="1"/>
    <col min="14608" max="14608" width="13.7109375" customWidth="1"/>
    <col min="14609" max="14609" width="1.7109375" customWidth="1"/>
    <col min="14610" max="14610" width="13.7109375" customWidth="1"/>
    <col min="14611" max="14611" width="2" customWidth="1"/>
    <col min="14612" max="14612" width="14.85546875" customWidth="1"/>
    <col min="14614" max="14614" width="10.28515625" bestFit="1" customWidth="1"/>
    <col min="14849" max="14849" width="1.7109375" customWidth="1"/>
    <col min="14850" max="14850" width="22.85546875" customWidth="1"/>
    <col min="14851" max="14851" width="42.42578125" customWidth="1"/>
    <col min="14852" max="14852" width="13.7109375" customWidth="1"/>
    <col min="14853" max="14853" width="1.7109375" customWidth="1"/>
    <col min="14854" max="14854" width="14.5703125" customWidth="1"/>
    <col min="14855" max="14855" width="1.7109375" customWidth="1"/>
    <col min="14856" max="14856" width="14.28515625" bestFit="1" customWidth="1"/>
    <col min="14857" max="14857" width="1.7109375" customWidth="1"/>
    <col min="14858" max="14858" width="14.5703125" customWidth="1"/>
    <col min="14859" max="14859" width="1.7109375" customWidth="1"/>
    <col min="14860" max="14860" width="13.7109375" customWidth="1"/>
    <col min="14861" max="14861" width="1.7109375" customWidth="1"/>
    <col min="14862" max="14862" width="13.7109375" customWidth="1"/>
    <col min="14863" max="14863" width="1.7109375" customWidth="1"/>
    <col min="14864" max="14864" width="13.7109375" customWidth="1"/>
    <col min="14865" max="14865" width="1.7109375" customWidth="1"/>
    <col min="14866" max="14866" width="13.7109375" customWidth="1"/>
    <col min="14867" max="14867" width="2" customWidth="1"/>
    <col min="14868" max="14868" width="14.85546875" customWidth="1"/>
    <col min="14870" max="14870" width="10.28515625" bestFit="1" customWidth="1"/>
    <col min="15105" max="15105" width="1.7109375" customWidth="1"/>
    <col min="15106" max="15106" width="22.85546875" customWidth="1"/>
    <col min="15107" max="15107" width="42.42578125" customWidth="1"/>
    <col min="15108" max="15108" width="13.7109375" customWidth="1"/>
    <col min="15109" max="15109" width="1.7109375" customWidth="1"/>
    <col min="15110" max="15110" width="14.5703125" customWidth="1"/>
    <col min="15111" max="15111" width="1.7109375" customWidth="1"/>
    <col min="15112" max="15112" width="14.28515625" bestFit="1" customWidth="1"/>
    <col min="15113" max="15113" width="1.7109375" customWidth="1"/>
    <col min="15114" max="15114" width="14.5703125" customWidth="1"/>
    <col min="15115" max="15115" width="1.7109375" customWidth="1"/>
    <col min="15116" max="15116" width="13.7109375" customWidth="1"/>
    <col min="15117" max="15117" width="1.7109375" customWidth="1"/>
    <col min="15118" max="15118" width="13.7109375" customWidth="1"/>
    <col min="15119" max="15119" width="1.7109375" customWidth="1"/>
    <col min="15120" max="15120" width="13.7109375" customWidth="1"/>
    <col min="15121" max="15121" width="1.7109375" customWidth="1"/>
    <col min="15122" max="15122" width="13.7109375" customWidth="1"/>
    <col min="15123" max="15123" width="2" customWidth="1"/>
    <col min="15124" max="15124" width="14.85546875" customWidth="1"/>
    <col min="15126" max="15126" width="10.28515625" bestFit="1" customWidth="1"/>
    <col min="15361" max="15361" width="1.7109375" customWidth="1"/>
    <col min="15362" max="15362" width="22.85546875" customWidth="1"/>
    <col min="15363" max="15363" width="42.42578125" customWidth="1"/>
    <col min="15364" max="15364" width="13.7109375" customWidth="1"/>
    <col min="15365" max="15365" width="1.7109375" customWidth="1"/>
    <col min="15366" max="15366" width="14.5703125" customWidth="1"/>
    <col min="15367" max="15367" width="1.7109375" customWidth="1"/>
    <col min="15368" max="15368" width="14.28515625" bestFit="1" customWidth="1"/>
    <col min="15369" max="15369" width="1.7109375" customWidth="1"/>
    <col min="15370" max="15370" width="14.5703125" customWidth="1"/>
    <col min="15371" max="15371" width="1.7109375" customWidth="1"/>
    <col min="15372" max="15372" width="13.7109375" customWidth="1"/>
    <col min="15373" max="15373" width="1.7109375" customWidth="1"/>
    <col min="15374" max="15374" width="13.7109375" customWidth="1"/>
    <col min="15375" max="15375" width="1.7109375" customWidth="1"/>
    <col min="15376" max="15376" width="13.7109375" customWidth="1"/>
    <col min="15377" max="15377" width="1.7109375" customWidth="1"/>
    <col min="15378" max="15378" width="13.7109375" customWidth="1"/>
    <col min="15379" max="15379" width="2" customWidth="1"/>
    <col min="15380" max="15380" width="14.85546875" customWidth="1"/>
    <col min="15382" max="15382" width="10.28515625" bestFit="1" customWidth="1"/>
    <col min="15617" max="15617" width="1.7109375" customWidth="1"/>
    <col min="15618" max="15618" width="22.85546875" customWidth="1"/>
    <col min="15619" max="15619" width="42.42578125" customWidth="1"/>
    <col min="15620" max="15620" width="13.7109375" customWidth="1"/>
    <col min="15621" max="15621" width="1.7109375" customWidth="1"/>
    <col min="15622" max="15622" width="14.5703125" customWidth="1"/>
    <col min="15623" max="15623" width="1.7109375" customWidth="1"/>
    <col min="15624" max="15624" width="14.28515625" bestFit="1" customWidth="1"/>
    <col min="15625" max="15625" width="1.7109375" customWidth="1"/>
    <col min="15626" max="15626" width="14.5703125" customWidth="1"/>
    <col min="15627" max="15627" width="1.7109375" customWidth="1"/>
    <col min="15628" max="15628" width="13.7109375" customWidth="1"/>
    <col min="15629" max="15629" width="1.7109375" customWidth="1"/>
    <col min="15630" max="15630" width="13.7109375" customWidth="1"/>
    <col min="15631" max="15631" width="1.7109375" customWidth="1"/>
    <col min="15632" max="15632" width="13.7109375" customWidth="1"/>
    <col min="15633" max="15633" width="1.7109375" customWidth="1"/>
    <col min="15634" max="15634" width="13.7109375" customWidth="1"/>
    <col min="15635" max="15635" width="2" customWidth="1"/>
    <col min="15636" max="15636" width="14.85546875" customWidth="1"/>
    <col min="15638" max="15638" width="10.28515625" bestFit="1" customWidth="1"/>
    <col min="15873" max="15873" width="1.7109375" customWidth="1"/>
    <col min="15874" max="15874" width="22.85546875" customWidth="1"/>
    <col min="15875" max="15875" width="42.42578125" customWidth="1"/>
    <col min="15876" max="15876" width="13.7109375" customWidth="1"/>
    <col min="15877" max="15877" width="1.7109375" customWidth="1"/>
    <col min="15878" max="15878" width="14.5703125" customWidth="1"/>
    <col min="15879" max="15879" width="1.7109375" customWidth="1"/>
    <col min="15880" max="15880" width="14.28515625" bestFit="1" customWidth="1"/>
    <col min="15881" max="15881" width="1.7109375" customWidth="1"/>
    <col min="15882" max="15882" width="14.5703125" customWidth="1"/>
    <col min="15883" max="15883" width="1.7109375" customWidth="1"/>
    <col min="15884" max="15884" width="13.7109375" customWidth="1"/>
    <col min="15885" max="15885" width="1.7109375" customWidth="1"/>
    <col min="15886" max="15886" width="13.7109375" customWidth="1"/>
    <col min="15887" max="15887" width="1.7109375" customWidth="1"/>
    <col min="15888" max="15888" width="13.7109375" customWidth="1"/>
    <col min="15889" max="15889" width="1.7109375" customWidth="1"/>
    <col min="15890" max="15890" width="13.7109375" customWidth="1"/>
    <col min="15891" max="15891" width="2" customWidth="1"/>
    <col min="15892" max="15892" width="14.85546875" customWidth="1"/>
    <col min="15894" max="15894" width="10.28515625" bestFit="1" customWidth="1"/>
    <col min="16129" max="16129" width="1.7109375" customWidth="1"/>
    <col min="16130" max="16130" width="22.85546875" customWidth="1"/>
    <col min="16131" max="16131" width="42.42578125" customWidth="1"/>
    <col min="16132" max="16132" width="13.7109375" customWidth="1"/>
    <col min="16133" max="16133" width="1.7109375" customWidth="1"/>
    <col min="16134" max="16134" width="14.5703125" customWidth="1"/>
    <col min="16135" max="16135" width="1.7109375" customWidth="1"/>
    <col min="16136" max="16136" width="14.28515625" bestFit="1" customWidth="1"/>
    <col min="16137" max="16137" width="1.7109375" customWidth="1"/>
    <col min="16138" max="16138" width="14.5703125" customWidth="1"/>
    <col min="16139" max="16139" width="1.7109375" customWidth="1"/>
    <col min="16140" max="16140" width="13.7109375" customWidth="1"/>
    <col min="16141" max="16141" width="1.7109375" customWidth="1"/>
    <col min="16142" max="16142" width="13.7109375" customWidth="1"/>
    <col min="16143" max="16143" width="1.7109375" customWidth="1"/>
    <col min="16144" max="16144" width="13.7109375" customWidth="1"/>
    <col min="16145" max="16145" width="1.7109375" customWidth="1"/>
    <col min="16146" max="16146" width="13.7109375" customWidth="1"/>
    <col min="16147" max="16147" width="2" customWidth="1"/>
    <col min="16148" max="16148" width="14.85546875" customWidth="1"/>
    <col min="16150" max="16150" width="10.28515625" bestFit="1" customWidth="1"/>
  </cols>
  <sheetData>
    <row r="1" spans="1:22" x14ac:dyDescent="0.25">
      <c r="A1" s="180" t="s">
        <v>216</v>
      </c>
      <c r="C1" s="180"/>
    </row>
    <row r="2" spans="1:22" x14ac:dyDescent="0.25">
      <c r="A2" s="180" t="s">
        <v>217</v>
      </c>
      <c r="C2" s="180"/>
      <c r="D2" s="182" t="s">
        <v>218</v>
      </c>
      <c r="E2" s="42"/>
      <c r="F2" s="182" t="s">
        <v>80</v>
      </c>
      <c r="G2" s="42"/>
      <c r="H2" s="182" t="s">
        <v>81</v>
      </c>
      <c r="I2" s="42"/>
      <c r="J2" s="182" t="s">
        <v>82</v>
      </c>
      <c r="K2" s="42"/>
      <c r="L2" s="182" t="s">
        <v>83</v>
      </c>
      <c r="M2" s="42"/>
      <c r="N2" s="182"/>
      <c r="O2" s="42"/>
      <c r="P2" s="182"/>
      <c r="Q2" s="183"/>
      <c r="R2" s="182"/>
      <c r="T2" s="184"/>
    </row>
    <row r="4" spans="1:22" x14ac:dyDescent="0.25">
      <c r="A4" s="180" t="s">
        <v>219</v>
      </c>
      <c r="C4" s="180"/>
    </row>
    <row r="5" spans="1:22" x14ac:dyDescent="0.25">
      <c r="B5" s="180"/>
      <c r="C5" s="180" t="s">
        <v>220</v>
      </c>
      <c r="D5" s="185"/>
      <c r="E5" s="181"/>
      <c r="F5" s="181"/>
      <c r="G5" s="181"/>
      <c r="H5" s="181"/>
      <c r="I5" s="181"/>
      <c r="J5" s="181"/>
      <c r="K5" s="181"/>
      <c r="L5" s="181"/>
      <c r="M5" s="181"/>
      <c r="N5" s="181"/>
      <c r="O5" s="181"/>
      <c r="P5" s="181"/>
      <c r="Q5" s="181"/>
      <c r="R5" s="181"/>
    </row>
    <row r="6" spans="1:22" x14ac:dyDescent="0.25">
      <c r="B6" s="180"/>
      <c r="C6" s="180" t="s">
        <v>221</v>
      </c>
      <c r="D6" s="185"/>
      <c r="E6" s="181"/>
      <c r="F6" s="181"/>
      <c r="G6" s="181"/>
      <c r="H6" s="181"/>
      <c r="I6" s="181"/>
      <c r="J6" s="181"/>
      <c r="K6" s="181"/>
      <c r="L6" s="181"/>
      <c r="M6" s="181"/>
      <c r="N6" s="181"/>
      <c r="O6" s="181"/>
      <c r="P6" s="181"/>
      <c r="Q6" s="181"/>
      <c r="R6" s="181"/>
    </row>
    <row r="7" spans="1:22" x14ac:dyDescent="0.25">
      <c r="B7" s="180"/>
      <c r="C7" s="180" t="s">
        <v>222</v>
      </c>
      <c r="D7" s="185"/>
      <c r="E7" s="181"/>
      <c r="F7" s="181"/>
      <c r="G7" s="181"/>
      <c r="H7" s="181"/>
      <c r="I7" s="181"/>
      <c r="J7" s="181"/>
      <c r="K7" s="181"/>
      <c r="L7" s="181"/>
      <c r="M7" s="181"/>
      <c r="N7" s="181"/>
      <c r="O7" s="181"/>
      <c r="P7" s="181"/>
      <c r="Q7" s="181"/>
      <c r="R7" s="181"/>
    </row>
    <row r="8" spans="1:22" x14ac:dyDescent="0.25">
      <c r="B8" s="180"/>
      <c r="C8" s="180" t="s">
        <v>223</v>
      </c>
      <c r="D8" s="185"/>
      <c r="E8" s="181"/>
      <c r="F8" s="181"/>
      <c r="G8" s="181"/>
      <c r="H8" s="181"/>
      <c r="I8" s="181"/>
      <c r="J8" s="181"/>
      <c r="K8" s="181"/>
      <c r="L8" s="181"/>
      <c r="M8" s="181"/>
      <c r="N8" s="181"/>
      <c r="O8" s="181"/>
      <c r="P8" s="181"/>
      <c r="Q8" s="181"/>
      <c r="R8" s="181"/>
    </row>
    <row r="9" spans="1:22" x14ac:dyDescent="0.25">
      <c r="B9" s="180"/>
      <c r="C9" s="180" t="s">
        <v>224</v>
      </c>
      <c r="D9" s="185"/>
      <c r="E9" s="181"/>
      <c r="F9" s="181"/>
      <c r="G9" s="181"/>
      <c r="H9" s="192"/>
      <c r="I9" s="181"/>
      <c r="J9" s="181"/>
      <c r="K9" s="181"/>
      <c r="L9" s="181"/>
      <c r="M9" s="181"/>
      <c r="N9" s="181"/>
      <c r="O9" s="181"/>
      <c r="P9" s="181"/>
      <c r="Q9" s="181"/>
      <c r="R9" s="181"/>
      <c r="V9" s="186"/>
    </row>
    <row r="10" spans="1:22" x14ac:dyDescent="0.25">
      <c r="A10" s="180" t="s">
        <v>225</v>
      </c>
      <c r="C10" s="180"/>
      <c r="D10" s="187">
        <f>SUM(D5:D8)</f>
        <v>0</v>
      </c>
      <c r="E10" s="181"/>
      <c r="F10" s="187">
        <f>SUM(F5:F8)</f>
        <v>0</v>
      </c>
      <c r="G10" s="181"/>
      <c r="H10" s="188">
        <f>SUM(H5:H9)</f>
        <v>0</v>
      </c>
      <c r="I10" s="181"/>
      <c r="J10" s="188">
        <f>SUM(J5:J9)</f>
        <v>0</v>
      </c>
      <c r="K10" s="181"/>
      <c r="L10" s="188">
        <f>SUM(L5:L9)</f>
        <v>0</v>
      </c>
      <c r="M10" s="181"/>
      <c r="N10" s="188">
        <f>SUM(N5:N9)</f>
        <v>0</v>
      </c>
      <c r="O10" s="181"/>
      <c r="P10" s="188">
        <f>SUM(P5:P9)</f>
        <v>0</v>
      </c>
      <c r="Q10" s="181"/>
      <c r="R10" s="188">
        <f>SUM(R5:R9)</f>
        <v>0</v>
      </c>
      <c r="T10" s="188">
        <f>SUM(T5:T9)</f>
        <v>0</v>
      </c>
    </row>
    <row r="11" spans="1:22" x14ac:dyDescent="0.25">
      <c r="B11" s="180"/>
      <c r="C11" s="180"/>
      <c r="D11" s="181"/>
      <c r="E11" s="181"/>
      <c r="F11" s="181"/>
      <c r="G11" s="181"/>
      <c r="H11" s="181"/>
      <c r="I11" s="181"/>
      <c r="J11" s="181"/>
      <c r="K11" s="181"/>
      <c r="L11" s="181"/>
      <c r="M11" s="181"/>
      <c r="N11" s="181"/>
      <c r="O11" s="181"/>
      <c r="P11" s="181"/>
      <c r="Q11" s="181"/>
      <c r="R11" s="181"/>
    </row>
    <row r="12" spans="1:22" x14ac:dyDescent="0.25">
      <c r="A12" s="180" t="s">
        <v>226</v>
      </c>
      <c r="C12" s="180"/>
      <c r="D12" s="181"/>
      <c r="E12" s="181"/>
      <c r="F12" s="181"/>
      <c r="G12" s="181"/>
      <c r="H12" s="181"/>
      <c r="I12" s="181"/>
      <c r="J12" s="181"/>
      <c r="K12" s="181"/>
      <c r="L12" s="181"/>
      <c r="M12" s="181"/>
      <c r="N12" s="181"/>
      <c r="O12" s="181"/>
      <c r="P12" s="181"/>
      <c r="Q12" s="181"/>
      <c r="R12" s="181"/>
    </row>
    <row r="13" spans="1:22" x14ac:dyDescent="0.25">
      <c r="B13" s="180"/>
      <c r="C13" s="180" t="s">
        <v>227</v>
      </c>
      <c r="D13" s="185"/>
      <c r="E13" s="181"/>
      <c r="F13" s="181"/>
      <c r="G13" s="181"/>
      <c r="H13" s="181"/>
      <c r="I13" s="181"/>
      <c r="J13" s="181"/>
      <c r="K13" s="181"/>
      <c r="L13" s="181"/>
      <c r="M13" s="181"/>
      <c r="N13" s="181"/>
      <c r="O13" s="181"/>
      <c r="P13" s="181"/>
      <c r="Q13" s="181"/>
      <c r="R13" s="181"/>
    </row>
    <row r="14" spans="1:22" x14ac:dyDescent="0.25">
      <c r="B14" s="180"/>
      <c r="C14" s="180" t="s">
        <v>228</v>
      </c>
      <c r="D14" s="185"/>
      <c r="E14" s="181"/>
      <c r="F14" s="181"/>
      <c r="G14" s="181"/>
      <c r="H14" s="181"/>
      <c r="I14" s="181"/>
      <c r="J14" s="181"/>
      <c r="K14" s="181"/>
      <c r="L14" s="181"/>
      <c r="M14" s="181"/>
      <c r="N14" s="181"/>
      <c r="O14" s="181"/>
      <c r="P14" s="181"/>
      <c r="Q14" s="181"/>
      <c r="R14" s="181"/>
    </row>
    <row r="15" spans="1:22" x14ac:dyDescent="0.25">
      <c r="B15" s="180"/>
      <c r="C15" s="180" t="s">
        <v>229</v>
      </c>
      <c r="D15" s="185"/>
      <c r="E15" s="181"/>
      <c r="F15" s="181"/>
      <c r="G15" s="181"/>
      <c r="H15" s="181"/>
      <c r="I15" s="181"/>
      <c r="K15" s="181"/>
      <c r="L15" s="181"/>
      <c r="M15" s="181"/>
      <c r="N15" s="181"/>
      <c r="O15" s="181"/>
      <c r="P15" s="181"/>
      <c r="Q15" s="181"/>
      <c r="R15" s="181"/>
    </row>
    <row r="16" spans="1:22" x14ac:dyDescent="0.25">
      <c r="B16" s="180"/>
      <c r="C16" s="180" t="s">
        <v>230</v>
      </c>
      <c r="D16" s="185"/>
      <c r="E16" s="181"/>
      <c r="F16" s="181"/>
      <c r="G16" s="181"/>
      <c r="H16" s="181"/>
      <c r="I16" s="181"/>
      <c r="K16" s="181"/>
      <c r="L16" s="181"/>
      <c r="M16" s="181"/>
      <c r="N16" s="181"/>
      <c r="O16" s="181"/>
      <c r="P16" s="181"/>
      <c r="Q16" s="181"/>
      <c r="R16" s="181"/>
    </row>
    <row r="17" spans="1:20" x14ac:dyDescent="0.25">
      <c r="B17" s="180"/>
      <c r="C17" s="180" t="s">
        <v>231</v>
      </c>
      <c r="D17" s="185"/>
      <c r="E17" s="181"/>
      <c r="F17" s="181"/>
      <c r="G17" s="181"/>
      <c r="H17" s="181"/>
      <c r="I17" s="181"/>
      <c r="K17" s="181"/>
      <c r="L17" s="181"/>
      <c r="M17" s="181"/>
      <c r="N17" s="181"/>
      <c r="O17" s="181"/>
      <c r="P17" s="181"/>
      <c r="Q17" s="181"/>
      <c r="R17" s="181"/>
    </row>
    <row r="18" spans="1:20" x14ac:dyDescent="0.25">
      <c r="B18" s="180"/>
      <c r="C18" s="180" t="s">
        <v>232</v>
      </c>
      <c r="D18" s="185"/>
      <c r="E18" s="181"/>
      <c r="F18" s="181"/>
      <c r="G18" s="181"/>
      <c r="H18" s="181"/>
      <c r="I18" s="181"/>
      <c r="K18" s="181"/>
      <c r="L18" s="181"/>
      <c r="M18" s="181"/>
      <c r="N18" s="181"/>
      <c r="O18" s="181"/>
      <c r="P18" s="181"/>
      <c r="Q18" s="181"/>
      <c r="R18" s="181"/>
    </row>
    <row r="19" spans="1:20" x14ac:dyDescent="0.25">
      <c r="B19" s="180"/>
      <c r="C19" s="180" t="s">
        <v>232</v>
      </c>
      <c r="D19" s="185"/>
      <c r="E19" s="181"/>
      <c r="F19" s="181"/>
      <c r="G19" s="181"/>
      <c r="H19" s="181"/>
      <c r="I19" s="181"/>
      <c r="J19" s="181"/>
      <c r="K19" s="181"/>
      <c r="L19" s="181"/>
      <c r="M19" s="181"/>
      <c r="N19" s="181"/>
      <c r="O19" s="181"/>
      <c r="P19" s="181"/>
      <c r="Q19" s="181"/>
      <c r="R19" s="181"/>
    </row>
    <row r="20" spans="1:20" x14ac:dyDescent="0.25">
      <c r="B20" s="180"/>
      <c r="C20" s="180" t="s">
        <v>233</v>
      </c>
      <c r="D20" s="185"/>
      <c r="E20" s="181"/>
      <c r="F20" s="181"/>
      <c r="G20" s="181"/>
      <c r="H20" s="181"/>
      <c r="I20" s="181"/>
      <c r="J20" s="181"/>
      <c r="K20" s="181"/>
      <c r="L20" s="181"/>
      <c r="M20" s="181"/>
      <c r="N20" s="181"/>
      <c r="O20" s="181"/>
      <c r="P20" s="181"/>
      <c r="Q20" s="181"/>
      <c r="R20" s="181"/>
    </row>
    <row r="21" spans="1:20" x14ac:dyDescent="0.25">
      <c r="A21" s="180" t="s">
        <v>234</v>
      </c>
      <c r="C21" s="180"/>
      <c r="D21" s="187">
        <f>SUM(D13:D20)</f>
        <v>0</v>
      </c>
      <c r="E21" s="181"/>
      <c r="F21" s="187">
        <f>SUM(F13:F20)</f>
        <v>0</v>
      </c>
      <c r="G21" s="181"/>
      <c r="H21" s="188">
        <f>SUM(H13:H20)</f>
        <v>0</v>
      </c>
      <c r="I21" s="181"/>
      <c r="J21" s="188"/>
      <c r="K21" s="181"/>
      <c r="L21" s="188"/>
      <c r="M21" s="181"/>
      <c r="N21" s="188"/>
      <c r="O21" s="181"/>
      <c r="P21" s="188"/>
      <c r="Q21" s="181"/>
      <c r="R21" s="188"/>
      <c r="T21" s="188"/>
    </row>
    <row r="22" spans="1:20" x14ac:dyDescent="0.25">
      <c r="B22" s="180"/>
      <c r="C22" s="180"/>
      <c r="D22" s="181"/>
      <c r="E22" s="181"/>
      <c r="F22" s="181"/>
      <c r="G22" s="181"/>
      <c r="H22" s="181"/>
      <c r="I22" s="181"/>
      <c r="J22" s="181"/>
      <c r="K22" s="181"/>
      <c r="L22" s="181"/>
      <c r="M22" s="181"/>
      <c r="N22" s="181"/>
      <c r="O22" s="181"/>
      <c r="P22" s="181"/>
      <c r="Q22" s="181"/>
      <c r="R22" s="181"/>
    </row>
    <row r="23" spans="1:20" ht="15.75" thickBot="1" x14ac:dyDescent="0.3">
      <c r="A23" s="180" t="s">
        <v>235</v>
      </c>
      <c r="C23" s="180"/>
      <c r="D23" s="189">
        <f>+D10-D21</f>
        <v>0</v>
      </c>
      <c r="E23" s="181"/>
      <c r="F23" s="189">
        <f>+F10-F21</f>
        <v>0</v>
      </c>
      <c r="G23" s="181"/>
      <c r="H23" s="189">
        <f>+H10-H21</f>
        <v>0</v>
      </c>
      <c r="I23" s="181"/>
      <c r="J23" s="190"/>
      <c r="K23" s="181"/>
      <c r="L23" s="190"/>
      <c r="M23" s="181"/>
      <c r="N23" s="190"/>
      <c r="O23" s="181"/>
      <c r="P23" s="190"/>
      <c r="Q23" s="181"/>
      <c r="R23" s="190"/>
      <c r="T23" s="190"/>
    </row>
    <row r="24" spans="1:20" ht="15.75" thickTop="1" x14ac:dyDescent="0.25">
      <c r="A24" t="s">
        <v>236</v>
      </c>
      <c r="B24" s="180"/>
      <c r="C24" s="180"/>
      <c r="D24" s="185">
        <f>+D23-'[1]Current Working'!H61</f>
        <v>-2391589.8199999998</v>
      </c>
      <c r="E24" s="181"/>
      <c r="F24" s="181"/>
      <c r="G24" s="181"/>
      <c r="H24" s="181"/>
      <c r="I24" s="181"/>
      <c r="J24" s="181"/>
      <c r="K24" s="181"/>
      <c r="L24" s="181"/>
      <c r="M24" s="181"/>
      <c r="N24" s="181"/>
      <c r="O24" s="181"/>
      <c r="P24" s="181"/>
      <c r="Q24" s="181"/>
      <c r="R24" s="181"/>
    </row>
    <row r="25" spans="1:20" x14ac:dyDescent="0.25">
      <c r="A25" t="s">
        <v>237</v>
      </c>
    </row>
    <row r="26" spans="1:20" x14ac:dyDescent="0.25">
      <c r="B26" s="181"/>
      <c r="C26" s="180" t="s">
        <v>238</v>
      </c>
      <c r="D26" s="181"/>
      <c r="E26" s="181"/>
      <c r="F26" s="181"/>
      <c r="G26" s="181"/>
      <c r="H26" s="181"/>
      <c r="I26" s="181"/>
      <c r="J26" s="181"/>
      <c r="K26" s="181"/>
      <c r="N26" s="181"/>
      <c r="O26" s="181"/>
      <c r="P26" s="181"/>
      <c r="R26" s="181"/>
      <c r="S26" s="181"/>
    </row>
    <row r="27" spans="1:20" x14ac:dyDescent="0.25">
      <c r="B27" s="181"/>
      <c r="C27" s="180"/>
      <c r="D27" s="181"/>
      <c r="E27" s="181"/>
      <c r="F27" s="181"/>
      <c r="G27" s="181"/>
      <c r="H27" s="181"/>
      <c r="I27" s="181"/>
      <c r="J27" s="181"/>
      <c r="K27" s="181"/>
      <c r="N27" s="181"/>
      <c r="O27" s="181"/>
      <c r="P27" s="181"/>
      <c r="R27" s="181"/>
      <c r="S27" s="181"/>
    </row>
    <row r="28" spans="1:20" x14ac:dyDescent="0.25">
      <c r="B28" s="181"/>
      <c r="C28" s="180"/>
      <c r="D28" s="181"/>
      <c r="E28" s="181"/>
      <c r="F28" s="181"/>
      <c r="G28" s="181"/>
      <c r="H28" s="181"/>
      <c r="I28" s="181"/>
      <c r="J28" s="181"/>
      <c r="K28" s="181"/>
      <c r="N28" s="181"/>
      <c r="O28" s="181"/>
      <c r="R28" s="181"/>
      <c r="S28" s="181"/>
    </row>
    <row r="29" spans="1:20" x14ac:dyDescent="0.25">
      <c r="P29" s="186"/>
      <c r="R29" s="181"/>
      <c r="S29" s="181"/>
    </row>
    <row r="30" spans="1:20" x14ac:dyDescent="0.25">
      <c r="R30" s="181"/>
      <c r="S30" s="181"/>
    </row>
    <row r="31" spans="1:20" x14ac:dyDescent="0.25">
      <c r="R31" s="181"/>
      <c r="S31" s="181"/>
    </row>
    <row r="32" spans="1:20" x14ac:dyDescent="0.25">
      <c r="R32" s="181"/>
      <c r="S32" s="181"/>
    </row>
    <row r="35" spans="3:18" x14ac:dyDescent="0.25">
      <c r="C35" s="191"/>
      <c r="R35" s="18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18"/>
  <sheetViews>
    <sheetView topLeftCell="A18" workbookViewId="0">
      <selection activeCell="E51" sqref="E51"/>
    </sheetView>
  </sheetViews>
  <sheetFormatPr defaultColWidth="9.140625" defaultRowHeight="15" x14ac:dyDescent="0.25"/>
  <cols>
    <col min="1" max="1" width="20" style="6" customWidth="1"/>
    <col min="2" max="16384" width="9.140625" style="6"/>
  </cols>
  <sheetData>
    <row r="2" spans="1:1" x14ac:dyDescent="0.25">
      <c r="A2" s="210" t="s">
        <v>239</v>
      </c>
    </row>
    <row r="3" spans="1:1" x14ac:dyDescent="0.25">
      <c r="A3" s="211" t="s">
        <v>240</v>
      </c>
    </row>
    <row r="4" spans="1:1" x14ac:dyDescent="0.25">
      <c r="A4" s="211" t="s">
        <v>241</v>
      </c>
    </row>
    <row r="5" spans="1:1" x14ac:dyDescent="0.25">
      <c r="A5" s="211" t="s">
        <v>242</v>
      </c>
    </row>
    <row r="6" spans="1:1" x14ac:dyDescent="0.25">
      <c r="A6" s="211" t="s">
        <v>243</v>
      </c>
    </row>
    <row r="7" spans="1:1" x14ac:dyDescent="0.25">
      <c r="A7" s="211" t="s">
        <v>244</v>
      </c>
    </row>
    <row r="8" spans="1:1" x14ac:dyDescent="0.25">
      <c r="A8" s="211" t="s">
        <v>245</v>
      </c>
    </row>
    <row r="9" spans="1:1" x14ac:dyDescent="0.25">
      <c r="A9" s="211" t="s">
        <v>253</v>
      </c>
    </row>
    <row r="10" spans="1:1" x14ac:dyDescent="0.25">
      <c r="A10" s="211" t="s">
        <v>254</v>
      </c>
    </row>
    <row r="11" spans="1:1" x14ac:dyDescent="0.25">
      <c r="A11" s="211" t="s">
        <v>491</v>
      </c>
    </row>
    <row r="12" spans="1:1" x14ac:dyDescent="0.25">
      <c r="A12" s="211" t="s">
        <v>493</v>
      </c>
    </row>
    <row r="14" spans="1:1" x14ac:dyDescent="0.25">
      <c r="A14" s="6" t="s">
        <v>255</v>
      </c>
    </row>
    <row r="15" spans="1:1" x14ac:dyDescent="0.25">
      <c r="A15" s="6" t="s">
        <v>256</v>
      </c>
    </row>
    <row r="16" spans="1:1" x14ac:dyDescent="0.25">
      <c r="A16" s="6" t="s">
        <v>257</v>
      </c>
    </row>
    <row r="17" spans="1:1" x14ac:dyDescent="0.25">
      <c r="A17" s="6" t="s">
        <v>261</v>
      </c>
    </row>
    <row r="18" spans="1:1" x14ac:dyDescent="0.25">
      <c r="A18" s="6" t="s">
        <v>262</v>
      </c>
    </row>
    <row r="19" spans="1:1" x14ac:dyDescent="0.25">
      <c r="A19" s="6" t="s">
        <v>263</v>
      </c>
    </row>
    <row r="20" spans="1:1" x14ac:dyDescent="0.25">
      <c r="A20" s="6" t="s">
        <v>264</v>
      </c>
    </row>
    <row r="21" spans="1:1" x14ac:dyDescent="0.25">
      <c r="A21" s="6" t="s">
        <v>265</v>
      </c>
    </row>
    <row r="22" spans="1:1" x14ac:dyDescent="0.25">
      <c r="A22" s="6" t="s">
        <v>269</v>
      </c>
    </row>
    <row r="23" spans="1:1" x14ac:dyDescent="0.25">
      <c r="A23" s="6" t="s">
        <v>270</v>
      </c>
    </row>
    <row r="24" spans="1:1" x14ac:dyDescent="0.25">
      <c r="A24" s="6" t="s">
        <v>271</v>
      </c>
    </row>
    <row r="25" spans="1:1" x14ac:dyDescent="0.25">
      <c r="A25" s="6" t="s">
        <v>272</v>
      </c>
    </row>
    <row r="26" spans="1:1" x14ac:dyDescent="0.25">
      <c r="A26" s="6" t="s">
        <v>273</v>
      </c>
    </row>
    <row r="27" spans="1:1" x14ac:dyDescent="0.25">
      <c r="A27" s="6" t="s">
        <v>274</v>
      </c>
    </row>
    <row r="28" spans="1:1" x14ac:dyDescent="0.25">
      <c r="A28" s="6" t="s">
        <v>275</v>
      </c>
    </row>
    <row r="29" spans="1:1" x14ac:dyDescent="0.25">
      <c r="A29" s="6" t="s">
        <v>276</v>
      </c>
    </row>
    <row r="30" spans="1:1" x14ac:dyDescent="0.25">
      <c r="A30" s="6" t="s">
        <v>277</v>
      </c>
    </row>
    <row r="31" spans="1:1" x14ac:dyDescent="0.25">
      <c r="A31" s="6" t="s">
        <v>278</v>
      </c>
    </row>
    <row r="32" spans="1:1" x14ac:dyDescent="0.25">
      <c r="A32" s="6" t="s">
        <v>279</v>
      </c>
    </row>
    <row r="33" spans="1:1" x14ac:dyDescent="0.25">
      <c r="A33" s="6" t="s">
        <v>280</v>
      </c>
    </row>
    <row r="34" spans="1:1" x14ac:dyDescent="0.25">
      <c r="A34" s="6" t="s">
        <v>281</v>
      </c>
    </row>
    <row r="35" spans="1:1" x14ac:dyDescent="0.25">
      <c r="A35" s="6" t="s">
        <v>282</v>
      </c>
    </row>
    <row r="36" spans="1:1" x14ac:dyDescent="0.25">
      <c r="A36" s="6" t="s">
        <v>283</v>
      </c>
    </row>
    <row r="37" spans="1:1" x14ac:dyDescent="0.25">
      <c r="A37" s="6" t="s">
        <v>284</v>
      </c>
    </row>
    <row r="38" spans="1:1" x14ac:dyDescent="0.25">
      <c r="A38" s="6" t="s">
        <v>285</v>
      </c>
    </row>
    <row r="39" spans="1:1" x14ac:dyDescent="0.25">
      <c r="A39" s="6" t="s">
        <v>286</v>
      </c>
    </row>
    <row r="40" spans="1:1" x14ac:dyDescent="0.25">
      <c r="A40" s="6" t="s">
        <v>287</v>
      </c>
    </row>
    <row r="41" spans="1:1" x14ac:dyDescent="0.25">
      <c r="A41" s="6" t="s">
        <v>288</v>
      </c>
    </row>
    <row r="42" spans="1:1" x14ac:dyDescent="0.25">
      <c r="A42" s="6" t="s">
        <v>289</v>
      </c>
    </row>
    <row r="43" spans="1:1" x14ac:dyDescent="0.25">
      <c r="A43" s="6" t="s">
        <v>290</v>
      </c>
    </row>
    <row r="44" spans="1:1" x14ac:dyDescent="0.25">
      <c r="A44" s="6" t="s">
        <v>291</v>
      </c>
    </row>
    <row r="45" spans="1:1" x14ac:dyDescent="0.25">
      <c r="A45" s="6" t="s">
        <v>292</v>
      </c>
    </row>
    <row r="46" spans="1:1" x14ac:dyDescent="0.25">
      <c r="A46" s="6" t="s">
        <v>293</v>
      </c>
    </row>
    <row r="47" spans="1:1" x14ac:dyDescent="0.25">
      <c r="A47" s="6" t="s">
        <v>294</v>
      </c>
    </row>
    <row r="48" spans="1:1" x14ac:dyDescent="0.25">
      <c r="A48" s="6" t="s">
        <v>295</v>
      </c>
    </row>
    <row r="49" spans="1:1" x14ac:dyDescent="0.25">
      <c r="A49" s="6" t="s">
        <v>296</v>
      </c>
    </row>
    <row r="50" spans="1:1" x14ac:dyDescent="0.25">
      <c r="A50" s="6" t="s">
        <v>297</v>
      </c>
    </row>
    <row r="51" spans="1:1" x14ac:dyDescent="0.25">
      <c r="A51" s="6" t="s">
        <v>298</v>
      </c>
    </row>
    <row r="52" spans="1:1" x14ac:dyDescent="0.25">
      <c r="A52" s="6" t="s">
        <v>299</v>
      </c>
    </row>
    <row r="53" spans="1:1" x14ac:dyDescent="0.25">
      <c r="A53" s="6" t="s">
        <v>301</v>
      </c>
    </row>
    <row r="54" spans="1:1" x14ac:dyDescent="0.25">
      <c r="A54" s="6" t="s">
        <v>302</v>
      </c>
    </row>
    <row r="55" spans="1:1" x14ac:dyDescent="0.25">
      <c r="A55" s="6" t="s">
        <v>303</v>
      </c>
    </row>
    <row r="56" spans="1:1" x14ac:dyDescent="0.25">
      <c r="A56" s="6" t="s">
        <v>305</v>
      </c>
    </row>
    <row r="57" spans="1:1" x14ac:dyDescent="0.25">
      <c r="A57" s="6" t="s">
        <v>306</v>
      </c>
    </row>
    <row r="58" spans="1:1" x14ac:dyDescent="0.25">
      <c r="A58" s="6" t="s">
        <v>307</v>
      </c>
    </row>
    <row r="59" spans="1:1" x14ac:dyDescent="0.25">
      <c r="A59" s="6" t="s">
        <v>308</v>
      </c>
    </row>
    <row r="60" spans="1:1" x14ac:dyDescent="0.25">
      <c r="A60" s="6" t="s">
        <v>309</v>
      </c>
    </row>
    <row r="61" spans="1:1" x14ac:dyDescent="0.25">
      <c r="A61" s="6" t="s">
        <v>310</v>
      </c>
    </row>
    <row r="62" spans="1:1" x14ac:dyDescent="0.25">
      <c r="A62" s="6" t="s">
        <v>311</v>
      </c>
    </row>
    <row r="63" spans="1:1" x14ac:dyDescent="0.25">
      <c r="A63" s="6" t="s">
        <v>312</v>
      </c>
    </row>
    <row r="64" spans="1:1" x14ac:dyDescent="0.25">
      <c r="A64" s="6" t="s">
        <v>313</v>
      </c>
    </row>
    <row r="65" spans="1:1" x14ac:dyDescent="0.25">
      <c r="A65" s="6" t="s">
        <v>314</v>
      </c>
    </row>
    <row r="66" spans="1:1" x14ac:dyDescent="0.25">
      <c r="A66" s="6" t="s">
        <v>315</v>
      </c>
    </row>
    <row r="67" spans="1:1" x14ac:dyDescent="0.25">
      <c r="A67" s="6" t="s">
        <v>316</v>
      </c>
    </row>
    <row r="68" spans="1:1" x14ac:dyDescent="0.25">
      <c r="A68" s="6" t="s">
        <v>317</v>
      </c>
    </row>
    <row r="69" spans="1:1" x14ac:dyDescent="0.25">
      <c r="A69" s="6" t="s">
        <v>318</v>
      </c>
    </row>
    <row r="70" spans="1:1" x14ac:dyDescent="0.25">
      <c r="A70" s="6" t="s">
        <v>319</v>
      </c>
    </row>
    <row r="71" spans="1:1" x14ac:dyDescent="0.25">
      <c r="A71" s="6" t="s">
        <v>320</v>
      </c>
    </row>
    <row r="72" spans="1:1" x14ac:dyDescent="0.25">
      <c r="A72" s="6" t="s">
        <v>321</v>
      </c>
    </row>
    <row r="73" spans="1:1" x14ac:dyDescent="0.25">
      <c r="A73" s="6" t="s">
        <v>322</v>
      </c>
    </row>
    <row r="74" spans="1:1" x14ac:dyDescent="0.25">
      <c r="A74" s="6" t="s">
        <v>323</v>
      </c>
    </row>
    <row r="75" spans="1:1" x14ac:dyDescent="0.25">
      <c r="A75" s="6" t="s">
        <v>324</v>
      </c>
    </row>
    <row r="76" spans="1:1" x14ac:dyDescent="0.25">
      <c r="A76" s="6" t="s">
        <v>325</v>
      </c>
    </row>
    <row r="77" spans="1:1" x14ac:dyDescent="0.25">
      <c r="A77" s="6" t="s">
        <v>326</v>
      </c>
    </row>
    <row r="78" spans="1:1" x14ac:dyDescent="0.25">
      <c r="A78" s="6" t="s">
        <v>327</v>
      </c>
    </row>
    <row r="79" spans="1:1" x14ac:dyDescent="0.25">
      <c r="A79" s="6" t="s">
        <v>328</v>
      </c>
    </row>
    <row r="80" spans="1:1" x14ac:dyDescent="0.25">
      <c r="A80" s="6" t="s">
        <v>329</v>
      </c>
    </row>
    <row r="81" spans="1:1" x14ac:dyDescent="0.25">
      <c r="A81" s="6" t="s">
        <v>330</v>
      </c>
    </row>
    <row r="82" spans="1:1" x14ac:dyDescent="0.25">
      <c r="A82" s="6" t="s">
        <v>331</v>
      </c>
    </row>
    <row r="83" spans="1:1" x14ac:dyDescent="0.25">
      <c r="A83" s="6" t="s">
        <v>332</v>
      </c>
    </row>
    <row r="84" spans="1:1" x14ac:dyDescent="0.25">
      <c r="A84" s="6" t="s">
        <v>333</v>
      </c>
    </row>
    <row r="85" spans="1:1" x14ac:dyDescent="0.25">
      <c r="A85" s="6" t="s">
        <v>334</v>
      </c>
    </row>
    <row r="86" spans="1:1" x14ac:dyDescent="0.25">
      <c r="A86" s="6" t="s">
        <v>335</v>
      </c>
    </row>
    <row r="87" spans="1:1" x14ac:dyDescent="0.25">
      <c r="A87" s="6" t="s">
        <v>336</v>
      </c>
    </row>
    <row r="88" spans="1:1" x14ac:dyDescent="0.25">
      <c r="A88" s="6" t="s">
        <v>337</v>
      </c>
    </row>
    <row r="89" spans="1:1" x14ac:dyDescent="0.25">
      <c r="A89" s="6" t="s">
        <v>338</v>
      </c>
    </row>
    <row r="90" spans="1:1" x14ac:dyDescent="0.25">
      <c r="A90" s="6" t="s">
        <v>339</v>
      </c>
    </row>
    <row r="91" spans="1:1" x14ac:dyDescent="0.25">
      <c r="A91" s="6" t="s">
        <v>340</v>
      </c>
    </row>
    <row r="92" spans="1:1" x14ac:dyDescent="0.25">
      <c r="A92" s="6" t="s">
        <v>341</v>
      </c>
    </row>
    <row r="93" spans="1:1" x14ac:dyDescent="0.25">
      <c r="A93" s="6" t="s">
        <v>342</v>
      </c>
    </row>
    <row r="94" spans="1:1" x14ac:dyDescent="0.25">
      <c r="A94" s="6" t="s">
        <v>343</v>
      </c>
    </row>
    <row r="95" spans="1:1" x14ac:dyDescent="0.25">
      <c r="A95" s="6" t="s">
        <v>344</v>
      </c>
    </row>
    <row r="96" spans="1:1" x14ac:dyDescent="0.25">
      <c r="A96" s="6" t="s">
        <v>345</v>
      </c>
    </row>
    <row r="97" spans="1:1" x14ac:dyDescent="0.25">
      <c r="A97" s="6" t="s">
        <v>346</v>
      </c>
    </row>
    <row r="98" spans="1:1" x14ac:dyDescent="0.25">
      <c r="A98" s="6" t="s">
        <v>347</v>
      </c>
    </row>
    <row r="99" spans="1:1" x14ac:dyDescent="0.25">
      <c r="A99" s="6" t="s">
        <v>348</v>
      </c>
    </row>
    <row r="100" spans="1:1" x14ac:dyDescent="0.25">
      <c r="A100" s="6" t="s">
        <v>349</v>
      </c>
    </row>
    <row r="101" spans="1:1" x14ac:dyDescent="0.25">
      <c r="A101" s="6" t="s">
        <v>350</v>
      </c>
    </row>
    <row r="102" spans="1:1" x14ac:dyDescent="0.25">
      <c r="A102" s="6" t="s">
        <v>351</v>
      </c>
    </row>
    <row r="103" spans="1:1" x14ac:dyDescent="0.25">
      <c r="A103" s="6" t="s">
        <v>352</v>
      </c>
    </row>
    <row r="104" spans="1:1" x14ac:dyDescent="0.25">
      <c r="A104" s="6" t="s">
        <v>353</v>
      </c>
    </row>
    <row r="105" spans="1:1" x14ac:dyDescent="0.25">
      <c r="A105" s="6" t="s">
        <v>354</v>
      </c>
    </row>
    <row r="106" spans="1:1" x14ac:dyDescent="0.25">
      <c r="A106" s="6" t="s">
        <v>355</v>
      </c>
    </row>
    <row r="107" spans="1:1" x14ac:dyDescent="0.25">
      <c r="A107" s="6" t="s">
        <v>356</v>
      </c>
    </row>
    <row r="108" spans="1:1" x14ac:dyDescent="0.25">
      <c r="A108" s="6" t="s">
        <v>357</v>
      </c>
    </row>
    <row r="109" spans="1:1" x14ac:dyDescent="0.25">
      <c r="A109" s="6" t="s">
        <v>358</v>
      </c>
    </row>
    <row r="110" spans="1:1" x14ac:dyDescent="0.25">
      <c r="A110" s="6" t="s">
        <v>359</v>
      </c>
    </row>
    <row r="111" spans="1:1" x14ac:dyDescent="0.25">
      <c r="A111" s="6" t="s">
        <v>360</v>
      </c>
    </row>
    <row r="112" spans="1:1" x14ac:dyDescent="0.25">
      <c r="A112" s="6" t="s">
        <v>361</v>
      </c>
    </row>
    <row r="113" spans="1:1" x14ac:dyDescent="0.25">
      <c r="A113" s="6" t="s">
        <v>362</v>
      </c>
    </row>
    <row r="114" spans="1:1" x14ac:dyDescent="0.25">
      <c r="A114" s="6" t="s">
        <v>363</v>
      </c>
    </row>
    <row r="115" spans="1:1" x14ac:dyDescent="0.25">
      <c r="A115" s="6" t="s">
        <v>364</v>
      </c>
    </row>
    <row r="116" spans="1:1" x14ac:dyDescent="0.25">
      <c r="A116" s="6" t="s">
        <v>365</v>
      </c>
    </row>
    <row r="117" spans="1:1" x14ac:dyDescent="0.25">
      <c r="A117" s="6" t="s">
        <v>366</v>
      </c>
    </row>
    <row r="118" spans="1:1" x14ac:dyDescent="0.25">
      <c r="A118" s="6" t="s">
        <v>367</v>
      </c>
    </row>
    <row r="119" spans="1:1" x14ac:dyDescent="0.25">
      <c r="A119" s="6" t="s">
        <v>368</v>
      </c>
    </row>
    <row r="120" spans="1:1" x14ac:dyDescent="0.25">
      <c r="A120" s="6" t="s">
        <v>369</v>
      </c>
    </row>
    <row r="121" spans="1:1" x14ac:dyDescent="0.25">
      <c r="A121" s="6" t="s">
        <v>370</v>
      </c>
    </row>
    <row r="122" spans="1:1" x14ac:dyDescent="0.25">
      <c r="A122" s="6" t="s">
        <v>371</v>
      </c>
    </row>
    <row r="123" spans="1:1" x14ac:dyDescent="0.25">
      <c r="A123" s="6" t="s">
        <v>372</v>
      </c>
    </row>
    <row r="124" spans="1:1" x14ac:dyDescent="0.25">
      <c r="A124" s="6" t="s">
        <v>373</v>
      </c>
    </row>
    <row r="125" spans="1:1" x14ac:dyDescent="0.25">
      <c r="A125" s="6" t="s">
        <v>389</v>
      </c>
    </row>
    <row r="126" spans="1:1" x14ac:dyDescent="0.25">
      <c r="A126" s="6" t="s">
        <v>390</v>
      </c>
    </row>
    <row r="127" spans="1:1" x14ac:dyDescent="0.25">
      <c r="A127" s="6" t="s">
        <v>391</v>
      </c>
    </row>
    <row r="128" spans="1:1" x14ac:dyDescent="0.25">
      <c r="A128" s="6" t="s">
        <v>392</v>
      </c>
    </row>
    <row r="129" spans="1:1" x14ac:dyDescent="0.25">
      <c r="A129" s="6" t="s">
        <v>393</v>
      </c>
    </row>
    <row r="130" spans="1:1" x14ac:dyDescent="0.25">
      <c r="A130" s="6" t="s">
        <v>394</v>
      </c>
    </row>
    <row r="131" spans="1:1" x14ac:dyDescent="0.25">
      <c r="A131" s="6" t="s">
        <v>395</v>
      </c>
    </row>
    <row r="132" spans="1:1" x14ac:dyDescent="0.25">
      <c r="A132" s="6" t="s">
        <v>396</v>
      </c>
    </row>
    <row r="133" spans="1:1" x14ac:dyDescent="0.25">
      <c r="A133" s="6" t="s">
        <v>397</v>
      </c>
    </row>
    <row r="134" spans="1:1" x14ac:dyDescent="0.25">
      <c r="A134" s="6" t="s">
        <v>398</v>
      </c>
    </row>
    <row r="135" spans="1:1" x14ac:dyDescent="0.25">
      <c r="A135" s="6" t="s">
        <v>399</v>
      </c>
    </row>
    <row r="136" spans="1:1" x14ac:dyDescent="0.25">
      <c r="A136" s="6" t="s">
        <v>400</v>
      </c>
    </row>
    <row r="137" spans="1:1" x14ac:dyDescent="0.25">
      <c r="A137" s="6" t="s">
        <v>401</v>
      </c>
    </row>
    <row r="138" spans="1:1" x14ac:dyDescent="0.25">
      <c r="A138" s="6" t="s">
        <v>402</v>
      </c>
    </row>
    <row r="139" spans="1:1" x14ac:dyDescent="0.25">
      <c r="A139" s="6" t="s">
        <v>403</v>
      </c>
    </row>
    <row r="140" spans="1:1" x14ac:dyDescent="0.25">
      <c r="A140" s="6" t="s">
        <v>404</v>
      </c>
    </row>
    <row r="141" spans="1:1" x14ac:dyDescent="0.25">
      <c r="A141" s="6" t="s">
        <v>405</v>
      </c>
    </row>
    <row r="142" spans="1:1" x14ac:dyDescent="0.25">
      <c r="A142" s="6" t="s">
        <v>406</v>
      </c>
    </row>
    <row r="143" spans="1:1" x14ac:dyDescent="0.25">
      <c r="A143" s="6" t="s">
        <v>407</v>
      </c>
    </row>
    <row r="144" spans="1:1" x14ac:dyDescent="0.25">
      <c r="A144" s="6" t="s">
        <v>408</v>
      </c>
    </row>
    <row r="145" spans="1:1" x14ac:dyDescent="0.25">
      <c r="A145" s="6" t="s">
        <v>409</v>
      </c>
    </row>
    <row r="146" spans="1:1" x14ac:dyDescent="0.25">
      <c r="A146" s="6" t="s">
        <v>410</v>
      </c>
    </row>
    <row r="147" spans="1:1" x14ac:dyDescent="0.25">
      <c r="A147" s="6" t="s">
        <v>411</v>
      </c>
    </row>
    <row r="148" spans="1:1" x14ac:dyDescent="0.25">
      <c r="A148" s="6" t="s">
        <v>412</v>
      </c>
    </row>
    <row r="149" spans="1:1" x14ac:dyDescent="0.25">
      <c r="A149" s="6" t="s">
        <v>413</v>
      </c>
    </row>
    <row r="150" spans="1:1" x14ac:dyDescent="0.25">
      <c r="A150" s="6" t="s">
        <v>414</v>
      </c>
    </row>
    <row r="151" spans="1:1" x14ac:dyDescent="0.25">
      <c r="A151" s="6" t="s">
        <v>415</v>
      </c>
    </row>
    <row r="152" spans="1:1" x14ac:dyDescent="0.25">
      <c r="A152" s="6" t="s">
        <v>416</v>
      </c>
    </row>
    <row r="153" spans="1:1" x14ac:dyDescent="0.25">
      <c r="A153" s="6" t="s">
        <v>417</v>
      </c>
    </row>
    <row r="154" spans="1:1" x14ac:dyDescent="0.25">
      <c r="A154" s="6" t="s">
        <v>418</v>
      </c>
    </row>
    <row r="155" spans="1:1" x14ac:dyDescent="0.25">
      <c r="A155" s="6" t="s">
        <v>419</v>
      </c>
    </row>
    <row r="156" spans="1:1" x14ac:dyDescent="0.25">
      <c r="A156" s="6" t="s">
        <v>420</v>
      </c>
    </row>
    <row r="157" spans="1:1" x14ac:dyDescent="0.25">
      <c r="A157" s="6" t="s">
        <v>421</v>
      </c>
    </row>
    <row r="158" spans="1:1" x14ac:dyDescent="0.25">
      <c r="A158" s="6" t="s">
        <v>422</v>
      </c>
    </row>
    <row r="159" spans="1:1" x14ac:dyDescent="0.25">
      <c r="A159" s="6" t="s">
        <v>423</v>
      </c>
    </row>
    <row r="160" spans="1:1" x14ac:dyDescent="0.25">
      <c r="A160" s="6" t="s">
        <v>424</v>
      </c>
    </row>
    <row r="161" spans="1:1" x14ac:dyDescent="0.25">
      <c r="A161" s="6" t="s">
        <v>425</v>
      </c>
    </row>
    <row r="162" spans="1:1" x14ac:dyDescent="0.25">
      <c r="A162" s="6" t="s">
        <v>426</v>
      </c>
    </row>
    <row r="163" spans="1:1" x14ac:dyDescent="0.25">
      <c r="A163" s="6" t="s">
        <v>427</v>
      </c>
    </row>
    <row r="164" spans="1:1" x14ac:dyDescent="0.25">
      <c r="A164" s="6" t="s">
        <v>428</v>
      </c>
    </row>
    <row r="165" spans="1:1" x14ac:dyDescent="0.25">
      <c r="A165" s="6" t="s">
        <v>429</v>
      </c>
    </row>
    <row r="166" spans="1:1" x14ac:dyDescent="0.25">
      <c r="A166" s="6" t="s">
        <v>430</v>
      </c>
    </row>
    <row r="167" spans="1:1" x14ac:dyDescent="0.25">
      <c r="A167" s="6" t="s">
        <v>431</v>
      </c>
    </row>
    <row r="168" spans="1:1" x14ac:dyDescent="0.25">
      <c r="A168" s="6" t="s">
        <v>432</v>
      </c>
    </row>
    <row r="169" spans="1:1" x14ac:dyDescent="0.25">
      <c r="A169" s="6" t="s">
        <v>433</v>
      </c>
    </row>
    <row r="170" spans="1:1" x14ac:dyDescent="0.25">
      <c r="A170" s="6" t="s">
        <v>434</v>
      </c>
    </row>
    <row r="171" spans="1:1" x14ac:dyDescent="0.25">
      <c r="A171" s="6" t="s">
        <v>435</v>
      </c>
    </row>
    <row r="172" spans="1:1" x14ac:dyDescent="0.25">
      <c r="A172" s="6" t="s">
        <v>436</v>
      </c>
    </row>
    <row r="173" spans="1:1" x14ac:dyDescent="0.25">
      <c r="A173" s="6" t="s">
        <v>437</v>
      </c>
    </row>
    <row r="174" spans="1:1" x14ac:dyDescent="0.25">
      <c r="A174" s="6" t="s">
        <v>438</v>
      </c>
    </row>
    <row r="175" spans="1:1" x14ac:dyDescent="0.25">
      <c r="A175" s="6" t="s">
        <v>439</v>
      </c>
    </row>
    <row r="176" spans="1:1" x14ac:dyDescent="0.25">
      <c r="A176" s="6" t="s">
        <v>440</v>
      </c>
    </row>
    <row r="177" spans="1:1" x14ac:dyDescent="0.25">
      <c r="A177" s="6" t="s">
        <v>441</v>
      </c>
    </row>
    <row r="178" spans="1:1" x14ac:dyDescent="0.25">
      <c r="A178" s="6" t="s">
        <v>442</v>
      </c>
    </row>
    <row r="179" spans="1:1" x14ac:dyDescent="0.25">
      <c r="A179" s="6" t="s">
        <v>443</v>
      </c>
    </row>
    <row r="180" spans="1:1" x14ac:dyDescent="0.25">
      <c r="A180" s="6" t="s">
        <v>444</v>
      </c>
    </row>
    <row r="181" spans="1:1" x14ac:dyDescent="0.25">
      <c r="A181" s="6" t="s">
        <v>445</v>
      </c>
    </row>
    <row r="182" spans="1:1" x14ac:dyDescent="0.25">
      <c r="A182" s="6" t="s">
        <v>446</v>
      </c>
    </row>
    <row r="183" spans="1:1" x14ac:dyDescent="0.25">
      <c r="A183" s="6" t="s">
        <v>447</v>
      </c>
    </row>
    <row r="184" spans="1:1" x14ac:dyDescent="0.25">
      <c r="A184" s="6" t="s">
        <v>448</v>
      </c>
    </row>
    <row r="185" spans="1:1" x14ac:dyDescent="0.25">
      <c r="A185" s="6" t="s">
        <v>449</v>
      </c>
    </row>
    <row r="186" spans="1:1" x14ac:dyDescent="0.25">
      <c r="A186" s="6" t="s">
        <v>450</v>
      </c>
    </row>
    <row r="187" spans="1:1" x14ac:dyDescent="0.25">
      <c r="A187" s="6" t="s">
        <v>451</v>
      </c>
    </row>
    <row r="188" spans="1:1" x14ac:dyDescent="0.25">
      <c r="A188" s="6" t="s">
        <v>452</v>
      </c>
    </row>
    <row r="189" spans="1:1" x14ac:dyDescent="0.25">
      <c r="A189" s="6" t="s">
        <v>453</v>
      </c>
    </row>
    <row r="190" spans="1:1" x14ac:dyDescent="0.25">
      <c r="A190" s="6" t="s">
        <v>454</v>
      </c>
    </row>
    <row r="191" spans="1:1" x14ac:dyDescent="0.25">
      <c r="A191" s="6" t="s">
        <v>455</v>
      </c>
    </row>
    <row r="192" spans="1:1" x14ac:dyDescent="0.25">
      <c r="A192" s="6" t="s">
        <v>456</v>
      </c>
    </row>
    <row r="193" spans="1:1" x14ac:dyDescent="0.25">
      <c r="A193" s="6" t="s">
        <v>457</v>
      </c>
    </row>
    <row r="194" spans="1:1" x14ac:dyDescent="0.25">
      <c r="A194" s="6" t="s">
        <v>458</v>
      </c>
    </row>
    <row r="195" spans="1:1" x14ac:dyDescent="0.25">
      <c r="A195" s="6" t="s">
        <v>459</v>
      </c>
    </row>
    <row r="196" spans="1:1" x14ac:dyDescent="0.25">
      <c r="A196" s="6" t="s">
        <v>460</v>
      </c>
    </row>
    <row r="197" spans="1:1" x14ac:dyDescent="0.25">
      <c r="A197" s="6" t="s">
        <v>461</v>
      </c>
    </row>
    <row r="198" spans="1:1" x14ac:dyDescent="0.25">
      <c r="A198" s="6" t="s">
        <v>462</v>
      </c>
    </row>
    <row r="199" spans="1:1" x14ac:dyDescent="0.25">
      <c r="A199" s="6" t="s">
        <v>463</v>
      </c>
    </row>
    <row r="200" spans="1:1" x14ac:dyDescent="0.25">
      <c r="A200" s="6" t="s">
        <v>464</v>
      </c>
    </row>
    <row r="201" spans="1:1" x14ac:dyDescent="0.25">
      <c r="A201" s="6" t="s">
        <v>465</v>
      </c>
    </row>
    <row r="202" spans="1:1" x14ac:dyDescent="0.25">
      <c r="A202" s="6" t="s">
        <v>466</v>
      </c>
    </row>
    <row r="203" spans="1:1" x14ac:dyDescent="0.25">
      <c r="A203" s="6" t="s">
        <v>467</v>
      </c>
    </row>
    <row r="204" spans="1:1" x14ac:dyDescent="0.25">
      <c r="A204" s="6" t="s">
        <v>468</v>
      </c>
    </row>
    <row r="205" spans="1:1" x14ac:dyDescent="0.25">
      <c r="A205" s="6" t="s">
        <v>469</v>
      </c>
    </row>
    <row r="206" spans="1:1" x14ac:dyDescent="0.25">
      <c r="A206" s="6" t="s">
        <v>470</v>
      </c>
    </row>
    <row r="207" spans="1:1" x14ac:dyDescent="0.25">
      <c r="A207" s="6" t="s">
        <v>471</v>
      </c>
    </row>
    <row r="208" spans="1:1" x14ac:dyDescent="0.25">
      <c r="A208" s="6" t="s">
        <v>472</v>
      </c>
    </row>
    <row r="209" spans="1:1" x14ac:dyDescent="0.25">
      <c r="A209" s="6" t="s">
        <v>473</v>
      </c>
    </row>
    <row r="210" spans="1:1" x14ac:dyDescent="0.25">
      <c r="A210" s="6" t="s">
        <v>474</v>
      </c>
    </row>
    <row r="211" spans="1:1" x14ac:dyDescent="0.25">
      <c r="A211" s="6" t="s">
        <v>475</v>
      </c>
    </row>
    <row r="212" spans="1:1" x14ac:dyDescent="0.25">
      <c r="A212" s="6" t="s">
        <v>476</v>
      </c>
    </row>
    <row r="213" spans="1:1" x14ac:dyDescent="0.25">
      <c r="A213" s="6" t="s">
        <v>477</v>
      </c>
    </row>
    <row r="214" spans="1:1" x14ac:dyDescent="0.25">
      <c r="A214" s="6" t="s">
        <v>478</v>
      </c>
    </row>
    <row r="215" spans="1:1" x14ac:dyDescent="0.25">
      <c r="A215" s="6" t="s">
        <v>479</v>
      </c>
    </row>
    <row r="216" spans="1:1" x14ac:dyDescent="0.25">
      <c r="A216" s="6" t="s">
        <v>480</v>
      </c>
    </row>
    <row r="217" spans="1:1" x14ac:dyDescent="0.25">
      <c r="A217" s="6" t="s">
        <v>481</v>
      </c>
    </row>
    <row r="218" spans="1:1" x14ac:dyDescent="0.25">
      <c r="A218" s="6" t="s">
        <v>482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workbookViewId="0">
      <pane ySplit="2" topLeftCell="A3" activePane="bottomLeft" state="frozen"/>
      <selection pane="bottomLeft" activeCell="C26" sqref="C26"/>
    </sheetView>
  </sheetViews>
  <sheetFormatPr defaultRowHeight="15" x14ac:dyDescent="0.25"/>
  <cols>
    <col min="1" max="1" width="46.28515625" bestFit="1" customWidth="1"/>
    <col min="2" max="2" width="11.5703125" customWidth="1"/>
    <col min="3" max="3" width="13.5703125" bestFit="1" customWidth="1"/>
    <col min="4" max="4" width="13.5703125" customWidth="1"/>
    <col min="5" max="5" width="13.5703125" style="1" customWidth="1"/>
    <col min="6" max="6" width="14.42578125" customWidth="1"/>
    <col min="7" max="7" width="12.42578125" customWidth="1"/>
    <col min="8" max="8" width="15.7109375" customWidth="1"/>
    <col min="9" max="9" width="13.85546875" customWidth="1"/>
    <col min="10" max="10" width="14.85546875" customWidth="1"/>
    <col min="11" max="11" width="12.7109375" customWidth="1"/>
    <col min="12" max="12" width="11.5703125" bestFit="1" customWidth="1"/>
  </cols>
  <sheetData>
    <row r="1" spans="1:12" s="7" customFormat="1" x14ac:dyDescent="0.25">
      <c r="E1" s="21"/>
      <c r="F1" s="7" t="s">
        <v>63</v>
      </c>
      <c r="G1" s="7" t="s">
        <v>62</v>
      </c>
    </row>
    <row r="2" spans="1:12" s="7" customFormat="1" x14ac:dyDescent="0.25">
      <c r="C2" s="7" t="s">
        <v>61</v>
      </c>
      <c r="D2" s="7" t="s">
        <v>60</v>
      </c>
      <c r="E2" s="21" t="s">
        <v>59</v>
      </c>
      <c r="F2" s="7" t="s">
        <v>58</v>
      </c>
      <c r="G2" s="7" t="s">
        <v>58</v>
      </c>
      <c r="H2" s="7" t="s">
        <v>57</v>
      </c>
      <c r="I2" s="7" t="s">
        <v>56</v>
      </c>
      <c r="J2" s="7" t="s">
        <v>55</v>
      </c>
      <c r="K2" s="7" t="s">
        <v>54</v>
      </c>
      <c r="L2" s="7" t="s">
        <v>53</v>
      </c>
    </row>
    <row r="3" spans="1:12" x14ac:dyDescent="0.25">
      <c r="A3" s="7" t="s">
        <v>52</v>
      </c>
    </row>
    <row r="4" spans="1:12" x14ac:dyDescent="0.25">
      <c r="A4" t="s">
        <v>51</v>
      </c>
      <c r="B4" s="20">
        <v>4400.1000000000004</v>
      </c>
      <c r="C4" s="2">
        <v>306955.99</v>
      </c>
      <c r="D4" s="2">
        <v>467316.82</v>
      </c>
      <c r="E4" s="1">
        <v>432014.79</v>
      </c>
      <c r="F4" s="2">
        <v>416400</v>
      </c>
      <c r="G4" s="2"/>
      <c r="H4" s="2">
        <v>460849</v>
      </c>
      <c r="I4" s="2"/>
      <c r="J4" s="2"/>
      <c r="K4" s="2"/>
      <c r="L4" s="2"/>
    </row>
    <row r="5" spans="1:12" x14ac:dyDescent="0.25">
      <c r="A5" t="s">
        <v>50</v>
      </c>
      <c r="B5">
        <v>4400.1099999999997</v>
      </c>
      <c r="C5" s="2">
        <v>223172.46</v>
      </c>
      <c r="D5" s="2">
        <v>225599.75</v>
      </c>
      <c r="E5" s="1">
        <v>266296.55</v>
      </c>
      <c r="F5" s="2">
        <v>219500</v>
      </c>
      <c r="G5" s="2"/>
      <c r="H5" s="2">
        <v>229744</v>
      </c>
      <c r="I5" s="2"/>
      <c r="J5" s="2"/>
      <c r="K5" s="2"/>
      <c r="L5" s="2"/>
    </row>
    <row r="6" spans="1:12" x14ac:dyDescent="0.25">
      <c r="A6" t="s">
        <v>49</v>
      </c>
      <c r="B6">
        <v>4400.12</v>
      </c>
      <c r="C6" s="2">
        <v>486822.47</v>
      </c>
      <c r="D6" s="2">
        <v>497080.64</v>
      </c>
      <c r="E6" s="1">
        <v>556327.23</v>
      </c>
      <c r="F6" s="2">
        <v>569300</v>
      </c>
      <c r="G6" s="2"/>
      <c r="H6" s="2">
        <v>639962</v>
      </c>
      <c r="I6" s="2"/>
      <c r="J6" s="2"/>
      <c r="K6" s="2"/>
      <c r="L6" s="2"/>
    </row>
    <row r="7" spans="1:12" x14ac:dyDescent="0.25">
      <c r="A7" t="s">
        <v>48</v>
      </c>
      <c r="B7">
        <v>4400.13</v>
      </c>
      <c r="C7" s="2">
        <v>7500</v>
      </c>
      <c r="D7" s="2">
        <v>7500</v>
      </c>
      <c r="E7" s="1">
        <v>15000</v>
      </c>
      <c r="F7" s="2">
        <v>7500</v>
      </c>
      <c r="G7" s="2"/>
      <c r="H7" s="2">
        <v>7500</v>
      </c>
      <c r="I7" s="2"/>
      <c r="J7" s="2"/>
      <c r="K7" s="2"/>
      <c r="L7" s="2"/>
    </row>
    <row r="8" spans="1:12" x14ac:dyDescent="0.25">
      <c r="A8" t="s">
        <v>47</v>
      </c>
      <c r="B8">
        <v>4400.1400000000003</v>
      </c>
      <c r="C8" s="2">
        <v>607162.43999999994</v>
      </c>
      <c r="D8" s="2">
        <v>941021.52</v>
      </c>
      <c r="E8" s="1">
        <v>771149.3</v>
      </c>
      <c r="F8" s="2">
        <v>330000</v>
      </c>
      <c r="G8" s="2"/>
      <c r="H8" s="2">
        <v>174035</v>
      </c>
      <c r="I8" s="2"/>
      <c r="J8" s="2"/>
      <c r="K8" s="2"/>
      <c r="L8" s="2"/>
    </row>
    <row r="9" spans="1:12" x14ac:dyDescent="0.25">
      <c r="A9" t="s">
        <v>46</v>
      </c>
      <c r="B9">
        <v>4700.01</v>
      </c>
      <c r="C9" s="2">
        <v>5914.03</v>
      </c>
      <c r="D9" s="2">
        <v>5688.08</v>
      </c>
      <c r="E9" s="1">
        <v>3860.84</v>
      </c>
      <c r="F9" s="2">
        <v>5000</v>
      </c>
      <c r="G9" s="2"/>
      <c r="H9" s="2"/>
      <c r="I9" s="2"/>
      <c r="J9" s="2"/>
      <c r="K9" s="2"/>
      <c r="L9" s="2"/>
    </row>
    <row r="10" spans="1:12" x14ac:dyDescent="0.25">
      <c r="A10" t="s">
        <v>45</v>
      </c>
      <c r="B10">
        <v>4700.21</v>
      </c>
      <c r="C10" s="2">
        <v>-457.23</v>
      </c>
      <c r="D10" s="2">
        <v>-780.3</v>
      </c>
      <c r="E10" s="1">
        <v>0</v>
      </c>
      <c r="F10" s="2">
        <v>-500</v>
      </c>
      <c r="G10" s="2"/>
      <c r="H10" s="2"/>
      <c r="I10" s="2"/>
      <c r="J10" s="2"/>
      <c r="K10" s="2"/>
      <c r="L10" s="2"/>
    </row>
    <row r="11" spans="1:12" x14ac:dyDescent="0.25">
      <c r="A11" t="s">
        <v>44</v>
      </c>
      <c r="B11">
        <v>4850.07</v>
      </c>
      <c r="C11" s="2">
        <v>23004.58</v>
      </c>
      <c r="D11" s="2">
        <v>2246.71</v>
      </c>
      <c r="E11" s="1">
        <v>9584.32</v>
      </c>
      <c r="F11" s="2">
        <v>5000</v>
      </c>
      <c r="G11" s="2"/>
      <c r="H11" s="2"/>
      <c r="I11" s="2"/>
      <c r="J11" s="2"/>
      <c r="K11" s="2"/>
      <c r="L11" s="2"/>
    </row>
    <row r="13" spans="1:12" x14ac:dyDescent="0.25">
      <c r="A13" s="8" t="s">
        <v>43</v>
      </c>
      <c r="B13" s="4"/>
      <c r="C13" s="3">
        <f t="shared" ref="C13:L13" si="0">SUM(C3:C12)</f>
        <v>1660074.74</v>
      </c>
      <c r="D13" s="3">
        <f t="shared" si="0"/>
        <v>2145673.2200000002</v>
      </c>
      <c r="E13" s="3">
        <f t="shared" si="0"/>
        <v>2054233.03</v>
      </c>
      <c r="F13" s="3">
        <f>SUM(F3:F12)</f>
        <v>1552200</v>
      </c>
      <c r="G13" s="3">
        <f t="shared" si="0"/>
        <v>0</v>
      </c>
      <c r="H13" s="3">
        <f t="shared" si="0"/>
        <v>1512090</v>
      </c>
      <c r="I13" s="3">
        <f t="shared" si="0"/>
        <v>0</v>
      </c>
      <c r="J13" s="3">
        <f t="shared" si="0"/>
        <v>0</v>
      </c>
      <c r="K13" s="3">
        <f t="shared" si="0"/>
        <v>0</v>
      </c>
      <c r="L13" s="3">
        <f t="shared" si="0"/>
        <v>0</v>
      </c>
    </row>
    <row r="15" spans="1:12" x14ac:dyDescent="0.25">
      <c r="A15" s="7" t="s">
        <v>42</v>
      </c>
    </row>
    <row r="16" spans="1:12" x14ac:dyDescent="0.25">
      <c r="A16" t="s">
        <v>36</v>
      </c>
      <c r="B16">
        <v>5000.01</v>
      </c>
      <c r="C16" s="2">
        <f>44959.86+318045.64+106143.14+6644.38+7768.55</f>
        <v>483561.57</v>
      </c>
      <c r="D16" s="2">
        <f>46194.75+326122.7+108112.17+6807.81+7949.64</f>
        <v>495187.07</v>
      </c>
      <c r="E16" s="1">
        <f>47950.61+337343.47+112232.04+6834.03+8007.07</f>
        <v>512367.22</v>
      </c>
      <c r="F16" s="1">
        <f>50460+355500+118775+7100+8325</f>
        <v>540160</v>
      </c>
      <c r="G16" s="2">
        <v>540160</v>
      </c>
      <c r="H16" s="2"/>
    </row>
    <row r="17" spans="1:12" x14ac:dyDescent="0.25">
      <c r="A17" t="s">
        <v>41</v>
      </c>
      <c r="B17">
        <v>5000.0200000000004</v>
      </c>
      <c r="C17" s="2">
        <v>0</v>
      </c>
      <c r="D17" s="2">
        <v>0</v>
      </c>
      <c r="E17" s="1">
        <v>0</v>
      </c>
      <c r="F17" s="1"/>
      <c r="G17" s="2"/>
      <c r="H17" s="2"/>
    </row>
    <row r="18" spans="1:12" x14ac:dyDescent="0.25">
      <c r="A18" t="s">
        <v>40</v>
      </c>
      <c r="B18">
        <v>5000.03</v>
      </c>
      <c r="C18" s="2">
        <f>3610.12+1525.49+457.51+463.99</f>
        <v>6057.11</v>
      </c>
      <c r="D18" s="2">
        <f>3373.5+917.32+367.02+394.56</f>
        <v>5052.4000000000005</v>
      </c>
      <c r="E18" s="1">
        <f>4393.39+2036.75+608.92+609</f>
        <v>7648.06</v>
      </c>
      <c r="F18" s="1">
        <f>6280+1605+630+630</f>
        <v>9145</v>
      </c>
      <c r="G18" s="2">
        <v>9145</v>
      </c>
      <c r="H18" s="2"/>
    </row>
    <row r="19" spans="1:12" x14ac:dyDescent="0.25">
      <c r="A19" t="s">
        <v>64</v>
      </c>
      <c r="B19">
        <v>5000.0600000000004</v>
      </c>
      <c r="C19" s="2">
        <f>101.88+44.3+0.24</f>
        <v>146.42000000000002</v>
      </c>
      <c r="D19" s="2">
        <f>207.34+102.15</f>
        <v>309.49</v>
      </c>
      <c r="E19" s="1">
        <f>195.51+96.33</f>
        <v>291.83999999999997</v>
      </c>
      <c r="F19" s="1">
        <f>250+150</f>
        <v>400</v>
      </c>
      <c r="G19" s="2">
        <v>400</v>
      </c>
      <c r="H19" s="2"/>
    </row>
    <row r="20" spans="1:12" x14ac:dyDescent="0.25">
      <c r="A20" t="s">
        <v>39</v>
      </c>
      <c r="B20">
        <v>5000.07</v>
      </c>
      <c r="C20" s="2">
        <v>0</v>
      </c>
      <c r="D20" s="2">
        <v>0</v>
      </c>
      <c r="E20" s="1">
        <v>0</v>
      </c>
      <c r="F20" s="1"/>
      <c r="G20" s="2"/>
      <c r="H20" s="2"/>
    </row>
    <row r="21" spans="1:12" x14ac:dyDescent="0.25">
      <c r="A21" t="s">
        <v>38</v>
      </c>
      <c r="B21">
        <v>5000.08</v>
      </c>
      <c r="C21" s="2">
        <f>4321.98+1750.08+108.72+108.72</f>
        <v>6289.5</v>
      </c>
      <c r="D21" s="2">
        <f>5376.27+1779.19+108.72+127.52</f>
        <v>7391.7000000000016</v>
      </c>
      <c r="E21" s="1">
        <f>5554.03+1842.95+111.7+131.02</f>
        <v>7639.7</v>
      </c>
      <c r="F21" s="1">
        <f>5795+1930+120+140</f>
        <v>7985</v>
      </c>
      <c r="G21" s="2">
        <v>7985</v>
      </c>
      <c r="H21" s="2"/>
    </row>
    <row r="22" spans="1:12" x14ac:dyDescent="0.25">
      <c r="A22" t="s">
        <v>37</v>
      </c>
      <c r="B22" s="20">
        <v>5000.1000000000004</v>
      </c>
      <c r="C22" s="2">
        <f>(802.8+2107.01)*-1</f>
        <v>-2909.8100000000004</v>
      </c>
      <c r="D22" s="2">
        <f>(802.8+2274.48)*-1</f>
        <v>-3077.2799999999997</v>
      </c>
      <c r="E22" s="2">
        <f>(824.64+2337.12)*-1</f>
        <v>-3161.7599999999998</v>
      </c>
      <c r="F22" s="1">
        <v>0</v>
      </c>
      <c r="G22" s="2"/>
      <c r="H22" s="2"/>
    </row>
    <row r="23" spans="1:12" x14ac:dyDescent="0.25">
      <c r="A23" t="s">
        <v>76</v>
      </c>
      <c r="B23" s="20">
        <v>5000.1099999999997</v>
      </c>
      <c r="C23" s="2">
        <v>0</v>
      </c>
      <c r="D23" s="2">
        <v>0</v>
      </c>
      <c r="E23" s="2">
        <f>420.01+206.87</f>
        <v>626.88</v>
      </c>
      <c r="F23" s="2"/>
      <c r="G23" s="2"/>
      <c r="H23" s="2"/>
    </row>
    <row r="24" spans="1:12" x14ac:dyDescent="0.25">
      <c r="A24" s="4" t="s">
        <v>36</v>
      </c>
      <c r="B24" s="4"/>
      <c r="C24" s="3">
        <f>SUM(C16:C23)</f>
        <v>493144.79</v>
      </c>
      <c r="D24" s="3">
        <f>SUM(D16:D23)</f>
        <v>504863.38</v>
      </c>
      <c r="E24" s="3">
        <f>SUM(E16:E23)</f>
        <v>525411.93999999994</v>
      </c>
      <c r="F24" s="3">
        <f t="shared" ref="F24:L24" si="1">SUM(F16:F22)</f>
        <v>557690</v>
      </c>
      <c r="G24" s="3">
        <f t="shared" si="1"/>
        <v>557690</v>
      </c>
      <c r="H24" s="3">
        <f t="shared" si="1"/>
        <v>0</v>
      </c>
      <c r="I24" s="3">
        <f t="shared" si="1"/>
        <v>0</v>
      </c>
      <c r="J24" s="3">
        <f t="shared" si="1"/>
        <v>0</v>
      </c>
      <c r="K24" s="3">
        <f t="shared" si="1"/>
        <v>0</v>
      </c>
      <c r="L24" s="3">
        <f t="shared" si="1"/>
        <v>0</v>
      </c>
    </row>
    <row r="25" spans="1:12" x14ac:dyDescent="0.25">
      <c r="A25" s="15"/>
      <c r="B25" s="15"/>
      <c r="C25" s="16"/>
      <c r="D25" s="16"/>
      <c r="E25" s="10"/>
      <c r="F25" s="16"/>
      <c r="G25" s="16"/>
      <c r="H25" s="16"/>
      <c r="I25" s="16"/>
      <c r="J25" s="16"/>
      <c r="K25" s="16"/>
      <c r="L25" s="16"/>
    </row>
    <row r="26" spans="1:12" x14ac:dyDescent="0.25">
      <c r="A26" t="s">
        <v>35</v>
      </c>
      <c r="B26">
        <v>5100.01</v>
      </c>
      <c r="C26" s="2">
        <f>10622.63+73003.73+25650.35+1586.76+1857</f>
        <v>112720.46999999999</v>
      </c>
      <c r="D26" s="2">
        <f>11367.37+79073.59+27441.04+1704.26+1999.34</f>
        <v>121585.59999999999</v>
      </c>
      <c r="E26" s="1">
        <f>13397.87+91955+31881.28+1957.87+2296.84</f>
        <v>141488.85999999999</v>
      </c>
      <c r="F26" s="16">
        <f>15025+102565+35430+2150+2520</f>
        <v>157690</v>
      </c>
      <c r="G26" s="2">
        <v>157690</v>
      </c>
      <c r="H26" s="2"/>
    </row>
    <row r="27" spans="1:12" x14ac:dyDescent="0.25">
      <c r="A27" t="s">
        <v>34</v>
      </c>
      <c r="B27">
        <v>5100.0200000000004</v>
      </c>
      <c r="C27" s="2">
        <f>14251.5+93687.19+29203.25+1843.71+2006.23</f>
        <v>140991.88</v>
      </c>
      <c r="D27" s="2">
        <f>11908+84945.09+22658.8+1847.72+2077.87</f>
        <v>123437.48</v>
      </c>
      <c r="E27" s="1">
        <f>14335.5+68440.72+16222.82+1852+2048.2</f>
        <v>102899.24</v>
      </c>
      <c r="F27" s="16">
        <f>14390+40400+15525+1860+2025</f>
        <v>74200</v>
      </c>
      <c r="G27" s="2">
        <v>74200</v>
      </c>
      <c r="H27" s="2"/>
    </row>
    <row r="28" spans="1:12" x14ac:dyDescent="0.25">
      <c r="A28" t="s">
        <v>33</v>
      </c>
      <c r="B28">
        <v>5100.03</v>
      </c>
      <c r="C28" s="2">
        <f>1404.61+7145.94+2468.71+128.85+157.04</f>
        <v>11305.15</v>
      </c>
      <c r="D28" s="2">
        <f>1520.73+7601.37+2605.53+139.95+170.37</f>
        <v>12037.950000000003</v>
      </c>
      <c r="E28" s="1">
        <f>1602.09+8067.13+2774.26+148.22+180.23</f>
        <v>12771.929999999998</v>
      </c>
      <c r="F28" s="16">
        <f>1635+8315+2875+155+185</f>
        <v>13165</v>
      </c>
      <c r="G28" s="2">
        <v>13165</v>
      </c>
      <c r="H28" s="2"/>
    </row>
    <row r="29" spans="1:12" x14ac:dyDescent="0.25">
      <c r="A29" t="s">
        <v>32</v>
      </c>
      <c r="B29">
        <v>5100.04</v>
      </c>
      <c r="C29" s="2">
        <f>232.65+1258.01+445.47+23.25+27.84</f>
        <v>1987.22</v>
      </c>
      <c r="D29" s="2">
        <f>236.74+1254.4+440.06+23.58+28.29</f>
        <v>1983.07</v>
      </c>
      <c r="E29" s="1">
        <f>215.98+1109.02+389.27+20.55+24.69</f>
        <v>1759.51</v>
      </c>
      <c r="F29" s="16">
        <f>240+1290+455+25+30</f>
        <v>2040</v>
      </c>
      <c r="G29" s="2">
        <v>2040</v>
      </c>
      <c r="H29" s="2"/>
    </row>
    <row r="30" spans="1:12" x14ac:dyDescent="0.25">
      <c r="A30" t="s">
        <v>31</v>
      </c>
      <c r="B30">
        <v>5100.05</v>
      </c>
      <c r="C30" s="2">
        <f>20.16+580+193.16+12.1+14.27</f>
        <v>819.68999999999994</v>
      </c>
      <c r="D30" s="2">
        <f>22.56+680.36+221.47+13.68+16.07</f>
        <v>954.14</v>
      </c>
      <c r="E30" s="1">
        <f>22.56+694.93+226.19+13.98+16.38</f>
        <v>974.03999999999985</v>
      </c>
      <c r="F30" s="16">
        <f>25+710+235+15+20</f>
        <v>1005</v>
      </c>
      <c r="G30" s="2">
        <v>1005</v>
      </c>
      <c r="H30" s="2"/>
    </row>
    <row r="31" spans="1:12" x14ac:dyDescent="0.25">
      <c r="A31" t="s">
        <v>30</v>
      </c>
      <c r="B31">
        <v>5100.0600000000004</v>
      </c>
      <c r="C31" s="2">
        <f>8000</f>
        <v>8000</v>
      </c>
      <c r="D31" s="2">
        <f>9000+2600+200+200</f>
        <v>12000</v>
      </c>
      <c r="E31" s="1">
        <f>1500+10810+3550+230+260</f>
        <v>16350</v>
      </c>
      <c r="F31" s="16">
        <f>1400+10010+3310+210+240</f>
        <v>15170</v>
      </c>
      <c r="G31" s="2">
        <v>15170</v>
      </c>
      <c r="H31" s="2"/>
    </row>
    <row r="32" spans="1:12" x14ac:dyDescent="0.25">
      <c r="A32" t="s">
        <v>29</v>
      </c>
      <c r="B32">
        <v>5100.07</v>
      </c>
      <c r="C32" s="2">
        <f>158.89+1291.25+411.57+25.46+29.86</f>
        <v>1917.0299999999997</v>
      </c>
      <c r="D32" s="2">
        <f>184.09+1463.57+466.87+28.75+33.72</f>
        <v>2176.9999999999995</v>
      </c>
      <c r="E32" s="1">
        <f>195.67+1551.75+500.25+30.32+35.58</f>
        <v>2313.5700000000002</v>
      </c>
      <c r="F32" s="16">
        <f>280+2225+735+45+55</f>
        <v>3340</v>
      </c>
      <c r="G32" s="2">
        <v>3340</v>
      </c>
      <c r="H32" s="2"/>
    </row>
    <row r="33" spans="1:16" x14ac:dyDescent="0.25">
      <c r="A33" t="s">
        <v>28</v>
      </c>
      <c r="B33">
        <v>5100.08</v>
      </c>
      <c r="C33" s="2">
        <f>1348.86+13948.6+4760.11+194.76+228.48</f>
        <v>20480.809999999998</v>
      </c>
      <c r="D33" s="2">
        <f>1360.39+14869.63+5203.07+197.22+231.42</f>
        <v>21861.729999999996</v>
      </c>
      <c r="E33" s="1">
        <f>1438.49+17626.53+6533.88+203.48+238.66</f>
        <v>26041.040000000001</v>
      </c>
      <c r="F33" s="16">
        <f>1505+18350+6855+215+250</f>
        <v>27175</v>
      </c>
      <c r="G33" s="2">
        <v>27175</v>
      </c>
      <c r="H33" s="2"/>
    </row>
    <row r="34" spans="1:16" x14ac:dyDescent="0.25">
      <c r="A34" t="s">
        <v>65</v>
      </c>
      <c r="B34" s="20">
        <v>5100.1000000000004</v>
      </c>
      <c r="C34" s="2">
        <f>150+732+285+15+18</f>
        <v>1200</v>
      </c>
      <c r="D34" s="2">
        <f>150+732+285+15+18</f>
        <v>1200</v>
      </c>
      <c r="E34" s="1">
        <f>150+732+285+15+18</f>
        <v>1200</v>
      </c>
      <c r="F34" s="16">
        <f>150+735+290+15+20</f>
        <v>1210</v>
      </c>
      <c r="G34" s="2">
        <v>1210</v>
      </c>
      <c r="H34" s="2"/>
    </row>
    <row r="35" spans="1:16" x14ac:dyDescent="0.25">
      <c r="A35" t="s">
        <v>27</v>
      </c>
      <c r="B35">
        <v>5100.1099999999997</v>
      </c>
      <c r="C35" s="2">
        <f>662.03+4387.46+1399.98+107.57+124.44</f>
        <v>6681.4799999999987</v>
      </c>
      <c r="D35" s="2">
        <f>686.72+4554.18+1437.56+108.9+126.52</f>
        <v>6913.880000000001</v>
      </c>
      <c r="E35" s="1">
        <f>706.36+4734.49+1514.59+112.75+130.64</f>
        <v>7198.83</v>
      </c>
      <c r="F35" s="16">
        <f>735+4810+1520+120+140</f>
        <v>7325</v>
      </c>
      <c r="G35" s="2">
        <v>1325</v>
      </c>
      <c r="H35" s="2"/>
      <c r="P35">
        <v>12380</v>
      </c>
    </row>
    <row r="36" spans="1:16" x14ac:dyDescent="0.25">
      <c r="A36" t="s">
        <v>26</v>
      </c>
      <c r="B36">
        <v>5100.12</v>
      </c>
      <c r="C36" s="2">
        <f>370.28+110.67+1.75+2.1</f>
        <v>484.8</v>
      </c>
      <c r="D36" s="2">
        <f>511.32+193.68+1.2</f>
        <v>706.2</v>
      </c>
      <c r="E36" s="1">
        <f>365.67+178.23</f>
        <v>543.9</v>
      </c>
      <c r="F36" s="16">
        <f>500+225</f>
        <v>725</v>
      </c>
      <c r="G36" s="2">
        <v>725</v>
      </c>
      <c r="H36" s="2"/>
      <c r="P36">
        <v>9000</v>
      </c>
    </row>
    <row r="37" spans="1:16" x14ac:dyDescent="0.25">
      <c r="A37" t="s">
        <v>25</v>
      </c>
      <c r="B37">
        <v>5100.1499999999996</v>
      </c>
      <c r="C37" s="2">
        <f>534</f>
        <v>534</v>
      </c>
      <c r="D37" s="2">
        <f>534</f>
        <v>534</v>
      </c>
      <c r="E37" s="1">
        <f>534</f>
        <v>534</v>
      </c>
      <c r="F37" s="16">
        <f>535</f>
        <v>535</v>
      </c>
      <c r="G37" s="2">
        <v>535</v>
      </c>
      <c r="H37" s="2"/>
      <c r="P37">
        <v>25000</v>
      </c>
    </row>
    <row r="38" spans="1:16" x14ac:dyDescent="0.25">
      <c r="A38" t="s">
        <v>24</v>
      </c>
      <c r="B38">
        <v>5100.17</v>
      </c>
      <c r="C38" s="2">
        <v>0</v>
      </c>
      <c r="D38" s="2">
        <v>0</v>
      </c>
      <c r="F38" s="16">
        <v>25355</v>
      </c>
      <c r="G38" s="2">
        <v>25355</v>
      </c>
      <c r="H38" s="2"/>
      <c r="I38" s="2"/>
      <c r="J38" s="2"/>
      <c r="K38" s="2"/>
      <c r="L38" s="2"/>
      <c r="P38">
        <v>5000</v>
      </c>
    </row>
    <row r="39" spans="1:16" x14ac:dyDescent="0.25">
      <c r="A39" s="4" t="s">
        <v>23</v>
      </c>
      <c r="B39" s="4"/>
      <c r="C39" s="3">
        <f t="shared" ref="C39:L39" si="2">SUM(C26:C38)</f>
        <v>307122.52999999997</v>
      </c>
      <c r="D39" s="3">
        <f t="shared" si="2"/>
        <v>305391.05</v>
      </c>
      <c r="E39" s="3">
        <f t="shared" si="2"/>
        <v>314074.92</v>
      </c>
      <c r="F39" s="3">
        <f t="shared" si="2"/>
        <v>328935</v>
      </c>
      <c r="G39" s="3">
        <f t="shared" si="2"/>
        <v>322935</v>
      </c>
      <c r="H39" s="3">
        <f t="shared" si="2"/>
        <v>0</v>
      </c>
      <c r="I39" s="3">
        <f t="shared" si="2"/>
        <v>0</v>
      </c>
      <c r="J39" s="3">
        <f t="shared" si="2"/>
        <v>0</v>
      </c>
      <c r="K39" s="3">
        <f t="shared" si="2"/>
        <v>0</v>
      </c>
      <c r="L39" s="3">
        <f t="shared" si="2"/>
        <v>0</v>
      </c>
      <c r="P39">
        <v>0</v>
      </c>
    </row>
    <row r="40" spans="1:16" x14ac:dyDescent="0.25">
      <c r="A40" s="17"/>
      <c r="B40" s="17"/>
      <c r="C40" s="18"/>
      <c r="D40" s="18"/>
      <c r="E40" s="19"/>
      <c r="F40" s="18"/>
      <c r="G40" s="18"/>
      <c r="H40" s="18"/>
      <c r="I40" s="17"/>
      <c r="J40" s="17"/>
      <c r="K40" s="17"/>
      <c r="L40" s="17"/>
      <c r="P40">
        <v>0</v>
      </c>
    </row>
    <row r="41" spans="1:16" x14ac:dyDescent="0.25">
      <c r="A41" s="11" t="s">
        <v>22</v>
      </c>
      <c r="B41" s="11" t="s">
        <v>66</v>
      </c>
      <c r="C41" s="10">
        <f>3564.34</f>
        <v>3564.34</v>
      </c>
      <c r="D41" s="10">
        <f>3623.82</f>
        <v>3623.82</v>
      </c>
      <c r="E41" s="10">
        <f>47417.55</f>
        <v>47417.55</v>
      </c>
      <c r="F41" s="16">
        <f>63200</f>
        <v>63200</v>
      </c>
      <c r="G41" s="16">
        <v>63200</v>
      </c>
      <c r="H41" s="16"/>
      <c r="I41" s="15"/>
      <c r="J41" s="15"/>
      <c r="K41" s="15"/>
      <c r="L41" s="15"/>
    </row>
    <row r="42" spans="1:16" x14ac:dyDescent="0.25">
      <c r="A42" s="11" t="s">
        <v>21</v>
      </c>
      <c r="B42" s="15" t="s">
        <v>20</v>
      </c>
      <c r="C42" s="10">
        <v>0</v>
      </c>
      <c r="D42" s="10">
        <v>0</v>
      </c>
      <c r="E42" s="10">
        <v>0</v>
      </c>
      <c r="F42" s="16">
        <v>0</v>
      </c>
      <c r="G42" s="16">
        <v>0</v>
      </c>
      <c r="H42" s="16"/>
      <c r="I42" s="15"/>
      <c r="J42" s="15"/>
      <c r="K42" s="15"/>
      <c r="L42" s="15"/>
    </row>
    <row r="43" spans="1:16" x14ac:dyDescent="0.25">
      <c r="A43" s="11" t="s">
        <v>19</v>
      </c>
      <c r="B43" s="15" t="s">
        <v>18</v>
      </c>
      <c r="C43" s="10">
        <f>29324</f>
        <v>29324</v>
      </c>
      <c r="D43" s="10">
        <f>36563.3</f>
        <v>36563.300000000003</v>
      </c>
      <c r="E43" s="10">
        <f>30443.42</f>
        <v>30443.42</v>
      </c>
      <c r="F43" s="16">
        <f>38200</f>
        <v>38200</v>
      </c>
      <c r="G43" s="16">
        <v>38200</v>
      </c>
      <c r="H43" s="16"/>
      <c r="I43" s="15"/>
      <c r="J43" s="15"/>
      <c r="K43" s="15"/>
      <c r="L43" s="15"/>
    </row>
    <row r="44" spans="1:16" x14ac:dyDescent="0.25">
      <c r="A44" s="11" t="s">
        <v>67</v>
      </c>
      <c r="B44" s="11" t="s">
        <v>68</v>
      </c>
      <c r="C44" s="10">
        <f>34633.97+8860.84</f>
        <v>43494.81</v>
      </c>
      <c r="D44" s="10">
        <f>41118.91+4807.39</f>
        <v>45926.3</v>
      </c>
      <c r="E44" s="10">
        <f>22426.24+2078.16</f>
        <v>24504.400000000001</v>
      </c>
      <c r="F44" s="16">
        <f>43500+5000</f>
        <v>48500</v>
      </c>
      <c r="G44" s="16">
        <v>48500</v>
      </c>
      <c r="H44" s="16"/>
      <c r="I44" s="15"/>
      <c r="J44" s="15"/>
      <c r="K44" s="15"/>
      <c r="L44" s="15"/>
    </row>
    <row r="45" spans="1:16" x14ac:dyDescent="0.25">
      <c r="A45" s="11" t="s">
        <v>17</v>
      </c>
      <c r="B45" s="15">
        <v>6300.01</v>
      </c>
      <c r="C45" s="10">
        <f>99</f>
        <v>99</v>
      </c>
      <c r="D45" s="10">
        <f>41</f>
        <v>41</v>
      </c>
      <c r="E45" s="10">
        <v>0</v>
      </c>
      <c r="F45" s="16">
        <v>200</v>
      </c>
      <c r="G45" s="16">
        <v>200</v>
      </c>
      <c r="H45" s="16"/>
      <c r="I45" s="15"/>
      <c r="J45" s="15"/>
      <c r="K45" s="15"/>
      <c r="L45" s="15"/>
    </row>
    <row r="46" spans="1:16" x14ac:dyDescent="0.25">
      <c r="A46" s="11" t="s">
        <v>16</v>
      </c>
      <c r="B46" t="s">
        <v>70</v>
      </c>
      <c r="C46" s="10">
        <f>176699.75+132140.49</f>
        <v>308840.24</v>
      </c>
      <c r="D46" s="10">
        <f>145744.04+209894.82</f>
        <v>355638.86</v>
      </c>
      <c r="E46" s="1">
        <f>82435.5+110618.62</f>
        <v>193054.12</v>
      </c>
      <c r="F46" s="16">
        <f>150000+265000</f>
        <v>415000</v>
      </c>
      <c r="G46" s="2">
        <v>415000</v>
      </c>
      <c r="H46" s="2"/>
    </row>
    <row r="47" spans="1:16" x14ac:dyDescent="0.25">
      <c r="A47" s="11" t="s">
        <v>69</v>
      </c>
      <c r="B47">
        <v>6375.19</v>
      </c>
      <c r="C47" s="10">
        <v>15141.89</v>
      </c>
      <c r="D47" s="10">
        <f>9987</f>
        <v>9987</v>
      </c>
      <c r="E47" s="1">
        <f>9208.22</f>
        <v>9208.2199999999993</v>
      </c>
      <c r="F47" s="16">
        <f>22000</f>
        <v>22000</v>
      </c>
      <c r="G47" s="2">
        <v>22000</v>
      </c>
      <c r="H47" s="2"/>
    </row>
    <row r="48" spans="1:16" x14ac:dyDescent="0.25">
      <c r="A48" s="11" t="s">
        <v>15</v>
      </c>
      <c r="B48" s="12" t="s">
        <v>74</v>
      </c>
      <c r="C48" s="14">
        <f>17061.31+3059.54+65552.97+9388.73</f>
        <v>95062.55</v>
      </c>
      <c r="D48" s="10">
        <f>10735.6+6618.92+21336.69+15123.55</f>
        <v>53814.759999999995</v>
      </c>
      <c r="E48" s="13">
        <f>18594.21+2461.86+117146.01+5393.41</f>
        <v>143595.49</v>
      </c>
      <c r="F48" s="16">
        <f>20000+9000+142590+25000</f>
        <v>196590</v>
      </c>
      <c r="G48" s="13">
        <v>196590</v>
      </c>
      <c r="K48" s="12"/>
    </row>
    <row r="49" spans="1:12" x14ac:dyDescent="0.25">
      <c r="A49" s="25" t="s">
        <v>77</v>
      </c>
      <c r="B49" s="26">
        <v>6410.02</v>
      </c>
      <c r="C49" s="27"/>
      <c r="D49" s="27"/>
      <c r="E49" s="28"/>
      <c r="F49" s="29"/>
      <c r="G49" s="28"/>
      <c r="H49" s="28">
        <v>219038</v>
      </c>
      <c r="K49" s="12"/>
    </row>
    <row r="50" spans="1:12" x14ac:dyDescent="0.25">
      <c r="A50" s="11" t="s">
        <v>71</v>
      </c>
      <c r="B50" s="12">
        <v>6410.07</v>
      </c>
      <c r="C50" s="14">
        <v>0</v>
      </c>
      <c r="D50" s="10">
        <v>0</v>
      </c>
      <c r="E50" s="13">
        <f>196.06</f>
        <v>196.06</v>
      </c>
      <c r="F50" s="16">
        <f>670000</f>
        <v>670000</v>
      </c>
      <c r="G50" s="13">
        <v>670000</v>
      </c>
      <c r="K50" s="12"/>
    </row>
    <row r="51" spans="1:12" x14ac:dyDescent="0.25">
      <c r="A51" s="11" t="s">
        <v>14</v>
      </c>
      <c r="B51">
        <v>6500.04</v>
      </c>
      <c r="C51" s="10">
        <f>10000</f>
        <v>10000</v>
      </c>
      <c r="D51" s="10">
        <f>10750</f>
        <v>10750</v>
      </c>
      <c r="E51" s="1">
        <f>13480</f>
        <v>13480</v>
      </c>
      <c r="F51" s="16">
        <f>15900</f>
        <v>15900</v>
      </c>
      <c r="G51" s="1">
        <v>15900</v>
      </c>
      <c r="H51" s="1"/>
    </row>
    <row r="52" spans="1:12" x14ac:dyDescent="0.25">
      <c r="A52" s="11" t="s">
        <v>13</v>
      </c>
      <c r="B52" t="s">
        <v>75</v>
      </c>
      <c r="C52" s="10">
        <f>26800</f>
        <v>26800</v>
      </c>
      <c r="D52" s="10">
        <f>30980</f>
        <v>30980</v>
      </c>
      <c r="E52" s="1">
        <f>59096.19</f>
        <v>59096.19</v>
      </c>
      <c r="F52" s="16">
        <f>69060</f>
        <v>69060</v>
      </c>
      <c r="G52" s="1">
        <v>69060</v>
      </c>
      <c r="H52" s="1"/>
    </row>
    <row r="53" spans="1:12" x14ac:dyDescent="0.25">
      <c r="A53" s="9" t="s">
        <v>12</v>
      </c>
      <c r="B53" s="4"/>
      <c r="C53" s="5">
        <f t="shared" ref="C53:L53" si="3">SUM(C41:C52)</f>
        <v>532326.83000000007</v>
      </c>
      <c r="D53" s="5">
        <f t="shared" si="3"/>
        <v>547325.04</v>
      </c>
      <c r="E53" s="5">
        <f t="shared" si="3"/>
        <v>520995.44999999995</v>
      </c>
      <c r="F53" s="5">
        <f t="shared" si="3"/>
        <v>1538650</v>
      </c>
      <c r="G53" s="5">
        <f t="shared" si="3"/>
        <v>1538650</v>
      </c>
      <c r="H53" s="5">
        <f t="shared" si="3"/>
        <v>219038</v>
      </c>
      <c r="I53" s="5">
        <f t="shared" si="3"/>
        <v>0</v>
      </c>
      <c r="J53" s="5">
        <f t="shared" si="3"/>
        <v>0</v>
      </c>
      <c r="K53" s="5">
        <f t="shared" si="3"/>
        <v>0</v>
      </c>
      <c r="L53" s="5">
        <f t="shared" si="3"/>
        <v>0</v>
      </c>
    </row>
    <row r="54" spans="1:12" x14ac:dyDescent="0.25">
      <c r="A54" s="8" t="s">
        <v>11</v>
      </c>
      <c r="B54" s="4"/>
      <c r="C54" s="5">
        <f t="shared" ref="C54:L54" si="4">C24+C39+C53</f>
        <v>1332594.1499999999</v>
      </c>
      <c r="D54" s="5">
        <f t="shared" si="4"/>
        <v>1357579.47</v>
      </c>
      <c r="E54" s="5">
        <f t="shared" si="4"/>
        <v>1360482.3099999998</v>
      </c>
      <c r="F54" s="5">
        <f t="shared" si="4"/>
        <v>2425275</v>
      </c>
      <c r="G54" s="5">
        <f t="shared" si="4"/>
        <v>2419275</v>
      </c>
      <c r="H54" s="5">
        <f t="shared" si="4"/>
        <v>219038</v>
      </c>
      <c r="I54" s="5">
        <f t="shared" si="4"/>
        <v>0</v>
      </c>
      <c r="J54" s="5">
        <f t="shared" si="4"/>
        <v>0</v>
      </c>
      <c r="K54" s="5">
        <f t="shared" si="4"/>
        <v>0</v>
      </c>
      <c r="L54" s="5">
        <f t="shared" si="4"/>
        <v>0</v>
      </c>
    </row>
    <row r="55" spans="1:12" x14ac:dyDescent="0.25">
      <c r="C55" s="1"/>
      <c r="D55" s="1"/>
      <c r="F55" s="1"/>
      <c r="G55" s="1"/>
      <c r="H55" s="1"/>
    </row>
    <row r="56" spans="1:12" x14ac:dyDescent="0.25">
      <c r="A56" t="s">
        <v>10</v>
      </c>
      <c r="C56" s="1"/>
      <c r="D56" s="1"/>
      <c r="F56" s="1"/>
      <c r="G56" s="1"/>
      <c r="H56" s="1"/>
    </row>
    <row r="57" spans="1:12" x14ac:dyDescent="0.25">
      <c r="A57" t="s">
        <v>9</v>
      </c>
      <c r="C57" s="1"/>
      <c r="D57" s="1"/>
      <c r="F57" s="1"/>
      <c r="G57" s="1"/>
      <c r="H57" s="1"/>
      <c r="I57" s="1"/>
      <c r="J57" s="1"/>
      <c r="K57" s="1"/>
      <c r="L57" s="1"/>
    </row>
    <row r="58" spans="1:12" x14ac:dyDescent="0.25">
      <c r="A58" t="s">
        <v>8</v>
      </c>
      <c r="C58" s="1"/>
      <c r="D58" s="1"/>
      <c r="F58" s="1"/>
      <c r="G58" s="1"/>
      <c r="H58" s="1"/>
      <c r="I58" s="1"/>
      <c r="J58" s="1"/>
      <c r="K58" s="1"/>
      <c r="L58" s="1"/>
    </row>
    <row r="59" spans="1:12" x14ac:dyDescent="0.25">
      <c r="A59" s="4"/>
      <c r="B59" s="4"/>
      <c r="C59" s="5">
        <f t="shared" ref="C59:L59" si="5">SUM(C57:C58)</f>
        <v>0</v>
      </c>
      <c r="D59" s="5">
        <f t="shared" si="5"/>
        <v>0</v>
      </c>
      <c r="E59" s="5">
        <f t="shared" si="5"/>
        <v>0</v>
      </c>
      <c r="F59" s="5">
        <f t="shared" si="5"/>
        <v>0</v>
      </c>
      <c r="G59" s="5">
        <f t="shared" si="5"/>
        <v>0</v>
      </c>
      <c r="H59" s="5">
        <f t="shared" si="5"/>
        <v>0</v>
      </c>
      <c r="I59" s="5">
        <f t="shared" si="5"/>
        <v>0</v>
      </c>
      <c r="J59" s="5">
        <f t="shared" si="5"/>
        <v>0</v>
      </c>
      <c r="K59" s="5">
        <f t="shared" si="5"/>
        <v>0</v>
      </c>
      <c r="L59" s="5">
        <f t="shared" si="5"/>
        <v>0</v>
      </c>
    </row>
    <row r="60" spans="1:12" x14ac:dyDescent="0.25">
      <c r="A60" s="7" t="s">
        <v>7</v>
      </c>
      <c r="C60" s="1"/>
      <c r="D60" s="1"/>
      <c r="F60" s="1"/>
      <c r="G60" s="1"/>
      <c r="H60" s="1"/>
    </row>
    <row r="61" spans="1:12" x14ac:dyDescent="0.25">
      <c r="A61" s="7"/>
      <c r="C61" s="1"/>
      <c r="D61" s="1"/>
      <c r="F61" s="1"/>
      <c r="G61" s="1"/>
      <c r="H61" s="1"/>
    </row>
    <row r="62" spans="1:12" x14ac:dyDescent="0.25">
      <c r="A62" s="7" t="s">
        <v>5</v>
      </c>
      <c r="B62" s="7">
        <v>7000.03</v>
      </c>
      <c r="C62" s="1"/>
      <c r="D62" s="1"/>
      <c r="F62" s="1"/>
      <c r="G62" s="1"/>
      <c r="H62" s="1"/>
    </row>
    <row r="63" spans="1:12" x14ac:dyDescent="0.25">
      <c r="A63" s="6" t="s">
        <v>79</v>
      </c>
      <c r="B63">
        <v>15009</v>
      </c>
      <c r="C63" s="1"/>
      <c r="D63" s="1"/>
      <c r="E63" s="1">
        <v>30744.83</v>
      </c>
      <c r="F63" s="1"/>
      <c r="G63" s="1">
        <v>0</v>
      </c>
      <c r="H63" s="1"/>
    </row>
    <row r="64" spans="1:12" x14ac:dyDescent="0.25">
      <c r="A64" s="6" t="s">
        <v>78</v>
      </c>
      <c r="B64">
        <v>16216</v>
      </c>
      <c r="C64" s="1"/>
      <c r="D64" s="1"/>
      <c r="F64" s="1">
        <v>8000</v>
      </c>
      <c r="G64" s="1">
        <v>8000</v>
      </c>
      <c r="H64" s="1"/>
    </row>
    <row r="65" spans="1:16" x14ac:dyDescent="0.25">
      <c r="A65" s="7" t="s">
        <v>6</v>
      </c>
      <c r="B65" s="7">
        <v>7000.99</v>
      </c>
      <c r="C65" s="1"/>
      <c r="D65" s="1"/>
      <c r="F65" s="1"/>
      <c r="G65" s="1"/>
      <c r="H65" s="1"/>
    </row>
    <row r="66" spans="1:16" x14ac:dyDescent="0.25">
      <c r="A66" s="6" t="s">
        <v>72</v>
      </c>
      <c r="B66">
        <v>14203</v>
      </c>
      <c r="C66" s="1"/>
      <c r="D66" s="1">
        <v>22214.67</v>
      </c>
      <c r="F66" s="1"/>
      <c r="G66" s="1">
        <v>0</v>
      </c>
      <c r="H66" s="2"/>
    </row>
    <row r="67" spans="1:16" x14ac:dyDescent="0.25">
      <c r="A67" s="6" t="s">
        <v>73</v>
      </c>
      <c r="B67">
        <v>14204</v>
      </c>
      <c r="C67" s="1"/>
      <c r="D67" s="1">
        <v>13671</v>
      </c>
      <c r="F67" s="1"/>
      <c r="G67" s="1">
        <v>0</v>
      </c>
      <c r="H67" s="2"/>
    </row>
    <row r="68" spans="1:16" x14ac:dyDescent="0.25">
      <c r="A68" s="6"/>
      <c r="C68" s="1"/>
      <c r="D68" s="1"/>
      <c r="F68" s="1"/>
      <c r="G68" s="1"/>
      <c r="H68" s="2"/>
    </row>
    <row r="69" spans="1:16" x14ac:dyDescent="0.25">
      <c r="C69" s="1"/>
      <c r="D69" s="1"/>
      <c r="F69" s="1"/>
      <c r="G69" s="1"/>
      <c r="H69" s="1"/>
      <c r="P69">
        <v>624347</v>
      </c>
    </row>
    <row r="70" spans="1:16" x14ac:dyDescent="0.25">
      <c r="A70" s="4" t="s">
        <v>4</v>
      </c>
      <c r="B70" s="4"/>
      <c r="C70" s="5">
        <f t="shared" ref="C70:L70" si="6">SUM(C62:C69)</f>
        <v>0</v>
      </c>
      <c r="D70" s="5">
        <f t="shared" si="6"/>
        <v>35885.67</v>
      </c>
      <c r="E70" s="5">
        <f t="shared" si="6"/>
        <v>30744.83</v>
      </c>
      <c r="F70" s="5">
        <f t="shared" si="6"/>
        <v>8000</v>
      </c>
      <c r="G70" s="5">
        <f t="shared" si="6"/>
        <v>8000</v>
      </c>
      <c r="H70" s="5">
        <f t="shared" si="6"/>
        <v>0</v>
      </c>
      <c r="I70" s="5">
        <f t="shared" si="6"/>
        <v>0</v>
      </c>
      <c r="J70" s="5">
        <f t="shared" si="6"/>
        <v>0</v>
      </c>
      <c r="K70" s="5">
        <f t="shared" si="6"/>
        <v>0</v>
      </c>
      <c r="L70" s="5">
        <f t="shared" si="6"/>
        <v>0</v>
      </c>
      <c r="P70" t="e">
        <f>P69-#REF!</f>
        <v>#REF!</v>
      </c>
    </row>
    <row r="71" spans="1:16" x14ac:dyDescent="0.25">
      <c r="C71" s="5"/>
      <c r="D71" s="5"/>
      <c r="E71" s="5"/>
      <c r="F71" s="5"/>
      <c r="G71" s="1"/>
      <c r="H71" s="1"/>
    </row>
    <row r="72" spans="1:16" x14ac:dyDescent="0.25">
      <c r="A72" s="4" t="s">
        <v>3</v>
      </c>
      <c r="B72" s="4"/>
      <c r="C72" s="5">
        <f t="shared" ref="C72:L72" si="7">C54+C70+C59</f>
        <v>1332594.1499999999</v>
      </c>
      <c r="D72" s="5">
        <f t="shared" si="7"/>
        <v>1393465.14</v>
      </c>
      <c r="E72" s="5">
        <f t="shared" si="7"/>
        <v>1391227.14</v>
      </c>
      <c r="F72" s="5">
        <f t="shared" si="7"/>
        <v>2433275</v>
      </c>
      <c r="G72" s="5">
        <f t="shared" si="7"/>
        <v>2427275</v>
      </c>
      <c r="H72" s="5">
        <f t="shared" si="7"/>
        <v>219038</v>
      </c>
      <c r="I72" s="5">
        <f t="shared" si="7"/>
        <v>0</v>
      </c>
      <c r="J72" s="5">
        <f t="shared" si="7"/>
        <v>0</v>
      </c>
      <c r="K72" s="5">
        <f t="shared" si="7"/>
        <v>0</v>
      </c>
      <c r="L72" s="5">
        <f t="shared" si="7"/>
        <v>0</v>
      </c>
    </row>
    <row r="73" spans="1:16" x14ac:dyDescent="0.25">
      <c r="D73" s="23"/>
    </row>
    <row r="74" spans="1:16" x14ac:dyDescent="0.25">
      <c r="A74" t="s">
        <v>2</v>
      </c>
      <c r="C74" s="2">
        <v>1900492</v>
      </c>
      <c r="D74" s="24">
        <f>C77</f>
        <v>2227972.59</v>
      </c>
      <c r="E74" s="24">
        <f>D77</f>
        <v>2980180.67</v>
      </c>
      <c r="F74" s="24">
        <f>E77</f>
        <v>3643186.56</v>
      </c>
      <c r="G74" s="24">
        <f>E77</f>
        <v>3643186.56</v>
      </c>
      <c r="H74" s="24">
        <f>G77</f>
        <v>1215911.56</v>
      </c>
      <c r="I74" s="24">
        <f>H77</f>
        <v>2508963.56</v>
      </c>
      <c r="J74" s="24">
        <f>I77</f>
        <v>2508963.56</v>
      </c>
      <c r="K74" s="24">
        <f>J77</f>
        <v>2508963.56</v>
      </c>
    </row>
    <row r="75" spans="1:16" x14ac:dyDescent="0.25">
      <c r="A75" t="s">
        <v>1</v>
      </c>
      <c r="C75" s="2"/>
      <c r="D75" s="2"/>
      <c r="F75" s="2"/>
    </row>
    <row r="77" spans="1:16" x14ac:dyDescent="0.25">
      <c r="A77" s="4" t="s">
        <v>0</v>
      </c>
      <c r="B77" s="4"/>
      <c r="C77" s="22">
        <f t="shared" ref="C77:L77" si="8">(C13-C72)+(C74+C75)</f>
        <v>2227972.59</v>
      </c>
      <c r="D77" s="22">
        <f t="shared" si="8"/>
        <v>2980180.67</v>
      </c>
      <c r="E77" s="22">
        <f t="shared" si="8"/>
        <v>3643186.56</v>
      </c>
      <c r="F77" s="22">
        <f t="shared" si="8"/>
        <v>2762111.56</v>
      </c>
      <c r="G77" s="22">
        <f t="shared" si="8"/>
        <v>1215911.56</v>
      </c>
      <c r="H77" s="22">
        <f t="shared" si="8"/>
        <v>2508963.56</v>
      </c>
      <c r="I77" s="22">
        <f t="shared" si="8"/>
        <v>2508963.56</v>
      </c>
      <c r="J77" s="22">
        <f t="shared" si="8"/>
        <v>2508963.56</v>
      </c>
      <c r="K77" s="22">
        <f t="shared" si="8"/>
        <v>2508963.56</v>
      </c>
      <c r="L77" s="22">
        <f t="shared" si="8"/>
        <v>0</v>
      </c>
    </row>
    <row r="78" spans="1:16" x14ac:dyDescent="0.25">
      <c r="C78" s="2"/>
      <c r="D78" s="2"/>
    </row>
    <row r="79" spans="1:16" x14ac:dyDescent="0.25">
      <c r="C79" s="2"/>
      <c r="D79" s="2"/>
    </row>
  </sheetData>
  <pageMargins left="0.7" right="0.7" top="0.75" bottom="0.75" header="0.3" footer="0.3"/>
  <pageSetup orientation="portrait" horizontalDpi="4294967293" vertic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168C0DB2029EC42B934B694ACBF193E" ma:contentTypeVersion="0" ma:contentTypeDescription="Create a new document." ma:contentTypeScope="" ma:versionID="5daa8875deaf84729f7eb5b03607bf0c">
  <xsd:schema xmlns:xsd="http://www.w3.org/2001/XMLSchema" xmlns:xs="http://www.w3.org/2001/XMLSchema" xmlns:p="http://schemas.microsoft.com/office/2006/metadata/properties" xmlns:ns2="7184055b-e5ea-4162-8b19-ace5c644b73a" targetNamespace="http://schemas.microsoft.com/office/2006/metadata/properties" ma:root="true" ma:fieldsID="379fd2b82841f7790e3c25fdaaff9745" ns2:_="">
    <xsd:import namespace="7184055b-e5ea-4162-8b19-ace5c644b73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184055b-e5ea-4162-8b19-ace5c644b73a">QD2UCF5UJE4V-2141839551-61</_dlc_DocId>
    <_dlc_DocIdUrl xmlns="7184055b-e5ea-4162-8b19-ace5c644b73a">
      <Url>http://intranet2/finance/_layouts/15/DocIdRedir.aspx?ID=QD2UCF5UJE4V-2141839551-61</Url>
      <Description>QD2UCF5UJE4V-2141839551-61</Description>
    </_dlc_DocIdUrl>
  </documentManagement>
</p:properties>
</file>

<file path=customXml/itemProps1.xml><?xml version="1.0" encoding="utf-8"?>
<ds:datastoreItem xmlns:ds="http://schemas.openxmlformats.org/officeDocument/2006/customXml" ds:itemID="{47EE8A47-5382-404B-98D5-12EC2E9F5E55}"/>
</file>

<file path=customXml/itemProps2.xml><?xml version="1.0" encoding="utf-8"?>
<ds:datastoreItem xmlns:ds="http://schemas.openxmlformats.org/officeDocument/2006/customXml" ds:itemID="{CDE69A60-DA03-484A-A504-E4B7E43521DD}"/>
</file>

<file path=customXml/itemProps3.xml><?xml version="1.0" encoding="utf-8"?>
<ds:datastoreItem xmlns:ds="http://schemas.openxmlformats.org/officeDocument/2006/customXml" ds:itemID="{223CB194-2490-4E65-B5F9-7F706D282B6E}"/>
</file>

<file path=customXml/itemProps4.xml><?xml version="1.0" encoding="utf-8"?>
<ds:datastoreItem xmlns:ds="http://schemas.openxmlformats.org/officeDocument/2006/customXml" ds:itemID="{D5DBE8C7-76D5-4B5D-8F5F-F2A2460A9A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Current Working</vt:lpstr>
      <vt:lpstr>Expenses</vt:lpstr>
      <vt:lpstr>Revenues</vt:lpstr>
      <vt:lpstr>Balance Sheet</vt:lpstr>
      <vt:lpstr>Budget Upload</vt:lpstr>
      <vt:lpstr> Gas Tax  FY17 and prior</vt:lpstr>
      <vt:lpstr>'Current Working'!Print_Area</vt:lpstr>
      <vt:lpstr>'Balance Sheet'!qsysprt</vt:lpstr>
    </vt:vector>
  </TitlesOfParts>
  <Company>City of Manteca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Menor</dc:creator>
  <cp:lastModifiedBy>O'Keefe, Paula</cp:lastModifiedBy>
  <cp:lastPrinted>2020-08-12T16:07:13Z</cp:lastPrinted>
  <dcterms:created xsi:type="dcterms:W3CDTF">2016-04-12T23:30:45Z</dcterms:created>
  <dcterms:modified xsi:type="dcterms:W3CDTF">2021-01-04T21:51:31Z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0x0101000168C0DB2029EC42B934B694ACBF193E</vt:lpwstr>
  </property>
  <property fmtid="{D5CDD505-2E9C-101B-9397-08002B2CF9AE}" pid="3" name="_dlc_DocIdItemGuid">
    <vt:lpwstr>4ed82c6a-751f-4489-bd5b-e133af662f0b</vt:lpwstr>
  </property>
</Properties>
</file>