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 activeTab="1"/>
  </bookViews>
  <sheets>
    <sheet name="Tipping Fees" sheetId="3" r:id="rId1"/>
    <sheet name="Comparison" sheetId="4" r:id="rId2"/>
  </sheets>
  <calcPr calcId="145621"/>
</workbook>
</file>

<file path=xl/calcChain.xml><?xml version="1.0" encoding="utf-8"?>
<calcChain xmlns="http://schemas.openxmlformats.org/spreadsheetml/2006/main">
  <c r="J23" i="4" l="1"/>
  <c r="L23" i="4"/>
  <c r="H28" i="4"/>
  <c r="H27" i="4"/>
  <c r="H29" i="4" s="1"/>
  <c r="B16" i="4"/>
  <c r="B17" i="4"/>
  <c r="B18" i="4"/>
  <c r="B19" i="4"/>
  <c r="B20" i="4"/>
  <c r="B21" i="4"/>
  <c r="B15" i="4"/>
  <c r="M6" i="4"/>
  <c r="N6" i="4" s="1"/>
  <c r="M7" i="4"/>
  <c r="N7" i="4" s="1"/>
  <c r="M8" i="4"/>
  <c r="N8" i="4" s="1"/>
  <c r="M9" i="4"/>
  <c r="N9" i="4" s="1"/>
  <c r="M10" i="4"/>
  <c r="N10" i="4" s="1"/>
  <c r="M11" i="4"/>
  <c r="N11" i="4" s="1"/>
  <c r="M12" i="4"/>
  <c r="N12" i="4" s="1"/>
  <c r="K7" i="4"/>
  <c r="K8" i="4"/>
  <c r="K9" i="4"/>
  <c r="K10" i="4"/>
  <c r="K11" i="4"/>
  <c r="K12" i="4"/>
  <c r="K6" i="4"/>
  <c r="I21" i="3"/>
  <c r="K21" i="3" s="1"/>
  <c r="M21" i="3" s="1"/>
  <c r="I22" i="3"/>
  <c r="K22" i="3" s="1"/>
  <c r="M22" i="3" s="1"/>
  <c r="I20" i="3"/>
  <c r="K20" i="3" s="1"/>
  <c r="M20" i="3" s="1"/>
  <c r="J10" i="3"/>
  <c r="J12" i="3" s="1"/>
  <c r="J13" i="3" s="1"/>
  <c r="D10" i="3"/>
  <c r="N9" i="3"/>
  <c r="D9" i="3"/>
  <c r="H9" i="3" s="1"/>
  <c r="H11" i="3" s="1"/>
  <c r="H12" i="3" s="1"/>
  <c r="H13" i="3" s="1"/>
  <c r="L5" i="3"/>
  <c r="N5" i="3" s="1"/>
  <c r="D15" i="3" s="1"/>
  <c r="M23" i="3" l="1"/>
  <c r="I23" i="3"/>
  <c r="H30" i="4"/>
  <c r="H31" i="4" s="1"/>
  <c r="N13" i="3"/>
  <c r="D14" i="3" s="1"/>
  <c r="D16" i="3" s="1"/>
  <c r="E26" i="4" s="1"/>
  <c r="H17" i="4" s="1"/>
  <c r="I17" i="4" s="1"/>
  <c r="H21" i="4" l="1"/>
  <c r="I21" i="4" s="1"/>
  <c r="E15" i="4"/>
  <c r="H15" i="4"/>
  <c r="H19" i="4"/>
  <c r="I19" i="4" s="1"/>
  <c r="E16" i="4"/>
  <c r="F16" i="4" s="1"/>
  <c r="E20" i="4"/>
  <c r="F20" i="4" s="1"/>
  <c r="H16" i="4"/>
  <c r="I16" i="4" s="1"/>
  <c r="H20" i="4"/>
  <c r="I20" i="4" s="1"/>
  <c r="E17" i="4"/>
  <c r="M17" i="4" s="1"/>
  <c r="E21" i="4"/>
  <c r="F21" i="4" s="1"/>
  <c r="E18" i="4"/>
  <c r="F18" i="4" s="1"/>
  <c r="K18" i="4" s="1"/>
  <c r="H18" i="4"/>
  <c r="I18" i="4" s="1"/>
  <c r="E19" i="4"/>
  <c r="F19" i="4" s="1"/>
  <c r="K19" i="4" s="1"/>
  <c r="K16" i="4"/>
  <c r="M20" i="4"/>
  <c r="K20" i="4"/>
  <c r="K21" i="4"/>
  <c r="M21" i="4"/>
  <c r="M15" i="4"/>
  <c r="M19" i="4" l="1"/>
  <c r="F15" i="4"/>
  <c r="E22" i="4"/>
  <c r="E23" i="4" s="1"/>
  <c r="I15" i="4"/>
  <c r="H22" i="4"/>
  <c r="M18" i="4"/>
  <c r="M16" i="4"/>
  <c r="F17" i="4"/>
  <c r="K17" i="4" s="1"/>
  <c r="H23" i="4" l="1"/>
  <c r="M22" i="4"/>
  <c r="M23" i="4" s="1"/>
  <c r="I22" i="4"/>
  <c r="I23" i="4" s="1"/>
  <c r="K15" i="4"/>
  <c r="K22" i="4" s="1"/>
  <c r="K23" i="4" s="1"/>
  <c r="F22" i="4"/>
  <c r="F23" i="4" s="1"/>
  <c r="M31" i="4" s="1"/>
</calcChain>
</file>

<file path=xl/sharedStrings.xml><?xml version="1.0" encoding="utf-8"?>
<sst xmlns="http://schemas.openxmlformats.org/spreadsheetml/2006/main" count="109" uniqueCount="94">
  <si>
    <t>Lovelace</t>
  </si>
  <si>
    <t>Forward</t>
  </si>
  <si>
    <t>$/hr</t>
  </si>
  <si>
    <t>Miles</t>
  </si>
  <si>
    <t>Minutes</t>
  </si>
  <si>
    <t>Fully Loaded Cost of Collection Worker III =</t>
  </si>
  <si>
    <t>Initial Capital</t>
  </si>
  <si>
    <t>Annual Capital Cost</t>
  </si>
  <si>
    <t>Working hours/year based upon 90% availability</t>
  </si>
  <si>
    <t xml:space="preserve">Capital Cost </t>
  </si>
  <si>
    <t xml:space="preserve">Maintenance </t>
  </si>
  <si>
    <t>Fuel</t>
  </si>
  <si>
    <t>Basis</t>
  </si>
  <si>
    <t>Useful Life</t>
  </si>
  <si>
    <t>years</t>
  </si>
  <si>
    <t>hours</t>
  </si>
  <si>
    <t>mpg</t>
  </si>
  <si>
    <t>$/gall</t>
  </si>
  <si>
    <t>Parts</t>
  </si>
  <si>
    <t>Shop Time</t>
  </si>
  <si>
    <t>Total Hours</t>
  </si>
  <si>
    <t>hrs</t>
  </si>
  <si>
    <t>Shop Cost</t>
  </si>
  <si>
    <t>Shop Rate</t>
  </si>
  <si>
    <t>Total Annual:</t>
  </si>
  <si>
    <t>Estimated Hours Available</t>
  </si>
  <si>
    <t>Equipment Cost for Side Loader:</t>
  </si>
  <si>
    <t>Annual Hours</t>
  </si>
  <si>
    <t>miles/ 8hr day</t>
  </si>
  <si>
    <t>$/Mile</t>
  </si>
  <si>
    <t>$/Day</t>
  </si>
  <si>
    <t>$/Hr</t>
  </si>
  <si>
    <t>INPUTS</t>
  </si>
  <si>
    <t>Gross</t>
  </si>
  <si>
    <t>Sick</t>
  </si>
  <si>
    <t>Vacation</t>
  </si>
  <si>
    <t>Holidays</t>
  </si>
  <si>
    <t>Labor Cost</t>
  </si>
  <si>
    <t>Total Loaded Cost</t>
  </si>
  <si>
    <t>Collection Truck Trips</t>
  </si>
  <si>
    <t>Residential Routes</t>
  </si>
  <si>
    <t>Commercial Route</t>
  </si>
  <si>
    <t>Routes/Day</t>
  </si>
  <si>
    <t>Weeks/Yr</t>
  </si>
  <si>
    <t>Days/Week</t>
  </si>
  <si>
    <t>Equipment Cost</t>
  </si>
  <si>
    <t>Total Loaded Cost for City Driver &amp; Truck</t>
  </si>
  <si>
    <t>Total Net Hrs</t>
  </si>
  <si>
    <t>$/Load</t>
  </si>
  <si>
    <t>Labor Cost - FY 13</t>
  </si>
  <si>
    <t>Municipal Waste Disposal - Alternative Cost Analysis</t>
  </si>
  <si>
    <t>Drop Box</t>
  </si>
  <si>
    <t>Monday South</t>
  </si>
  <si>
    <t>1975 Buena Vista Dr</t>
  </si>
  <si>
    <t>Monday North</t>
  </si>
  <si>
    <t>679 Pestana</t>
  </si>
  <si>
    <t>Tuesday</t>
  </si>
  <si>
    <t>225 E. Alameda</t>
  </si>
  <si>
    <t>Wednesday</t>
  </si>
  <si>
    <t>1265 Northgate</t>
  </si>
  <si>
    <t>1123 W. Alameda</t>
  </si>
  <si>
    <t>Thursday-South</t>
  </si>
  <si>
    <t>Thursday-North</t>
  </si>
  <si>
    <t>2388 River Berry</t>
  </si>
  <si>
    <t>Friday</t>
  </si>
  <si>
    <t>1103 Winters</t>
  </si>
  <si>
    <t>Difference</t>
  </si>
  <si>
    <t>Min</t>
  </si>
  <si>
    <t>Roundtrip</t>
  </si>
  <si>
    <t>Relative Cost</t>
  </si>
  <si>
    <t>Roundtrip Cost</t>
  </si>
  <si>
    <t>Note:</t>
  </si>
  <si>
    <t>Current Tipping Fees:</t>
  </si>
  <si>
    <t>Tons per day for residential routes</t>
  </si>
  <si>
    <t>Assume average weight of:</t>
  </si>
  <si>
    <t>Total</t>
  </si>
  <si>
    <t>Forward-Lovelace (potential savings from switching)</t>
  </si>
  <si>
    <t>Mileage only</t>
  </si>
  <si>
    <t>Sub-Total</t>
  </si>
  <si>
    <t xml:space="preserve">Hrly cost - Labor &amp; Equip.= </t>
  </si>
  <si>
    <t>Difference per load</t>
  </si>
  <si>
    <t>MW</t>
  </si>
  <si>
    <t>Res. Dumps / year</t>
  </si>
  <si>
    <t>T/Load</t>
  </si>
  <si>
    <t>Loads/Year</t>
  </si>
  <si>
    <t>Loads/Day</t>
  </si>
  <si>
    <t>T/Yr</t>
  </si>
  <si>
    <t>Rate</t>
  </si>
  <si>
    <t>Tipping Fees</t>
  </si>
  <si>
    <t>Annual</t>
  </si>
  <si>
    <t>per year</t>
  </si>
  <si>
    <t>Cost per week</t>
  </si>
  <si>
    <t>Annual Cost</t>
  </si>
  <si>
    <t>Conclusion:  Going to Lovelace would cost $150-200K per year more than Forward at current rates, including op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</si>
</sst>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1" xfId="0" applyBorder="1"/>
    <xf numFmtId="0" fontId="0" fillId="0" borderId="0" xfId="0" applyBorder="1"/>
    <xf numFmtId="164" fontId="0" fillId="0" borderId="0" xfId="1" applyNumberFormat="1" applyFont="1"/>
    <xf numFmtId="0" fontId="0" fillId="0" borderId="0" xfId="0" applyAlignment="1">
      <alignment horizontal="right"/>
    </xf>
    <xf numFmtId="0" fontId="2" fillId="0" borderId="2" xfId="0" applyFont="1" applyBorder="1"/>
    <xf numFmtId="2" fontId="0" fillId="0" borderId="0" xfId="0" applyNumberFormat="1"/>
    <xf numFmtId="43" fontId="0" fillId="0" borderId="0" xfId="2" applyFont="1"/>
    <xf numFmtId="0" fontId="0" fillId="0" borderId="2" xfId="0" applyBorder="1"/>
    <xf numFmtId="164" fontId="0" fillId="0" borderId="0" xfId="0" applyNumberFormat="1"/>
    <xf numFmtId="164" fontId="0" fillId="2" borderId="0" xfId="1" applyNumberFormat="1" applyFont="1" applyFill="1"/>
    <xf numFmtId="0" fontId="0" fillId="2" borderId="0" xfId="0" applyFill="1"/>
    <xf numFmtId="2" fontId="0" fillId="2" borderId="0" xfId="0" applyNumberFormat="1" applyFill="1"/>
    <xf numFmtId="0" fontId="2" fillId="2" borderId="0" xfId="0" applyFont="1" applyFill="1" applyAlignment="1">
      <alignment horizontal="center"/>
    </xf>
    <xf numFmtId="44" fontId="0" fillId="0" borderId="2" xfId="1" applyFont="1" applyBorder="1"/>
    <xf numFmtId="44" fontId="0" fillId="0" borderId="0" xfId="0" applyNumberFormat="1" applyFont="1"/>
    <xf numFmtId="44" fontId="3" fillId="0" borderId="0" xfId="0" applyNumberFormat="1" applyFont="1"/>
    <xf numFmtId="164" fontId="2" fillId="0" borderId="0" xfId="1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44" fontId="5" fillId="0" borderId="0" xfId="0" applyNumberFormat="1" applyFont="1"/>
    <xf numFmtId="44" fontId="5" fillId="0" borderId="0" xfId="1" applyFont="1"/>
    <xf numFmtId="0" fontId="5" fillId="0" borderId="0" xfId="0" applyFont="1" applyAlignment="1">
      <alignment horizontal="center"/>
    </xf>
    <xf numFmtId="0" fontId="3" fillId="2" borderId="0" xfId="0" applyFont="1" applyFill="1"/>
    <xf numFmtId="164" fontId="5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3" xfId="0" applyFont="1" applyBorder="1"/>
    <xf numFmtId="44" fontId="5" fillId="0" borderId="3" xfId="0" applyNumberFormat="1" applyFont="1" applyBorder="1"/>
    <xf numFmtId="44" fontId="7" fillId="0" borderId="3" xfId="1" applyFont="1" applyBorder="1"/>
    <xf numFmtId="0" fontId="0" fillId="0" borderId="3" xfId="0" applyBorder="1"/>
    <xf numFmtId="164" fontId="5" fillId="0" borderId="0" xfId="1" applyNumberFormat="1" applyFont="1"/>
    <xf numFmtId="0" fontId="0" fillId="0" borderId="0" xfId="0" applyFill="1" applyBorder="1"/>
    <xf numFmtId="165" fontId="0" fillId="0" borderId="0" xfId="2" applyNumberFormat="1" applyFont="1"/>
    <xf numFmtId="165" fontId="0" fillId="0" borderId="3" xfId="2" applyNumberFormat="1" applyFont="1" applyBorder="1"/>
    <xf numFmtId="164" fontId="2" fillId="0" borderId="3" xfId="1" applyNumberFormat="1" applyFont="1" applyBorder="1"/>
    <xf numFmtId="164" fontId="2" fillId="0" borderId="3" xfId="0" applyNumberFormat="1" applyFont="1" applyBorder="1"/>
    <xf numFmtId="0" fontId="8" fillId="0" borderId="0" xfId="0" applyFont="1"/>
    <xf numFmtId="44" fontId="9" fillId="0" borderId="0" xfId="0" applyNumberFormat="1" applyFont="1"/>
    <xf numFmtId="44" fontId="10" fillId="0" borderId="0" xfId="0" applyNumberFormat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I20" sqref="I20"/>
    </sheetView>
  </sheetViews>
  <sheetFormatPr defaultRowHeight="15" x14ac:dyDescent="0.25"/>
  <cols>
    <col min="1" max="1" width="3.85546875" customWidth="1"/>
    <col min="2" max="2" width="7" customWidth="1"/>
    <col min="3" max="3" width="27.5703125" customWidth="1"/>
    <col min="4" max="4" width="12.7109375" customWidth="1"/>
    <col min="5" max="5" width="8.7109375" customWidth="1"/>
    <col min="6" max="6" width="4.28515625" customWidth="1"/>
    <col min="7" max="7" width="12.7109375" customWidth="1"/>
    <col min="8" max="8" width="8.7109375" customWidth="1"/>
    <col min="9" max="9" width="12" customWidth="1"/>
    <col min="10" max="10" width="12.7109375" customWidth="1"/>
    <col min="11" max="11" width="8.7109375" customWidth="1"/>
    <col min="12" max="12" width="6.5703125" customWidth="1"/>
    <col min="13" max="13" width="12.7109375" customWidth="1"/>
    <col min="14" max="14" width="10.7109375" customWidth="1"/>
    <col min="15" max="15" width="4.7109375" bestFit="1" customWidth="1"/>
  </cols>
  <sheetData>
    <row r="1" spans="1:15" ht="18.75" x14ac:dyDescent="0.3">
      <c r="C1" s="21" t="s">
        <v>50</v>
      </c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B3" s="1" t="s">
        <v>49</v>
      </c>
      <c r="G3" s="15" t="s">
        <v>32</v>
      </c>
    </row>
    <row r="4" spans="1:15" x14ac:dyDescent="0.25">
      <c r="C4" t="s">
        <v>5</v>
      </c>
      <c r="E4" s="5">
        <v>95000</v>
      </c>
    </row>
    <row r="5" spans="1:15" x14ac:dyDescent="0.25">
      <c r="C5" t="s">
        <v>20</v>
      </c>
      <c r="D5" t="s">
        <v>33</v>
      </c>
      <c r="E5">
        <v>2080</v>
      </c>
      <c r="F5" t="s">
        <v>21</v>
      </c>
      <c r="G5" t="s">
        <v>34</v>
      </c>
      <c r="H5" s="13">
        <v>40</v>
      </c>
      <c r="I5" t="s">
        <v>35</v>
      </c>
      <c r="J5" s="13">
        <v>160</v>
      </c>
      <c r="K5" t="s">
        <v>36</v>
      </c>
      <c r="L5" s="13">
        <f>12*8</f>
        <v>96</v>
      </c>
      <c r="M5" t="s">
        <v>47</v>
      </c>
      <c r="N5" s="3">
        <f>+E5-H5-J5-L5</f>
        <v>1784</v>
      </c>
    </row>
    <row r="6" spans="1:15" x14ac:dyDescent="0.25">
      <c r="B6" s="1" t="s">
        <v>45</v>
      </c>
    </row>
    <row r="7" spans="1:15" x14ac:dyDescent="0.25">
      <c r="C7" s="7" t="s">
        <v>12</v>
      </c>
      <c r="D7" s="10"/>
      <c r="E7" s="10"/>
      <c r="G7" s="10" t="s">
        <v>10</v>
      </c>
      <c r="H7" s="10"/>
      <c r="J7" s="10" t="s">
        <v>11</v>
      </c>
      <c r="K7" s="10"/>
      <c r="M7" s="10" t="s">
        <v>9</v>
      </c>
      <c r="N7" s="10"/>
    </row>
    <row r="8" spans="1:15" x14ac:dyDescent="0.25">
      <c r="C8" t="s">
        <v>13</v>
      </c>
      <c r="D8" s="13">
        <v>10</v>
      </c>
      <c r="E8" t="s">
        <v>14</v>
      </c>
      <c r="G8" t="s">
        <v>18</v>
      </c>
      <c r="H8" s="12">
        <v>10000</v>
      </c>
      <c r="J8" s="14">
        <v>4</v>
      </c>
      <c r="K8" t="s">
        <v>17</v>
      </c>
      <c r="M8" t="s">
        <v>6</v>
      </c>
      <c r="N8" s="12">
        <v>360000</v>
      </c>
    </row>
    <row r="9" spans="1:15" x14ac:dyDescent="0.25">
      <c r="C9" t="s">
        <v>27</v>
      </c>
      <c r="D9">
        <f>52*40</f>
        <v>2080</v>
      </c>
      <c r="E9" t="s">
        <v>15</v>
      </c>
      <c r="G9" t="s">
        <v>19</v>
      </c>
      <c r="H9">
        <f>+D9-D10</f>
        <v>208</v>
      </c>
      <c r="I9" t="s">
        <v>21</v>
      </c>
      <c r="J9" s="13">
        <v>2</v>
      </c>
      <c r="K9" t="s">
        <v>16</v>
      </c>
      <c r="M9" t="s">
        <v>7</v>
      </c>
      <c r="N9" s="5">
        <f>+N8/D8</f>
        <v>36000</v>
      </c>
    </row>
    <row r="10" spans="1:15" x14ac:dyDescent="0.25">
      <c r="C10" s="6" t="s">
        <v>25</v>
      </c>
      <c r="D10">
        <f>52*40*0.9</f>
        <v>1872</v>
      </c>
      <c r="E10" t="s">
        <v>15</v>
      </c>
      <c r="G10" t="s">
        <v>23</v>
      </c>
      <c r="H10" s="13">
        <v>150</v>
      </c>
      <c r="I10" t="s">
        <v>2</v>
      </c>
      <c r="J10">
        <f>+J8/J9</f>
        <v>2</v>
      </c>
      <c r="K10" t="s">
        <v>29</v>
      </c>
    </row>
    <row r="11" spans="1:15" x14ac:dyDescent="0.25">
      <c r="C11" t="s">
        <v>8</v>
      </c>
      <c r="G11" t="s">
        <v>22</v>
      </c>
      <c r="H11" s="5">
        <f>+H9*H10</f>
        <v>31200</v>
      </c>
      <c r="J11" s="13">
        <v>50</v>
      </c>
      <c r="K11" t="s">
        <v>28</v>
      </c>
    </row>
    <row r="12" spans="1:15" x14ac:dyDescent="0.25">
      <c r="G12" t="s">
        <v>24</v>
      </c>
      <c r="H12" s="11">
        <f>+H8+H11</f>
        <v>41200</v>
      </c>
      <c r="J12">
        <f>+J10*J11</f>
        <v>100</v>
      </c>
      <c r="K12" t="s">
        <v>30</v>
      </c>
    </row>
    <row r="13" spans="1:15" x14ac:dyDescent="0.25">
      <c r="B13" s="1" t="s">
        <v>46</v>
      </c>
      <c r="H13" s="9">
        <f>+H12/D10</f>
        <v>22.008547008547009</v>
      </c>
      <c r="I13" t="s">
        <v>31</v>
      </c>
      <c r="J13" s="8">
        <f>+J12/8</f>
        <v>12.5</v>
      </c>
      <c r="K13" t="s">
        <v>2</v>
      </c>
      <c r="N13" s="2">
        <f>+N9/D10</f>
        <v>19.23076923076923</v>
      </c>
      <c r="O13" t="s">
        <v>2</v>
      </c>
    </row>
    <row r="14" spans="1:15" x14ac:dyDescent="0.25">
      <c r="C14" s="6" t="s">
        <v>26</v>
      </c>
      <c r="D14" s="17">
        <f>+H13+J13+N13</f>
        <v>53.739316239316238</v>
      </c>
      <c r="E14" t="s">
        <v>31</v>
      </c>
    </row>
    <row r="15" spans="1:15" x14ac:dyDescent="0.25">
      <c r="C15" t="s">
        <v>37</v>
      </c>
      <c r="D15" s="16">
        <f>+E4/N5</f>
        <v>53.251121076233183</v>
      </c>
      <c r="E15" t="s">
        <v>31</v>
      </c>
    </row>
    <row r="16" spans="1:15" ht="15.75" x14ac:dyDescent="0.25">
      <c r="C16" s="6" t="s">
        <v>38</v>
      </c>
      <c r="D16" s="18">
        <f>+D14+D15</f>
        <v>106.99043731554943</v>
      </c>
    </row>
    <row r="17" spans="3:13" ht="15.75" x14ac:dyDescent="0.25">
      <c r="C17" s="6"/>
      <c r="D17" s="18"/>
    </row>
    <row r="18" spans="3:13" ht="15" customHeight="1" x14ac:dyDescent="0.25">
      <c r="H18" t="s">
        <v>81</v>
      </c>
      <c r="M18" t="s">
        <v>89</v>
      </c>
    </row>
    <row r="19" spans="3:13" x14ac:dyDescent="0.25">
      <c r="C19" s="7" t="s">
        <v>39</v>
      </c>
      <c r="D19" s="10" t="s">
        <v>42</v>
      </c>
      <c r="E19" s="10" t="s">
        <v>43</v>
      </c>
      <c r="F19" s="10"/>
      <c r="G19" s="10" t="s">
        <v>44</v>
      </c>
      <c r="H19" s="10" t="s">
        <v>85</v>
      </c>
      <c r="I19" s="10" t="s">
        <v>84</v>
      </c>
      <c r="J19" s="37" t="s">
        <v>83</v>
      </c>
      <c r="K19" s="37" t="s">
        <v>86</v>
      </c>
      <c r="L19" s="37" t="s">
        <v>87</v>
      </c>
      <c r="M19" s="37" t="s">
        <v>88</v>
      </c>
    </row>
    <row r="20" spans="3:13" x14ac:dyDescent="0.25">
      <c r="C20" t="s">
        <v>40</v>
      </c>
      <c r="D20" s="13">
        <v>9</v>
      </c>
      <c r="E20" s="13">
        <v>52</v>
      </c>
      <c r="G20" s="13">
        <v>5</v>
      </c>
      <c r="H20" s="13">
        <v>1</v>
      </c>
      <c r="I20">
        <f>+D20*E20*G20*H20</f>
        <v>2340</v>
      </c>
      <c r="J20" s="35">
        <v>7</v>
      </c>
      <c r="K20" s="39">
        <f>+I20*J20</f>
        <v>16380</v>
      </c>
      <c r="L20" s="35">
        <v>44</v>
      </c>
      <c r="M20" s="40">
        <f>+K20*L20</f>
        <v>720720</v>
      </c>
    </row>
    <row r="21" spans="3:13" x14ac:dyDescent="0.25">
      <c r="C21" t="s">
        <v>41</v>
      </c>
      <c r="D21" s="13">
        <v>2</v>
      </c>
      <c r="E21" s="13">
        <v>52</v>
      </c>
      <c r="G21" s="13">
        <v>5.5</v>
      </c>
      <c r="H21" s="13">
        <v>2</v>
      </c>
      <c r="I21">
        <f t="shared" ref="I21:I22" si="0">+D21*E21*G21*H21</f>
        <v>1144</v>
      </c>
      <c r="J21" s="13">
        <v>8</v>
      </c>
      <c r="K21" s="38">
        <f t="shared" ref="K21:K22" si="1">+I21*J21</f>
        <v>9152</v>
      </c>
      <c r="L21" s="13">
        <v>44</v>
      </c>
      <c r="M21" s="19">
        <f t="shared" ref="M21:M22" si="2">+K21*L21</f>
        <v>402688</v>
      </c>
    </row>
    <row r="22" spans="3:13" x14ac:dyDescent="0.25">
      <c r="C22" t="s">
        <v>51</v>
      </c>
      <c r="D22" s="13">
        <v>2</v>
      </c>
      <c r="E22" s="13">
        <v>50</v>
      </c>
      <c r="G22" s="13">
        <v>5</v>
      </c>
      <c r="H22" s="13">
        <v>6</v>
      </c>
      <c r="I22">
        <f t="shared" si="0"/>
        <v>3000</v>
      </c>
      <c r="J22" s="13">
        <v>10</v>
      </c>
      <c r="K22" s="38">
        <f t="shared" si="1"/>
        <v>30000</v>
      </c>
      <c r="L22" s="13">
        <v>44</v>
      </c>
      <c r="M22" s="19">
        <f t="shared" si="2"/>
        <v>1320000</v>
      </c>
    </row>
    <row r="23" spans="3:13" x14ac:dyDescent="0.25">
      <c r="I23" s="35">
        <f>SUM(I20:I22)</f>
        <v>6484</v>
      </c>
      <c r="M23" s="41">
        <f>SUM(M20:M22)</f>
        <v>2443408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tabSelected="1" workbookViewId="0">
      <selection activeCell="H21" sqref="H21"/>
    </sheetView>
  </sheetViews>
  <sheetFormatPr defaultRowHeight="15.75" x14ac:dyDescent="0.25"/>
  <cols>
    <col min="1" max="1" width="3.140625" style="22" customWidth="1"/>
    <col min="2" max="2" width="6" style="22" customWidth="1"/>
    <col min="3" max="3" width="23" style="22" customWidth="1"/>
    <col min="4" max="4" width="2.42578125" style="22" customWidth="1"/>
    <col min="5" max="5" width="13" style="22" customWidth="1"/>
    <col min="6" max="6" width="12.7109375" style="22" customWidth="1"/>
    <col min="7" max="7" width="3.7109375" customWidth="1"/>
    <col min="8" max="8" width="12.140625" style="22" customWidth="1"/>
    <col min="9" max="9" width="12.7109375" style="22" bestFit="1" customWidth="1"/>
    <col min="10" max="10" width="2.28515625" style="22" customWidth="1"/>
    <col min="11" max="11" width="10.5703125" style="22" bestFit="1" customWidth="1"/>
    <col min="12" max="12" width="1.85546875" style="22" customWidth="1"/>
    <col min="13" max="13" width="12" style="22" customWidth="1"/>
    <col min="14" max="14" width="5.42578125" style="22" customWidth="1"/>
    <col min="15" max="16384" width="9.140625" style="22"/>
  </cols>
  <sheetData>
    <row r="2" spans="2:14" x14ac:dyDescent="0.25">
      <c r="N2" s="31" t="s">
        <v>76</v>
      </c>
    </row>
    <row r="3" spans="2:14" x14ac:dyDescent="0.25">
      <c r="E3" s="23" t="s">
        <v>0</v>
      </c>
      <c r="F3" s="23"/>
      <c r="G3" s="26"/>
      <c r="H3" s="23" t="s">
        <v>1</v>
      </c>
      <c r="I3" s="23"/>
      <c r="K3" s="30" t="s">
        <v>66</v>
      </c>
      <c r="N3" s="29" t="s">
        <v>68</v>
      </c>
    </row>
    <row r="4" spans="2:14" x14ac:dyDescent="0.25">
      <c r="E4" s="26" t="s">
        <v>3</v>
      </c>
      <c r="F4" s="26" t="s">
        <v>4</v>
      </c>
      <c r="G4" s="25"/>
      <c r="H4" s="26" t="s">
        <v>3</v>
      </c>
      <c r="I4" s="26" t="s">
        <v>4</v>
      </c>
      <c r="K4" s="22" t="s">
        <v>3</v>
      </c>
      <c r="M4" s="22" t="s">
        <v>67</v>
      </c>
      <c r="N4" s="22" t="s">
        <v>67</v>
      </c>
    </row>
    <row r="6" spans="2:14" x14ac:dyDescent="0.25">
      <c r="B6" s="22" t="s">
        <v>52</v>
      </c>
      <c r="C6" s="22" t="s">
        <v>53</v>
      </c>
      <c r="E6" s="22">
        <v>8.1999999999999993</v>
      </c>
      <c r="F6" s="22">
        <v>17</v>
      </c>
      <c r="G6" s="22"/>
      <c r="H6" s="22">
        <v>9.4</v>
      </c>
      <c r="I6" s="22">
        <v>18</v>
      </c>
      <c r="K6" s="22">
        <f>+H6-E6</f>
        <v>1.2000000000000011</v>
      </c>
      <c r="M6" s="22">
        <f>+I6-F6</f>
        <v>1</v>
      </c>
      <c r="N6" s="22">
        <f>+M6*2</f>
        <v>2</v>
      </c>
    </row>
    <row r="7" spans="2:14" x14ac:dyDescent="0.25">
      <c r="B7" s="22" t="s">
        <v>54</v>
      </c>
      <c r="C7" s="22" t="s">
        <v>55</v>
      </c>
      <c r="E7" s="22">
        <v>5.8</v>
      </c>
      <c r="F7" s="22">
        <v>12</v>
      </c>
      <c r="H7" s="22">
        <v>5.6</v>
      </c>
      <c r="I7" s="22">
        <v>11</v>
      </c>
      <c r="K7" s="22">
        <f>+H7-E7</f>
        <v>-0.20000000000000018</v>
      </c>
      <c r="M7" s="22">
        <f>+I7-F7</f>
        <v>-1</v>
      </c>
      <c r="N7" s="22">
        <f t="shared" ref="N7:N12" si="0">+M7*2</f>
        <v>-2</v>
      </c>
    </row>
    <row r="8" spans="2:14" x14ac:dyDescent="0.25">
      <c r="B8" s="22" t="s">
        <v>56</v>
      </c>
      <c r="C8" s="22" t="s">
        <v>57</v>
      </c>
      <c r="E8" s="22">
        <v>4.5</v>
      </c>
      <c r="F8" s="22">
        <v>11</v>
      </c>
      <c r="H8" s="22">
        <v>6.8</v>
      </c>
      <c r="I8" s="22">
        <v>14</v>
      </c>
      <c r="K8" s="22">
        <f>+H8-E8</f>
        <v>2.2999999999999998</v>
      </c>
      <c r="M8" s="22">
        <f>+I8-F8</f>
        <v>3</v>
      </c>
      <c r="N8" s="22">
        <f t="shared" si="0"/>
        <v>6</v>
      </c>
    </row>
    <row r="9" spans="2:14" x14ac:dyDescent="0.25">
      <c r="B9" s="22" t="s">
        <v>58</v>
      </c>
      <c r="C9" s="22" t="s">
        <v>59</v>
      </c>
      <c r="E9" s="22">
        <v>2.5</v>
      </c>
      <c r="F9" s="22">
        <v>6</v>
      </c>
      <c r="H9" s="22">
        <v>6.7</v>
      </c>
      <c r="I9" s="22">
        <v>13</v>
      </c>
      <c r="K9" s="22">
        <f>+H9-E9</f>
        <v>4.2</v>
      </c>
      <c r="M9" s="22">
        <f>+I9-F9</f>
        <v>7</v>
      </c>
      <c r="N9" s="22">
        <f t="shared" si="0"/>
        <v>14</v>
      </c>
    </row>
    <row r="10" spans="2:14" x14ac:dyDescent="0.25">
      <c r="B10" s="22" t="s">
        <v>61</v>
      </c>
      <c r="C10" s="22" t="s">
        <v>60</v>
      </c>
      <c r="E10" s="22">
        <v>3.4</v>
      </c>
      <c r="F10" s="22">
        <v>8</v>
      </c>
      <c r="H10" s="22">
        <v>7.6</v>
      </c>
      <c r="I10" s="22">
        <v>15</v>
      </c>
      <c r="K10" s="22">
        <f>+H10-E10</f>
        <v>4.1999999999999993</v>
      </c>
      <c r="M10" s="22">
        <f>+I10-F10</f>
        <v>7</v>
      </c>
      <c r="N10" s="22">
        <f t="shared" si="0"/>
        <v>14</v>
      </c>
    </row>
    <row r="11" spans="2:14" x14ac:dyDescent="0.25">
      <c r="B11" s="22" t="s">
        <v>62</v>
      </c>
      <c r="C11" s="22" t="s">
        <v>63</v>
      </c>
      <c r="E11" s="22">
        <v>2.2999999999999998</v>
      </c>
      <c r="F11" s="22">
        <v>5</v>
      </c>
      <c r="H11" s="22">
        <v>6.9</v>
      </c>
      <c r="I11" s="22">
        <v>14</v>
      </c>
      <c r="K11" s="22">
        <f>+H11-E11</f>
        <v>4.6000000000000005</v>
      </c>
      <c r="M11" s="22">
        <f>+I11-F11</f>
        <v>9</v>
      </c>
      <c r="N11" s="22">
        <f t="shared" si="0"/>
        <v>18</v>
      </c>
    </row>
    <row r="12" spans="2:14" x14ac:dyDescent="0.25">
      <c r="B12" s="22" t="s">
        <v>64</v>
      </c>
      <c r="C12" s="22" t="s">
        <v>65</v>
      </c>
      <c r="E12" s="22">
        <v>5.5</v>
      </c>
      <c r="F12" s="22">
        <v>11</v>
      </c>
      <c r="H12" s="22">
        <v>10.6</v>
      </c>
      <c r="I12" s="22">
        <v>21</v>
      </c>
      <c r="K12" s="22">
        <f>+H12-E12</f>
        <v>5.0999999999999996</v>
      </c>
      <c r="M12" s="22">
        <f>+I12-F12</f>
        <v>10</v>
      </c>
      <c r="N12" s="22">
        <f t="shared" si="0"/>
        <v>20</v>
      </c>
    </row>
    <row r="14" spans="2:14" x14ac:dyDescent="0.25">
      <c r="C14" s="22" t="s">
        <v>69</v>
      </c>
      <c r="E14" s="22" t="s">
        <v>70</v>
      </c>
      <c r="F14" s="22" t="s">
        <v>78</v>
      </c>
      <c r="G14" s="22"/>
      <c r="H14" s="22" t="s">
        <v>70</v>
      </c>
      <c r="I14" s="22" t="s">
        <v>78</v>
      </c>
      <c r="K14" s="22" t="s">
        <v>75</v>
      </c>
      <c r="M14" s="22" t="s">
        <v>77</v>
      </c>
    </row>
    <row r="15" spans="2:14" x14ac:dyDescent="0.25">
      <c r="B15" s="22" t="str">
        <f>+B6</f>
        <v>Monday South</v>
      </c>
      <c r="E15" s="24">
        <f>2*F6*E$26/60</f>
        <v>60.627914478811341</v>
      </c>
      <c r="F15" s="24">
        <f>+E15+H$27</f>
        <v>452.62791447881136</v>
      </c>
      <c r="G15" s="22"/>
      <c r="H15" s="43">
        <f>2*I6*E$26/60</f>
        <v>64.194262389329666</v>
      </c>
      <c r="I15" s="44">
        <f>+H15+H$28</f>
        <v>372.19426238932965</v>
      </c>
      <c r="J15" s="24"/>
      <c r="K15" s="24">
        <f>+I15-F15</f>
        <v>-80.433652089481711</v>
      </c>
      <c r="M15" s="24">
        <f>+H15-E15</f>
        <v>3.5663479105183242</v>
      </c>
    </row>
    <row r="16" spans="2:14" x14ac:dyDescent="0.25">
      <c r="B16" s="22" t="str">
        <f t="shared" ref="B16:B21" si="1">+B7</f>
        <v>Monday North</v>
      </c>
      <c r="E16" s="43">
        <f>2*F7*E$26/60</f>
        <v>42.79617492621977</v>
      </c>
      <c r="F16" s="24">
        <f>+E16+H$27</f>
        <v>434.79617492621975</v>
      </c>
      <c r="G16" s="22"/>
      <c r="H16" s="24">
        <f>2*I7*E$26/60</f>
        <v>39.229827015701453</v>
      </c>
      <c r="I16" s="44">
        <f>+H16+H$28</f>
        <v>347.22982701570146</v>
      </c>
      <c r="J16" s="24"/>
      <c r="K16" s="24">
        <f>+I16-F16</f>
        <v>-87.566347910518289</v>
      </c>
      <c r="M16" s="24">
        <f>+H16-E16</f>
        <v>-3.5663479105183171</v>
      </c>
    </row>
    <row r="17" spans="2:13" x14ac:dyDescent="0.25">
      <c r="B17" s="22" t="str">
        <f t="shared" si="1"/>
        <v>Tuesday</v>
      </c>
      <c r="E17" s="24">
        <f>2*F8*E$26/60</f>
        <v>39.229827015701453</v>
      </c>
      <c r="F17" s="24">
        <f>+E17+H$27</f>
        <v>431.22982701570146</v>
      </c>
      <c r="G17" s="22"/>
      <c r="H17" s="43">
        <f>2*I8*E$26/60</f>
        <v>49.928870747256397</v>
      </c>
      <c r="I17" s="44">
        <f>+H17+H$28</f>
        <v>357.92887074725638</v>
      </c>
      <c r="J17" s="24"/>
      <c r="K17" s="24">
        <f>+I17-F17</f>
        <v>-73.300956268445077</v>
      </c>
      <c r="M17" s="24">
        <f>+H17-E17</f>
        <v>10.699043731554944</v>
      </c>
    </row>
    <row r="18" spans="2:13" x14ac:dyDescent="0.25">
      <c r="B18" s="22" t="str">
        <f t="shared" si="1"/>
        <v>Wednesday</v>
      </c>
      <c r="E18" s="24">
        <f>2*F9*E$26/60</f>
        <v>21.398087463109885</v>
      </c>
      <c r="F18" s="24">
        <f>+E18+H$27</f>
        <v>413.3980874631099</v>
      </c>
      <c r="G18" s="22"/>
      <c r="H18" s="43">
        <f>2*I9*E$26/60</f>
        <v>46.362522836738087</v>
      </c>
      <c r="I18" s="44">
        <f>+H18+H$28</f>
        <v>354.36252283673809</v>
      </c>
      <c r="J18" s="24"/>
      <c r="K18" s="24">
        <f>+I18-F18</f>
        <v>-59.035564626371809</v>
      </c>
      <c r="M18" s="24">
        <f>+H18-E18</f>
        <v>24.964435373628202</v>
      </c>
    </row>
    <row r="19" spans="2:13" x14ac:dyDescent="0.25">
      <c r="B19" s="22" t="str">
        <f t="shared" si="1"/>
        <v>Thursday-South</v>
      </c>
      <c r="E19" s="24">
        <f>2*F10*E$26/60</f>
        <v>28.530783284146516</v>
      </c>
      <c r="F19" s="24">
        <f>+E19+H$27</f>
        <v>420.53078328414654</v>
      </c>
      <c r="G19" s="22"/>
      <c r="H19" s="43">
        <f>2*I10*E$26/60</f>
        <v>53.495218657774714</v>
      </c>
      <c r="I19" s="44">
        <f>+H19+H$28</f>
        <v>361.49521865777473</v>
      </c>
      <c r="J19" s="24"/>
      <c r="K19" s="24">
        <f>+I19-F19</f>
        <v>-59.035564626371809</v>
      </c>
      <c r="M19" s="24">
        <f>+H19-E19</f>
        <v>24.964435373628199</v>
      </c>
    </row>
    <row r="20" spans="2:13" x14ac:dyDescent="0.25">
      <c r="B20" s="22" t="str">
        <f t="shared" si="1"/>
        <v>Thursday-North</v>
      </c>
      <c r="E20" s="24">
        <f>2*F11*E$26/60</f>
        <v>17.831739552591571</v>
      </c>
      <c r="F20" s="24">
        <f>+E20+H$27</f>
        <v>409.83173955259156</v>
      </c>
      <c r="G20" s="22"/>
      <c r="H20" s="43">
        <f>2*I11*E$26/60</f>
        <v>49.928870747256397</v>
      </c>
      <c r="I20" s="44">
        <f>+H20+H$28</f>
        <v>357.92887074725638</v>
      </c>
      <c r="J20" s="24"/>
      <c r="K20" s="24">
        <f>+I20-F20</f>
        <v>-51.902868805335174</v>
      </c>
      <c r="M20" s="24">
        <f>+H20-E20</f>
        <v>32.097131194664826</v>
      </c>
    </row>
    <row r="21" spans="2:13" x14ac:dyDescent="0.25">
      <c r="B21" s="22" t="str">
        <f t="shared" si="1"/>
        <v>Friday</v>
      </c>
      <c r="E21" s="24">
        <f>2*F12*E$26/60</f>
        <v>39.229827015701453</v>
      </c>
      <c r="F21" s="24">
        <f>+E21+H$27</f>
        <v>431.22982701570146</v>
      </c>
      <c r="G21" s="22"/>
      <c r="H21" s="43">
        <f>2*I12*E$26/60</f>
        <v>74.893306120884588</v>
      </c>
      <c r="I21" s="44">
        <f>+H21+H$28</f>
        <v>382.89330612088457</v>
      </c>
      <c r="J21" s="24"/>
      <c r="K21" s="24">
        <f>+I21-F21</f>
        <v>-48.336520894816886</v>
      </c>
      <c r="M21" s="24">
        <f>+H21-E21</f>
        <v>35.663479105183136</v>
      </c>
    </row>
    <row r="22" spans="2:13" x14ac:dyDescent="0.25">
      <c r="C22" s="22" t="s">
        <v>91</v>
      </c>
      <c r="E22" s="33">
        <f>SUM(E15:E21)*5*9/7</f>
        <v>1604.8565597332413</v>
      </c>
      <c r="F22" s="33">
        <f>SUM(F15:F21)*5*9/7</f>
        <v>19244.856559733245</v>
      </c>
      <c r="H22" s="33">
        <f>SUM(H15:H21)*5*9/7</f>
        <v>2430.2113618817652</v>
      </c>
      <c r="I22" s="33">
        <f>SUM(I15:I21)*5*9/7</f>
        <v>16290.211361881766</v>
      </c>
      <c r="K22" s="33">
        <f>SUM(K15:K21)</f>
        <v>-459.61147522134075</v>
      </c>
      <c r="M22" s="32">
        <f>+H22-E22</f>
        <v>825.35480214852396</v>
      </c>
    </row>
    <row r="23" spans="2:13" x14ac:dyDescent="0.25">
      <c r="C23" s="22" t="s">
        <v>92</v>
      </c>
      <c r="E23" s="36">
        <f>+E22*52</f>
        <v>83452.541106128541</v>
      </c>
      <c r="F23" s="36">
        <f t="shared" ref="F23:M23" si="2">+F22*52</f>
        <v>1000732.5411061287</v>
      </c>
      <c r="G23" s="36"/>
      <c r="H23" s="36">
        <f t="shared" si="2"/>
        <v>126370.99081785179</v>
      </c>
      <c r="I23" s="36">
        <f t="shared" si="2"/>
        <v>847090.99081785185</v>
      </c>
      <c r="J23" s="36">
        <f t="shared" si="2"/>
        <v>0</v>
      </c>
      <c r="K23" s="36">
        <f t="shared" si="2"/>
        <v>-23899.79671150972</v>
      </c>
      <c r="L23" s="36">
        <f t="shared" si="2"/>
        <v>0</v>
      </c>
      <c r="M23" s="36">
        <f t="shared" si="2"/>
        <v>42918.449711723246</v>
      </c>
    </row>
    <row r="24" spans="2:13" x14ac:dyDescent="0.25">
      <c r="C24" s="22" t="s">
        <v>71</v>
      </c>
    </row>
    <row r="25" spans="2:13" x14ac:dyDescent="0.25">
      <c r="B25" s="22">
        <v>1</v>
      </c>
      <c r="C25" s="22" t="s">
        <v>74</v>
      </c>
      <c r="E25" s="22">
        <v>7</v>
      </c>
      <c r="F25" t="s">
        <v>73</v>
      </c>
    </row>
    <row r="26" spans="2:13" x14ac:dyDescent="0.25">
      <c r="B26" s="22">
        <v>2</v>
      </c>
      <c r="C26" s="22" t="s">
        <v>79</v>
      </c>
      <c r="E26" s="28">
        <f>+'Tipping Fees'!D16</f>
        <v>106.99043731554943</v>
      </c>
    </row>
    <row r="27" spans="2:13" x14ac:dyDescent="0.25">
      <c r="B27" s="22">
        <v>3</v>
      </c>
      <c r="C27" s="22" t="s">
        <v>72</v>
      </c>
      <c r="E27" s="27">
        <v>56</v>
      </c>
      <c r="F27" s="22" t="s">
        <v>0</v>
      </c>
      <c r="H27" s="22">
        <f>+E25*E27</f>
        <v>392</v>
      </c>
      <c r="I27" s="22" t="s">
        <v>48</v>
      </c>
    </row>
    <row r="28" spans="2:13" x14ac:dyDescent="0.25">
      <c r="E28" s="27">
        <v>44</v>
      </c>
      <c r="F28" s="22" t="s">
        <v>1</v>
      </c>
      <c r="H28" s="22">
        <f>+E25*E28</f>
        <v>308</v>
      </c>
      <c r="I28" s="22" t="s">
        <v>48</v>
      </c>
    </row>
    <row r="29" spans="2:13" x14ac:dyDescent="0.25">
      <c r="H29" s="34">
        <f>+H27-H28</f>
        <v>84</v>
      </c>
      <c r="I29" s="22" t="s">
        <v>80</v>
      </c>
    </row>
    <row r="30" spans="2:13" x14ac:dyDescent="0.25">
      <c r="H30" s="22">
        <f>+'Tipping Fees'!I20</f>
        <v>2340</v>
      </c>
      <c r="I30" s="22" t="s">
        <v>82</v>
      </c>
    </row>
    <row r="31" spans="2:13" x14ac:dyDescent="0.25">
      <c r="C31" s="42"/>
      <c r="H31" s="36">
        <f>+H29*H30</f>
        <v>196560</v>
      </c>
      <c r="I31" s="22" t="s">
        <v>90</v>
      </c>
      <c r="M31" s="28">
        <f>+F23-I23</f>
        <v>153641.55028827686</v>
      </c>
    </row>
    <row r="32" spans="2:13" x14ac:dyDescent="0.25">
      <c r="B32" s="20" t="s">
        <v>93</v>
      </c>
    </row>
  </sheetData>
  <mergeCells count="2">
    <mergeCell ref="E3:F3"/>
    <mergeCell ref="H3:I3"/>
  </mergeCells>
  <pageMargins left="0.7" right="0.7" top="0.75" bottom="0.75" header="0.3" footer="0.3"/>
  <pageSetup orientation="landscape" r:id="rId1"/>
  <headerFooter>
    <oddFooter>&amp;L&amp;Z&amp;F&amp;R&amp;T&amp;D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QD2UCF5UJE4V-699202894-743</_dlc_DocId>
    <_dlc_DocIdUrl xmlns="7184055b-e5ea-4162-8b19-ace5c644b73a">
      <Url>http://intranet2/pw/_layouts/15/DocIdRedir.aspx?ID=QD2UCF5UJE4V-699202894-743</Url>
      <Description>QD2UCF5UJE4V-699202894-743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6CE12D9-C494-499C-B3F4-E6B2F5210920}"/>
</file>

<file path=customXml/itemProps2.xml><?xml version="1.0" encoding="utf-8"?>
<ds:datastoreItem xmlns:ds="http://schemas.openxmlformats.org/officeDocument/2006/customXml" ds:itemID="{5DF0D92E-47B3-4A80-97C1-832239EFF01B}"/>
</file>

<file path=customXml/itemProps3.xml><?xml version="1.0" encoding="utf-8"?>
<ds:datastoreItem xmlns:ds="http://schemas.openxmlformats.org/officeDocument/2006/customXml" ds:itemID="{B6CE12D9-C494-499C-B3F4-E6B2F5210920}"/>
</file>

<file path=customXml/itemProps4.xml><?xml version="1.0" encoding="utf-8"?>
<ds:datastoreItem xmlns:ds="http://schemas.openxmlformats.org/officeDocument/2006/customXml" ds:itemID="{BDD9F82D-287A-4925-BFDE-2678B182973E}"/>
</file>

<file path=customXml/itemProps5.xml><?xml version="1.0" encoding="utf-8"?>
<ds:datastoreItem xmlns:ds="http://schemas.openxmlformats.org/officeDocument/2006/customXml" ds:itemID="{AC5E8512-9307-41DA-8BD8-5B01BB0F8F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Tipping Fees</vt:lpstr>
      <vt:lpstr>Comparison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LeStrange, Rexie</dc:creator>
  <cp:lastModifiedBy>Stryder</cp:lastModifiedBy>
  <cp:lastPrinted>2013-05-24T22:07:05Z</cp:lastPrinted>
  <dcterms:created xsi:type="dcterms:W3CDTF">2013-05-17T18:51:39Z</dcterms:created>
  <dcterms:modified xsi:type="dcterms:W3CDTF">2013-05-24T22:09:58Z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bb913fea-5ac5-4526-9e61-a153d9fe2463</vt:lpwstr>
  </property>
  <property fmtid="{D5CDD505-2E9C-101B-9397-08002B2CF9AE}" pid="4" name="Order">
    <vt:r8>31300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http://intranet:12013/_layouts/DocIdRedir.aspx?ID=DS6S4WKU732Q-3-313, DS6S4WKU732Q-3-313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DS6S4WKU732Q-3-313</vt:lpwstr>
  </property>
</Properties>
</file>