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20" windowWidth="11715" windowHeight="8700" activeTab="4"/>
  </bookViews>
  <sheets>
    <sheet name="Original" sheetId="1" r:id="rId1"/>
    <sheet name="MCR" sheetId="2" r:id="rId2"/>
    <sheet name="Basin 7 13 10" sheetId="3" r:id="rId3"/>
    <sheet name="Ownership" sheetId="4" r:id="rId4"/>
    <sheet name="Basin 6 6 12" sheetId="5" r:id="rId5"/>
  </sheets>
  <calcPr calcId="125725"/>
</workbook>
</file>

<file path=xl/calcChain.xml><?xml version="1.0" encoding="utf-8"?>
<calcChain xmlns="http://schemas.openxmlformats.org/spreadsheetml/2006/main">
  <c r="E33" i="5"/>
  <c r="D33"/>
  <c r="E20"/>
  <c r="C46" l="1"/>
  <c r="D30"/>
  <c r="E30"/>
  <c r="E25"/>
  <c r="E26"/>
  <c r="E27"/>
  <c r="E29"/>
  <c r="E31"/>
  <c r="E32"/>
  <c r="E24"/>
  <c r="D28"/>
  <c r="E28"/>
  <c r="I33"/>
  <c r="J33" s="1"/>
  <c r="F33"/>
  <c r="B36" s="1"/>
  <c r="C36" s="1"/>
  <c r="C32"/>
  <c r="C33"/>
  <c r="J15"/>
  <c r="G15"/>
  <c r="J12"/>
  <c r="G12"/>
  <c r="C28" i="4"/>
  <c r="C8"/>
  <c r="C14"/>
  <c r="C20"/>
  <c r="C22"/>
  <c r="E17"/>
  <c r="E18"/>
  <c r="E11"/>
  <c r="E12"/>
  <c r="E13"/>
  <c r="E4"/>
  <c r="E5"/>
  <c r="E6"/>
  <c r="E7"/>
  <c r="E8"/>
  <c r="B32" i="3"/>
  <c r="B33"/>
  <c r="G14"/>
  <c r="G20"/>
  <c r="D14"/>
  <c r="D20"/>
  <c r="B32" i="1"/>
  <c r="B33"/>
  <c r="G20"/>
  <c r="G14"/>
  <c r="D20"/>
  <c r="D14"/>
  <c r="E8" i="2"/>
  <c r="E9"/>
  <c r="E22" i="5"/>
  <c r="D37" i="1"/>
  <c r="G33"/>
  <c r="G37"/>
  <c r="D33"/>
  <c r="E10" i="4"/>
  <c r="E14"/>
  <c r="C33" i="3"/>
  <c r="D33" s="1"/>
  <c r="D37" s="1"/>
  <c r="E19" i="4"/>
  <c r="E20"/>
  <c r="F33" i="3"/>
  <c r="G33" s="1"/>
  <c r="G37" s="1"/>
  <c r="G33" i="5" l="1"/>
  <c r="G36" s="1"/>
  <c r="J36"/>
  <c r="D36"/>
  <c r="E36"/>
</calcChain>
</file>

<file path=xl/sharedStrings.xml><?xml version="1.0" encoding="utf-8"?>
<sst xmlns="http://schemas.openxmlformats.org/spreadsheetml/2006/main" count="162" uniqueCount="91">
  <si>
    <t>Reimbursement</t>
  </si>
  <si>
    <t>Ardititi</t>
  </si>
  <si>
    <t>Brocchini</t>
  </si>
  <si>
    <t>$</t>
  </si>
  <si>
    <t>0.78 Ac</t>
  </si>
  <si>
    <t>1.63 Ac</t>
  </si>
  <si>
    <t>Dedication</t>
  </si>
  <si>
    <t xml:space="preserve">3.60 Ac </t>
  </si>
  <si>
    <t>1.70 Ac</t>
  </si>
  <si>
    <t>84'  Road ROW</t>
  </si>
  <si>
    <t>As needed</t>
  </si>
  <si>
    <t>Storm Drain Basin</t>
  </si>
  <si>
    <t>Construction Easements</t>
  </si>
  <si>
    <t>Storm Drain Basin and</t>
  </si>
  <si>
    <t>access easmements.</t>
  </si>
  <si>
    <t>Deductions</t>
  </si>
  <si>
    <t>Surveying &amp; Design</t>
  </si>
  <si>
    <t>Legal Descriptions</t>
  </si>
  <si>
    <t>Improvement Plans</t>
  </si>
  <si>
    <t>Traffic Signal Plans</t>
  </si>
  <si>
    <t>Storm Water Pollution Prevention plan</t>
  </si>
  <si>
    <t>Contingency</t>
  </si>
  <si>
    <t>Total</t>
  </si>
  <si>
    <t>3  Ac+/-</t>
  </si>
  <si>
    <t>Net Reimbursement Due</t>
  </si>
  <si>
    <t>Construction</t>
  </si>
  <si>
    <t>Storm Basin Grading</t>
  </si>
  <si>
    <t>SD Force Main</t>
  </si>
  <si>
    <t>Environmental Document</t>
  </si>
  <si>
    <t>SD Basin inlet &amp; conn.</t>
  </si>
  <si>
    <t>Pump Station</t>
  </si>
  <si>
    <t>Chain Link Fence</t>
  </si>
  <si>
    <t>Sub-Total</t>
  </si>
  <si>
    <t>Contingency - 10%</t>
  </si>
  <si>
    <t>$/SF</t>
  </si>
  <si>
    <t xml:space="preserve">38' of ROW </t>
  </si>
  <si>
    <t>Staking</t>
  </si>
  <si>
    <t>All weather access road</t>
  </si>
  <si>
    <t>OWNER</t>
  </si>
  <si>
    <t>PARCEL #</t>
  </si>
  <si>
    <t>ACRE</t>
  </si>
  <si>
    <t>%</t>
  </si>
  <si>
    <t>DURAO</t>
  </si>
  <si>
    <t>224-040-02</t>
  </si>
  <si>
    <t>BREITENBUCHER</t>
  </si>
  <si>
    <t>224-040-03</t>
  </si>
  <si>
    <t>HOUX</t>
  </si>
  <si>
    <t>224-040-10</t>
  </si>
  <si>
    <t>QUINTEL ROAD</t>
  </si>
  <si>
    <t>Sub Total</t>
  </si>
  <si>
    <t>ARDITI</t>
  </si>
  <si>
    <t>224-040-06</t>
  </si>
  <si>
    <t>224-040-07</t>
  </si>
  <si>
    <t>224-040-11</t>
  </si>
  <si>
    <t>2240-40-12</t>
  </si>
  <si>
    <t>BFP</t>
  </si>
  <si>
    <t>224-040-08</t>
  </si>
  <si>
    <t>224-040-04</t>
  </si>
  <si>
    <t>224-040-09</t>
  </si>
  <si>
    <t>Cost of Land for Basin =</t>
  </si>
  <si>
    <t>Cost of Construction for Basin =</t>
  </si>
  <si>
    <t>Initial Split</t>
  </si>
  <si>
    <t>Arditit</t>
  </si>
  <si>
    <t>Estimate</t>
  </si>
  <si>
    <t>Storm Drain Basin and acess easements</t>
  </si>
  <si>
    <t>Basin Outfall</t>
  </si>
  <si>
    <t xml:space="preserve"> Bubblers w/ Collar</t>
  </si>
  <si>
    <t>Item #</t>
  </si>
  <si>
    <t>7 &amp; cco</t>
  </si>
  <si>
    <t>Revised</t>
  </si>
  <si>
    <t>Arditis's Share of Cost</t>
  </si>
  <si>
    <t>* Original bid included Dewatering for SD Lift station only, but during excavation of basin</t>
  </si>
  <si>
    <t xml:space="preserve">groundwater levels were found to be higher than anticipated, requiring dewatering of the </t>
  </si>
  <si>
    <t>entire basin area, and some of the deeper sewer.  Hence actual proportion of dewatering</t>
  </si>
  <si>
    <t>atributable to the basin will only be determined when dewatering is complete.</t>
  </si>
  <si>
    <t>Storm Basin Grading **</t>
  </si>
  <si>
    <t>**  Original estimate assumed that material would be stockpiled on site.  Bid price included trucking</t>
  </si>
  <si>
    <t>the material across town for disposal.  Contractor is going to provide breakdown on cost of trucking.</t>
  </si>
  <si>
    <t>Access road - 200' x 12' x 0.5' AB</t>
  </si>
  <si>
    <t>$/CY</t>
  </si>
  <si>
    <t>none</t>
  </si>
  <si>
    <t>No</t>
  </si>
  <si>
    <t>Trucking</t>
  </si>
  <si>
    <t>Bid</t>
  </si>
  <si>
    <t xml:space="preserve">Bid  </t>
  </si>
  <si>
    <t>Prices</t>
  </si>
  <si>
    <t>CY      @</t>
  </si>
  <si>
    <t>Description</t>
  </si>
  <si>
    <t>Dewatering (40% )*</t>
  </si>
  <si>
    <t>Mob/ Demob (24% of $48,100)</t>
  </si>
  <si>
    <t>Clearing (30% of $14,000)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</si>
</sst>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4">
    <font>
      <sz val="12"/>
      <name val="Arial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0" fontId="0" fillId="0" borderId="1" xfId="0" applyFill="1" applyBorder="1" applyAlignment="1">
      <alignment horizontal="center"/>
    </xf>
    <xf numFmtId="0" fontId="2" fillId="0" borderId="0" xfId="0" applyFont="1"/>
    <xf numFmtId="10" fontId="0" fillId="0" borderId="0" xfId="0" applyNumberFormat="1"/>
    <xf numFmtId="9" fontId="0" fillId="0" borderId="0" xfId="3" applyFont="1"/>
    <xf numFmtId="165" fontId="0" fillId="0" borderId="0" xfId="0" applyNumberFormat="1"/>
    <xf numFmtId="165" fontId="0" fillId="0" borderId="1" xfId="0" applyNumberFormat="1" applyBorder="1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 indent="1"/>
    </xf>
    <xf numFmtId="43" fontId="0" fillId="0" borderId="0" xfId="1" quotePrefix="1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0" xfId="3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0" fontId="8" fillId="0" borderId="1" xfId="3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43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9" fontId="8" fillId="0" borderId="0" xfId="3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/>
    <xf numFmtId="164" fontId="11" fillId="0" borderId="2" xfId="2" applyNumberFormat="1" applyFont="1" applyBorder="1"/>
    <xf numFmtId="165" fontId="11" fillId="0" borderId="2" xfId="1" applyNumberFormat="1" applyFont="1" applyBorder="1"/>
    <xf numFmtId="164" fontId="11" fillId="0" borderId="2" xfId="0" applyNumberFormat="1" applyFont="1" applyBorder="1"/>
    <xf numFmtId="164" fontId="11" fillId="0" borderId="0" xfId="2" applyNumberFormat="1" applyFont="1"/>
    <xf numFmtId="10" fontId="11" fillId="0" borderId="0" xfId="0" applyNumberFormat="1" applyFont="1"/>
    <xf numFmtId="0" fontId="13" fillId="0" borderId="0" xfId="0" applyFont="1"/>
    <xf numFmtId="0" fontId="11" fillId="0" borderId="0" xfId="0" applyFont="1"/>
    <xf numFmtId="165" fontId="11" fillId="0" borderId="0" xfId="1" applyNumberFormat="1" applyFont="1"/>
    <xf numFmtId="165" fontId="11" fillId="0" borderId="2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2"/>
    </xf>
    <xf numFmtId="0" fontId="8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2" xfId="0" applyFont="1" applyBorder="1" applyAlignment="1">
      <alignment shrinkToFi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7"/>
  <sheetViews>
    <sheetView workbookViewId="0">
      <selection activeCell="A22" sqref="A22"/>
    </sheetView>
  </sheetViews>
  <sheetFormatPr defaultRowHeight="15"/>
  <cols>
    <col min="1" max="1" width="19.5546875" customWidth="1"/>
    <col min="2" max="2" width="10.77734375" customWidth="1"/>
    <col min="3" max="3" width="11.88671875" customWidth="1"/>
    <col min="4" max="4" width="10.77734375" customWidth="1"/>
    <col min="5" max="5" width="2.5546875" customWidth="1"/>
    <col min="6" max="6" width="10.44140625" customWidth="1"/>
    <col min="7" max="7" width="10.77734375" customWidth="1"/>
  </cols>
  <sheetData>
    <row r="2" spans="1:7">
      <c r="C2" s="1" t="s">
        <v>1</v>
      </c>
      <c r="D2" s="2" t="s">
        <v>3</v>
      </c>
      <c r="E2" s="1"/>
      <c r="F2" s="1" t="s">
        <v>2</v>
      </c>
      <c r="G2" s="5" t="s">
        <v>3</v>
      </c>
    </row>
    <row r="3" spans="1:7" ht="15.75">
      <c r="A3" s="6" t="s">
        <v>6</v>
      </c>
      <c r="B3" s="6"/>
    </row>
    <row r="4" spans="1:7">
      <c r="A4" t="s">
        <v>9</v>
      </c>
      <c r="C4" t="s">
        <v>7</v>
      </c>
      <c r="F4" t="s">
        <v>8</v>
      </c>
    </row>
    <row r="6" spans="1:7">
      <c r="A6" t="s">
        <v>12</v>
      </c>
      <c r="C6" t="s">
        <v>10</v>
      </c>
      <c r="F6" t="s">
        <v>10</v>
      </c>
    </row>
    <row r="8" spans="1:7">
      <c r="A8" t="s">
        <v>13</v>
      </c>
      <c r="C8" t="s">
        <v>23</v>
      </c>
    </row>
    <row r="9" spans="1:7">
      <c r="A9" t="s">
        <v>14</v>
      </c>
    </row>
    <row r="12" spans="1:7" ht="15.75">
      <c r="A12" s="6" t="s">
        <v>0</v>
      </c>
      <c r="B12" s="6"/>
    </row>
    <row r="13" spans="1:7">
      <c r="A13" t="s">
        <v>35</v>
      </c>
      <c r="C13" t="s">
        <v>5</v>
      </c>
      <c r="F13" t="s">
        <v>4</v>
      </c>
    </row>
    <row r="14" spans="1:7">
      <c r="A14" s="15">
        <v>8</v>
      </c>
      <c r="B14" t="s">
        <v>34</v>
      </c>
      <c r="C14" s="4">
        <v>70885</v>
      </c>
      <c r="D14" s="3">
        <f>+A14*C14</f>
        <v>567080</v>
      </c>
      <c r="F14" s="4">
        <v>33995</v>
      </c>
      <c r="G14" s="3">
        <f>+A14*F14</f>
        <v>271960</v>
      </c>
    </row>
    <row r="18" spans="1:7" ht="15.75">
      <c r="A18" s="6" t="s">
        <v>15</v>
      </c>
      <c r="B18" s="6"/>
    </row>
    <row r="20" spans="1:7">
      <c r="A20" s="12" t="s">
        <v>16</v>
      </c>
      <c r="B20" s="3">
        <v>80000</v>
      </c>
      <c r="C20" s="7">
        <v>0.76890000000000003</v>
      </c>
      <c r="D20" s="3">
        <f>+B20*C20</f>
        <v>61512</v>
      </c>
      <c r="F20" s="7">
        <v>0.2311</v>
      </c>
      <c r="G20" s="11">
        <f>+F20*B20</f>
        <v>18488</v>
      </c>
    </row>
    <row r="22" spans="1:7">
      <c r="A22" s="12" t="s">
        <v>28</v>
      </c>
    </row>
    <row r="24" spans="1:7">
      <c r="A24" s="12" t="s">
        <v>25</v>
      </c>
    </row>
    <row r="25" spans="1:7">
      <c r="A25" s="13" t="s">
        <v>26</v>
      </c>
      <c r="B25" s="3">
        <v>40000</v>
      </c>
    </row>
    <row r="26" spans="1:7">
      <c r="A26" s="13" t="s">
        <v>27</v>
      </c>
      <c r="B26" s="3">
        <v>55000</v>
      </c>
    </row>
    <row r="27" spans="1:7">
      <c r="A27" s="13" t="s">
        <v>29</v>
      </c>
      <c r="B27" s="3">
        <v>15000</v>
      </c>
    </row>
    <row r="28" spans="1:7">
      <c r="A28" s="13" t="s">
        <v>30</v>
      </c>
      <c r="B28" s="3">
        <v>240000</v>
      </c>
    </row>
    <row r="29" spans="1:7">
      <c r="A29" s="13" t="s">
        <v>36</v>
      </c>
      <c r="B29" s="3">
        <v>5000</v>
      </c>
    </row>
    <row r="30" spans="1:7">
      <c r="A30" s="13" t="s">
        <v>37</v>
      </c>
      <c r="B30" s="3">
        <v>10000</v>
      </c>
    </row>
    <row r="31" spans="1:7">
      <c r="A31" s="13" t="s">
        <v>31</v>
      </c>
      <c r="B31" s="3">
        <v>10000</v>
      </c>
    </row>
    <row r="32" spans="1:7">
      <c r="A32" s="13" t="s">
        <v>33</v>
      </c>
      <c r="B32" s="11">
        <f>SUM(B25:B31)*0.1</f>
        <v>37500</v>
      </c>
    </row>
    <row r="33" spans="1:7">
      <c r="A33" s="14" t="s">
        <v>32</v>
      </c>
      <c r="B33" s="3">
        <f>SUM(B25:B32)</f>
        <v>412500</v>
      </c>
      <c r="D33" s="11">
        <f>+C20*B33</f>
        <v>317171.25</v>
      </c>
      <c r="G33" s="11">
        <f>+F20*B33</f>
        <v>95328.75</v>
      </c>
    </row>
    <row r="36" spans="1:7" ht="15.75">
      <c r="A36" s="6" t="s">
        <v>24</v>
      </c>
      <c r="B36" s="6"/>
    </row>
    <row r="37" spans="1:7">
      <c r="D37" s="11">
        <f>+D14-D20-D33</f>
        <v>188396.75</v>
      </c>
      <c r="G37" s="11">
        <f>+G14-G20-G33</f>
        <v>158143.25</v>
      </c>
    </row>
  </sheetData>
  <phoneticPr fontId="3" type="noConversion"/>
  <pageMargins left="0.75" right="0.5" top="1" bottom="1" header="0.5" footer="0.5"/>
  <pageSetup orientation="portrait" r:id="rId1"/>
  <headerFooter alignWithMargins="0">
    <oddFooter>&amp;L&amp;9&amp;Z&amp;F&amp;R&amp;T&amp;D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E9"/>
  <sheetViews>
    <sheetView workbookViewId="0">
      <selection activeCell="E9" sqref="E9"/>
    </sheetView>
  </sheetViews>
  <sheetFormatPr defaultRowHeight="15"/>
  <cols>
    <col min="5" max="5" width="10" bestFit="1" customWidth="1"/>
  </cols>
  <sheetData>
    <row r="3" spans="2:5">
      <c r="B3" t="s">
        <v>17</v>
      </c>
      <c r="E3" s="4">
        <v>3600</v>
      </c>
    </row>
    <row r="4" spans="2:5">
      <c r="B4" t="s">
        <v>18</v>
      </c>
      <c r="E4" s="4">
        <v>34200</v>
      </c>
    </row>
    <row r="5" spans="2:5">
      <c r="B5" t="s">
        <v>19</v>
      </c>
      <c r="E5" s="4">
        <v>14800</v>
      </c>
    </row>
    <row r="6" spans="2:5">
      <c r="B6" t="s">
        <v>11</v>
      </c>
      <c r="E6" s="4">
        <v>14800</v>
      </c>
    </row>
    <row r="7" spans="2:5">
      <c r="B7" t="s">
        <v>20</v>
      </c>
      <c r="E7" s="4">
        <v>4800</v>
      </c>
    </row>
    <row r="8" spans="2:5">
      <c r="B8" t="s">
        <v>21</v>
      </c>
      <c r="D8" s="8">
        <v>0.1</v>
      </c>
      <c r="E8" s="10">
        <f>SUM(E3:E7)*D8</f>
        <v>7220</v>
      </c>
    </row>
    <row r="9" spans="2:5">
      <c r="C9" t="s">
        <v>22</v>
      </c>
      <c r="E9" s="9">
        <f>SUM(E3:E8)</f>
        <v>79420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7"/>
  <sheetViews>
    <sheetView topLeftCell="A19" workbookViewId="0">
      <selection activeCell="B41" sqref="B41"/>
    </sheetView>
  </sheetViews>
  <sheetFormatPr defaultRowHeight="15"/>
  <cols>
    <col min="1" max="1" width="19.5546875" customWidth="1"/>
    <col min="2" max="2" width="10.77734375" customWidth="1"/>
    <col min="3" max="3" width="11.88671875" customWidth="1"/>
    <col min="4" max="4" width="10.77734375" customWidth="1"/>
    <col min="5" max="5" width="2.5546875" customWidth="1"/>
    <col min="6" max="6" width="10.44140625" customWidth="1"/>
    <col min="7" max="7" width="10.77734375" customWidth="1"/>
  </cols>
  <sheetData>
    <row r="2" spans="1:7">
      <c r="C2" s="1" t="s">
        <v>1</v>
      </c>
      <c r="D2" s="2" t="s">
        <v>3</v>
      </c>
      <c r="E2" s="1"/>
      <c r="F2" s="1" t="s">
        <v>2</v>
      </c>
      <c r="G2" s="5" t="s">
        <v>3</v>
      </c>
    </row>
    <row r="3" spans="1:7" ht="15.75">
      <c r="A3" s="6" t="s">
        <v>6</v>
      </c>
      <c r="B3" s="6"/>
    </row>
    <row r="4" spans="1:7">
      <c r="A4" t="s">
        <v>9</v>
      </c>
      <c r="C4" t="s">
        <v>7</v>
      </c>
      <c r="F4" t="s">
        <v>8</v>
      </c>
    </row>
    <row r="6" spans="1:7">
      <c r="A6" t="s">
        <v>12</v>
      </c>
      <c r="C6" t="s">
        <v>10</v>
      </c>
      <c r="F6" t="s">
        <v>10</v>
      </c>
    </row>
    <row r="8" spans="1:7">
      <c r="A8" t="s">
        <v>13</v>
      </c>
      <c r="C8" t="s">
        <v>23</v>
      </c>
    </row>
    <row r="9" spans="1:7">
      <c r="A9" t="s">
        <v>14</v>
      </c>
    </row>
    <row r="12" spans="1:7" ht="15.75">
      <c r="A12" s="6" t="s">
        <v>0</v>
      </c>
      <c r="B12" s="6"/>
    </row>
    <row r="13" spans="1:7">
      <c r="A13" t="s">
        <v>35</v>
      </c>
      <c r="C13" t="s">
        <v>5</v>
      </c>
      <c r="F13" t="s">
        <v>4</v>
      </c>
    </row>
    <row r="14" spans="1:7">
      <c r="A14" s="15">
        <v>8</v>
      </c>
      <c r="B14" t="s">
        <v>34</v>
      </c>
      <c r="C14" s="4">
        <v>70885</v>
      </c>
      <c r="D14" s="3">
        <f>+A14*C14</f>
        <v>567080</v>
      </c>
      <c r="F14" s="4">
        <v>33995</v>
      </c>
      <c r="G14" s="3">
        <f>+A14*F14</f>
        <v>271960</v>
      </c>
    </row>
    <row r="18" spans="1:7" ht="15.75">
      <c r="A18" s="6" t="s">
        <v>15</v>
      </c>
      <c r="B18" s="6"/>
    </row>
    <row r="20" spans="1:7">
      <c r="A20" s="12" t="s">
        <v>16</v>
      </c>
      <c r="B20" s="3">
        <v>80000</v>
      </c>
      <c r="C20" s="7">
        <v>0.76890000000000003</v>
      </c>
      <c r="D20" s="3">
        <f>+B20*C20</f>
        <v>61512</v>
      </c>
      <c r="F20" s="7">
        <v>0.2311</v>
      </c>
      <c r="G20" s="11">
        <f>+F20*B20</f>
        <v>18488</v>
      </c>
    </row>
    <row r="22" spans="1:7">
      <c r="A22" s="12" t="s">
        <v>28</v>
      </c>
    </row>
    <row r="24" spans="1:7">
      <c r="A24" s="12" t="s">
        <v>25</v>
      </c>
    </row>
    <row r="25" spans="1:7">
      <c r="A25" s="13" t="s">
        <v>26</v>
      </c>
      <c r="B25" s="3">
        <v>40000</v>
      </c>
    </row>
    <row r="26" spans="1:7">
      <c r="A26" s="13" t="s">
        <v>27</v>
      </c>
      <c r="B26" s="3">
        <v>55000</v>
      </c>
    </row>
    <row r="27" spans="1:7">
      <c r="A27" s="13" t="s">
        <v>29</v>
      </c>
      <c r="B27" s="3">
        <v>15000</v>
      </c>
    </row>
    <row r="28" spans="1:7">
      <c r="A28" s="13" t="s">
        <v>30</v>
      </c>
      <c r="B28" s="3">
        <v>240000</v>
      </c>
    </row>
    <row r="29" spans="1:7">
      <c r="A29" s="13" t="s">
        <v>36</v>
      </c>
      <c r="B29" s="3">
        <v>5000</v>
      </c>
    </row>
    <row r="30" spans="1:7">
      <c r="A30" s="13" t="s">
        <v>37</v>
      </c>
      <c r="B30" s="3">
        <v>10000</v>
      </c>
    </row>
    <row r="31" spans="1:7">
      <c r="A31" s="13" t="s">
        <v>31</v>
      </c>
      <c r="B31" s="3">
        <v>10000</v>
      </c>
    </row>
    <row r="32" spans="1:7">
      <c r="A32" s="13" t="s">
        <v>33</v>
      </c>
      <c r="B32" s="11">
        <f>SUM(B25:B31)*0.15</f>
        <v>56250</v>
      </c>
    </row>
    <row r="33" spans="1:7">
      <c r="A33" s="14" t="s">
        <v>32</v>
      </c>
      <c r="B33" s="3">
        <f>ROUNDUP(SUM(B25:B32),-3)</f>
        <v>432000</v>
      </c>
      <c r="C33" s="7">
        <f>+Ownership!E14</f>
        <v>0.68826546634565056</v>
      </c>
      <c r="D33" s="11">
        <f>+B33*C33</f>
        <v>297330.68146132102</v>
      </c>
      <c r="F33" s="7">
        <f>+Ownership!E20</f>
        <v>0.17272061132628491</v>
      </c>
      <c r="G33" s="11">
        <f>+B33*F33</f>
        <v>74615.304092955077</v>
      </c>
    </row>
    <row r="36" spans="1:7" ht="15.75">
      <c r="A36" s="6" t="s">
        <v>24</v>
      </c>
      <c r="B36" s="6"/>
    </row>
    <row r="37" spans="1:7">
      <c r="D37" s="11">
        <f>+D14-D20-D33</f>
        <v>208237.31853867898</v>
      </c>
      <c r="G37" s="11">
        <f>+G14-G20-G33</f>
        <v>178856.69590704492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topLeftCell="A7" workbookViewId="0">
      <selection activeCell="H8" sqref="H8"/>
    </sheetView>
  </sheetViews>
  <sheetFormatPr defaultRowHeight="15.75"/>
  <cols>
    <col min="1" max="1" width="13.21875" style="18" bestFit="1" customWidth="1"/>
    <col min="2" max="2" width="9" style="18" bestFit="1" customWidth="1"/>
    <col min="3" max="3" width="8.33203125" style="18" customWidth="1"/>
    <col min="4" max="4" width="1.6640625" style="18" customWidth="1"/>
    <col min="5" max="5" width="6" style="18" bestFit="1" customWidth="1"/>
    <col min="6" max="6" width="10.77734375" style="18" customWidth="1"/>
    <col min="7" max="7" width="10.109375" style="18" customWidth="1"/>
    <col min="8" max="8" width="9.5546875" style="18" bestFit="1" customWidth="1"/>
    <col min="9" max="9" width="10.5546875" style="18" bestFit="1" customWidth="1"/>
    <col min="10" max="10" width="17.77734375" style="18" customWidth="1"/>
    <col min="11" max="16384" width="8.88671875" style="18"/>
  </cols>
  <sheetData>
    <row r="1" spans="1:10">
      <c r="A1" s="16" t="s">
        <v>38</v>
      </c>
      <c r="B1" s="16" t="s">
        <v>39</v>
      </c>
      <c r="C1" s="16" t="s">
        <v>40</v>
      </c>
      <c r="D1" s="17"/>
      <c r="E1" s="16" t="s">
        <v>41</v>
      </c>
      <c r="F1" s="52"/>
      <c r="G1" s="52"/>
    </row>
    <row r="2" spans="1:10">
      <c r="A2" s="19"/>
      <c r="B2" s="19"/>
      <c r="C2" s="19"/>
      <c r="D2" s="19"/>
      <c r="E2" s="19"/>
      <c r="F2" s="19"/>
      <c r="G2" s="19"/>
      <c r="H2" s="19"/>
      <c r="I2" s="19"/>
    </row>
    <row r="4" spans="1:10">
      <c r="A4" s="18" t="s">
        <v>42</v>
      </c>
      <c r="B4" s="18" t="s">
        <v>43</v>
      </c>
      <c r="C4" s="18">
        <v>0.54</v>
      </c>
      <c r="E4" s="20">
        <f>+C4/C$22</f>
        <v>5.6526745524965978E-3</v>
      </c>
      <c r="F4" s="21"/>
      <c r="G4" s="21"/>
      <c r="H4" s="21"/>
    </row>
    <row r="5" spans="1:10">
      <c r="A5" s="18" t="s">
        <v>44</v>
      </c>
      <c r="B5" s="18" t="s">
        <v>45</v>
      </c>
      <c r="C5" s="18">
        <v>1.34</v>
      </c>
      <c r="E5" s="20">
        <f>+C5/C$22</f>
        <v>1.402700722286193E-2</v>
      </c>
      <c r="F5" s="21"/>
      <c r="G5" s="21"/>
      <c r="H5" s="21"/>
    </row>
    <row r="6" spans="1:10">
      <c r="A6" s="18" t="s">
        <v>46</v>
      </c>
      <c r="B6" s="18" t="s">
        <v>47</v>
      </c>
      <c r="C6" s="18">
        <v>9.18</v>
      </c>
      <c r="E6" s="20">
        <f>+C6/C$22</f>
        <v>9.6095467392442166E-2</v>
      </c>
      <c r="F6" s="21"/>
      <c r="G6" s="21"/>
      <c r="H6" s="21"/>
    </row>
    <row r="7" spans="1:10">
      <c r="A7" s="18" t="s">
        <v>48</v>
      </c>
      <c r="C7" s="19">
        <v>2.2200000000000002</v>
      </c>
      <c r="D7" s="19"/>
      <c r="E7" s="22">
        <f>+C7/C$22</f>
        <v>2.3238773160263793E-2</v>
      </c>
      <c r="F7" s="23"/>
      <c r="G7" s="23"/>
      <c r="H7" s="23"/>
      <c r="I7" s="19"/>
    </row>
    <row r="8" spans="1:10">
      <c r="B8" s="18" t="s">
        <v>49</v>
      </c>
      <c r="C8" s="18">
        <f>SUM(C4:C7)</f>
        <v>13.280000000000001</v>
      </c>
      <c r="E8" s="24">
        <f>SUM(E4:E7)</f>
        <v>0.13901392232806448</v>
      </c>
      <c r="F8" s="21"/>
      <c r="G8" s="21"/>
      <c r="H8" s="21"/>
    </row>
    <row r="9" spans="1:10">
      <c r="F9" s="21"/>
      <c r="G9" s="21"/>
    </row>
    <row r="10" spans="1:10">
      <c r="A10" s="18" t="s">
        <v>50</v>
      </c>
      <c r="B10" s="18" t="s">
        <v>51</v>
      </c>
      <c r="C10" s="18">
        <v>6.21</v>
      </c>
      <c r="E10" s="20">
        <f>+C10/C$22</f>
        <v>6.5005757353710877E-2</v>
      </c>
      <c r="F10" s="21"/>
      <c r="G10" s="21"/>
      <c r="H10" s="21"/>
    </row>
    <row r="11" spans="1:10">
      <c r="A11" s="18" t="s">
        <v>50</v>
      </c>
      <c r="B11" s="18" t="s">
        <v>52</v>
      </c>
      <c r="C11" s="18">
        <v>11.39</v>
      </c>
      <c r="E11" s="20">
        <f>+C11/C$22</f>
        <v>0.11922956139432639</v>
      </c>
      <c r="F11" s="21"/>
      <c r="G11" s="21"/>
      <c r="H11" s="21"/>
    </row>
    <row r="12" spans="1:10">
      <c r="A12" s="18" t="s">
        <v>50</v>
      </c>
      <c r="B12" s="18" t="s">
        <v>53</v>
      </c>
      <c r="C12" s="18">
        <v>8.75</v>
      </c>
      <c r="E12" s="20">
        <f>+C12/C$22</f>
        <v>9.1594263582120805E-2</v>
      </c>
      <c r="F12" s="21"/>
      <c r="G12" s="21"/>
      <c r="H12" s="21"/>
    </row>
    <row r="13" spans="1:10">
      <c r="A13" s="18" t="s">
        <v>50</v>
      </c>
      <c r="B13" s="18" t="s">
        <v>54</v>
      </c>
      <c r="C13" s="19">
        <v>39.4</v>
      </c>
      <c r="D13" s="19"/>
      <c r="E13" s="22">
        <f>+C13/C$22</f>
        <v>0.41243588401549247</v>
      </c>
      <c r="F13" s="23"/>
      <c r="G13" s="23"/>
      <c r="H13" s="23"/>
      <c r="I13" s="19"/>
    </row>
    <row r="14" spans="1:10">
      <c r="B14" s="18" t="s">
        <v>49</v>
      </c>
      <c r="C14" s="18">
        <f>SUM(C10:C13)</f>
        <v>65.75</v>
      </c>
      <c r="E14" s="24">
        <f>SUM(E10:E13)</f>
        <v>0.68826546634565056</v>
      </c>
      <c r="F14" s="21"/>
      <c r="G14" s="21"/>
      <c r="H14" s="21"/>
      <c r="I14" s="25"/>
    </row>
    <row r="15" spans="1:10">
      <c r="E15" s="24"/>
      <c r="F15" s="21"/>
      <c r="G15" s="21"/>
      <c r="H15" s="21"/>
      <c r="J15" s="26"/>
    </row>
    <row r="16" spans="1:10">
      <c r="E16" s="20"/>
      <c r="F16" s="21"/>
      <c r="G16" s="21"/>
      <c r="H16" s="21"/>
      <c r="I16" s="27"/>
    </row>
    <row r="17" spans="1:10">
      <c r="A17" s="18" t="s">
        <v>55</v>
      </c>
      <c r="B17" s="18" t="s">
        <v>56</v>
      </c>
      <c r="C17" s="18">
        <v>4.5999999999999996</v>
      </c>
      <c r="E17" s="20">
        <f>+C17/C$22</f>
        <v>4.8152412854600646E-2</v>
      </c>
      <c r="F17" s="21"/>
      <c r="G17" s="21"/>
      <c r="H17" s="21"/>
    </row>
    <row r="18" spans="1:10">
      <c r="A18" s="18" t="s">
        <v>55</v>
      </c>
      <c r="B18" s="18" t="s">
        <v>57</v>
      </c>
      <c r="C18" s="18">
        <v>1.54</v>
      </c>
      <c r="E18" s="20">
        <f>+C18/C$22</f>
        <v>1.6120590390453261E-2</v>
      </c>
      <c r="F18" s="21"/>
      <c r="G18" s="21"/>
      <c r="H18" s="21"/>
    </row>
    <row r="19" spans="1:10">
      <c r="A19" s="18" t="s">
        <v>55</v>
      </c>
      <c r="B19" s="18" t="s">
        <v>58</v>
      </c>
      <c r="C19" s="19">
        <v>10.36</v>
      </c>
      <c r="D19" s="19"/>
      <c r="E19" s="22">
        <f>+C19/C$22</f>
        <v>0.10844760808123102</v>
      </c>
      <c r="F19" s="23"/>
      <c r="G19" s="23"/>
      <c r="H19" s="23"/>
      <c r="I19" s="19"/>
    </row>
    <row r="20" spans="1:10">
      <c r="B20" s="18" t="s">
        <v>49</v>
      </c>
      <c r="C20" s="18">
        <f>SUM(C17:C19)</f>
        <v>16.5</v>
      </c>
      <c r="E20" s="24">
        <f>SUM(E17:E19)</f>
        <v>0.17272061132628491</v>
      </c>
      <c r="F20" s="21"/>
      <c r="G20" s="21"/>
      <c r="H20" s="21"/>
      <c r="I20" s="28"/>
      <c r="J20" s="26"/>
    </row>
    <row r="21" spans="1:10">
      <c r="I21" s="21"/>
    </row>
    <row r="22" spans="1:10">
      <c r="B22" s="18" t="s">
        <v>22</v>
      </c>
      <c r="C22" s="18">
        <f>+C8+C14+C20</f>
        <v>95.53</v>
      </c>
    </row>
    <row r="23" spans="1:10">
      <c r="C23" s="29" t="s">
        <v>59</v>
      </c>
      <c r="F23" s="25"/>
    </row>
    <row r="24" spans="1:10">
      <c r="B24" s="30"/>
      <c r="C24" s="29" t="s">
        <v>60</v>
      </c>
      <c r="F24" s="31"/>
    </row>
    <row r="25" spans="1:10">
      <c r="F25" s="28"/>
    </row>
    <row r="26" spans="1:10">
      <c r="A26" s="18" t="s">
        <v>61</v>
      </c>
      <c r="B26" s="18" t="s">
        <v>62</v>
      </c>
      <c r="C26" s="32">
        <v>0.76900000000000002</v>
      </c>
      <c r="F26" s="33"/>
    </row>
    <row r="27" spans="1:10">
      <c r="B27" s="18" t="s">
        <v>55</v>
      </c>
      <c r="C27" s="32">
        <v>0.23100000000000001</v>
      </c>
    </row>
    <row r="28" spans="1:10">
      <c r="C28" s="34">
        <f>+C26+C27</f>
        <v>1</v>
      </c>
    </row>
  </sheetData>
  <mergeCells count="1">
    <mergeCell ref="F1:G1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6" workbookViewId="0">
      <selection activeCell="E22" sqref="E22"/>
    </sheetView>
  </sheetViews>
  <sheetFormatPr defaultRowHeight="15"/>
  <cols>
    <col min="1" max="1" width="5.77734375" bestFit="1" customWidth="1"/>
    <col min="2" max="2" width="19.5546875" customWidth="1"/>
    <col min="3" max="3" width="8.5546875" bestFit="1" customWidth="1"/>
    <col min="4" max="4" width="8.77734375" customWidth="1"/>
    <col min="5" max="5" width="8.6640625" customWidth="1"/>
    <col min="6" max="6" width="11.88671875" hidden="1" customWidth="1"/>
    <col min="7" max="7" width="10.77734375" hidden="1" customWidth="1"/>
    <col min="8" max="8" width="2.5546875" hidden="1" customWidth="1"/>
    <col min="9" max="9" width="10.44140625" hidden="1" customWidth="1"/>
    <col min="10" max="10" width="10.77734375" hidden="1" customWidth="1"/>
    <col min="11" max="11" width="10.6640625" customWidth="1"/>
    <col min="12" max="12" width="5.6640625" customWidth="1"/>
  </cols>
  <sheetData>
    <row r="1" spans="1:10" ht="6.75" customHeight="1"/>
    <row r="2" spans="1:10">
      <c r="F2" s="1" t="s">
        <v>1</v>
      </c>
      <c r="G2" s="2" t="s">
        <v>3</v>
      </c>
      <c r="H2" s="1"/>
      <c r="I2" s="1" t="s">
        <v>2</v>
      </c>
      <c r="J2" s="5" t="s">
        <v>3</v>
      </c>
    </row>
    <row r="3" spans="1:10" ht="15.75">
      <c r="A3" s="6"/>
      <c r="B3" s="6" t="s">
        <v>6</v>
      </c>
      <c r="C3" s="6"/>
      <c r="D3" s="6"/>
      <c r="E3" s="6"/>
    </row>
    <row r="4" spans="1:10">
      <c r="B4" t="s">
        <v>9</v>
      </c>
      <c r="F4" t="s">
        <v>7</v>
      </c>
      <c r="I4" t="s">
        <v>8</v>
      </c>
    </row>
    <row r="6" spans="1:10">
      <c r="B6" t="s">
        <v>12</v>
      </c>
      <c r="F6" t="s">
        <v>10</v>
      </c>
      <c r="I6" t="s">
        <v>10</v>
      </c>
    </row>
    <row r="8" spans="1:10">
      <c r="B8" t="s">
        <v>64</v>
      </c>
      <c r="F8" t="s">
        <v>23</v>
      </c>
    </row>
    <row r="10" spans="1:10" ht="15.75">
      <c r="A10" s="6"/>
      <c r="B10" s="6" t="s">
        <v>0</v>
      </c>
      <c r="C10" s="6"/>
      <c r="D10" s="6"/>
      <c r="E10" s="6"/>
    </row>
    <row r="11" spans="1:10">
      <c r="B11" t="s">
        <v>35</v>
      </c>
      <c r="F11" t="s">
        <v>5</v>
      </c>
      <c r="I11" t="s">
        <v>4</v>
      </c>
    </row>
    <row r="12" spans="1:10">
      <c r="B12" s="15">
        <v>8</v>
      </c>
      <c r="C12" t="s">
        <v>34</v>
      </c>
      <c r="F12" s="4">
        <v>70885</v>
      </c>
      <c r="G12" s="3">
        <f>+B12*F12</f>
        <v>567080</v>
      </c>
      <c r="I12" s="4">
        <v>33995</v>
      </c>
      <c r="J12" s="3">
        <f>+B12*I12</f>
        <v>271960</v>
      </c>
    </row>
    <row r="13" spans="1:10" ht="15.75">
      <c r="A13" s="6"/>
      <c r="B13" s="6" t="s">
        <v>15</v>
      </c>
      <c r="C13" s="6"/>
      <c r="D13" s="6"/>
      <c r="E13" s="6"/>
    </row>
    <row r="15" spans="1:10">
      <c r="A15" s="3"/>
      <c r="B15" s="12" t="s">
        <v>16</v>
      </c>
      <c r="C15" s="3">
        <v>80000</v>
      </c>
      <c r="D15" s="3"/>
      <c r="E15" s="3"/>
      <c r="F15" s="7">
        <v>0.76890000000000003</v>
      </c>
      <c r="G15" s="3">
        <f>+C15*F15</f>
        <v>61512</v>
      </c>
      <c r="I15" s="7">
        <v>0.2311</v>
      </c>
      <c r="J15" s="11">
        <f>+I15*C15</f>
        <v>18488</v>
      </c>
    </row>
    <row r="17" spans="1:5">
      <c r="B17" s="12"/>
    </row>
    <row r="18" spans="1:5">
      <c r="A18" s="48" t="s">
        <v>83</v>
      </c>
      <c r="D18" s="47" t="s">
        <v>84</v>
      </c>
      <c r="E18" s="48" t="s">
        <v>81</v>
      </c>
    </row>
    <row r="19" spans="1:5">
      <c r="A19" s="36" t="s">
        <v>67</v>
      </c>
      <c r="B19" s="36" t="s">
        <v>87</v>
      </c>
      <c r="C19" s="35" t="s">
        <v>63</v>
      </c>
      <c r="D19" s="36" t="s">
        <v>85</v>
      </c>
      <c r="E19" s="36" t="s">
        <v>82</v>
      </c>
    </row>
    <row r="20" spans="1:5">
      <c r="A20" s="39">
        <v>1</v>
      </c>
      <c r="B20" s="54" t="s">
        <v>89</v>
      </c>
      <c r="C20" s="53"/>
      <c r="D20" s="38">
        <v>11600</v>
      </c>
      <c r="E20" s="38">
        <f>+D20</f>
        <v>11600</v>
      </c>
    </row>
    <row r="21" spans="1:5">
      <c r="A21" s="39">
        <v>2</v>
      </c>
      <c r="B21" s="50" t="s">
        <v>90</v>
      </c>
      <c r="C21" s="38"/>
      <c r="D21" s="38">
        <v>4200</v>
      </c>
      <c r="E21" s="39">
        <v>4200</v>
      </c>
    </row>
    <row r="22" spans="1:5">
      <c r="A22" s="37" t="s">
        <v>68</v>
      </c>
      <c r="B22" s="50" t="s">
        <v>88</v>
      </c>
      <c r="C22" s="37"/>
      <c r="D22" s="38">
        <v>63200</v>
      </c>
      <c r="E22" s="38">
        <f>+D22</f>
        <v>63200</v>
      </c>
    </row>
    <row r="23" spans="1:5">
      <c r="A23" s="39">
        <v>10</v>
      </c>
      <c r="B23" s="49" t="s">
        <v>75</v>
      </c>
      <c r="C23" s="38">
        <v>40000</v>
      </c>
      <c r="D23" s="38">
        <v>116000</v>
      </c>
      <c r="E23" s="39">
        <v>76000</v>
      </c>
    </row>
    <row r="24" spans="1:5">
      <c r="A24" s="39">
        <v>20</v>
      </c>
      <c r="B24" s="50" t="s">
        <v>27</v>
      </c>
      <c r="C24" s="38">
        <v>55000</v>
      </c>
      <c r="D24" s="38">
        <v>25498</v>
      </c>
      <c r="E24" s="38">
        <f>+D24</f>
        <v>25498</v>
      </c>
    </row>
    <row r="25" spans="1:5">
      <c r="A25" s="39"/>
      <c r="B25" s="50" t="s">
        <v>29</v>
      </c>
      <c r="C25" s="38">
        <v>15000</v>
      </c>
      <c r="D25" s="38"/>
      <c r="E25" s="38">
        <f t="shared" ref="E25:E32" si="0">+D25</f>
        <v>0</v>
      </c>
    </row>
    <row r="26" spans="1:5">
      <c r="A26" s="39">
        <v>24</v>
      </c>
      <c r="B26" s="51" t="s">
        <v>65</v>
      </c>
      <c r="C26" s="38"/>
      <c r="D26" s="38">
        <v>10000</v>
      </c>
      <c r="E26" s="38">
        <f t="shared" si="0"/>
        <v>10000</v>
      </c>
    </row>
    <row r="27" spans="1:5">
      <c r="A27" s="39">
        <v>27</v>
      </c>
      <c r="B27" s="50" t="s">
        <v>66</v>
      </c>
      <c r="C27" s="38"/>
      <c r="D27" s="38">
        <v>9000</v>
      </c>
      <c r="E27" s="38">
        <f t="shared" si="0"/>
        <v>9000</v>
      </c>
    </row>
    <row r="28" spans="1:5">
      <c r="A28" s="39">
        <v>26</v>
      </c>
      <c r="B28" s="50" t="s">
        <v>30</v>
      </c>
      <c r="C28" s="38">
        <v>240000</v>
      </c>
      <c r="D28" s="38">
        <f>110000+70000+54000</f>
        <v>234000</v>
      </c>
      <c r="E28" s="38">
        <f t="shared" si="0"/>
        <v>234000</v>
      </c>
    </row>
    <row r="29" spans="1:5">
      <c r="A29" s="46" t="s">
        <v>80</v>
      </c>
      <c r="B29" s="50" t="s">
        <v>36</v>
      </c>
      <c r="C29" s="38">
        <v>5000</v>
      </c>
      <c r="D29" s="38">
        <v>5000</v>
      </c>
      <c r="E29" s="38">
        <f t="shared" si="0"/>
        <v>5000</v>
      </c>
    </row>
    <row r="30" spans="1:5">
      <c r="A30" s="39">
        <v>57</v>
      </c>
      <c r="B30" s="50" t="s">
        <v>37</v>
      </c>
      <c r="C30" s="38">
        <v>10000</v>
      </c>
      <c r="D30" s="38">
        <f>+C46*E46</f>
        <v>1733.3333333333333</v>
      </c>
      <c r="E30" s="38">
        <f t="shared" si="0"/>
        <v>1733.3333333333333</v>
      </c>
    </row>
    <row r="31" spans="1:5">
      <c r="A31" s="39">
        <v>68</v>
      </c>
      <c r="B31" s="50" t="s">
        <v>31</v>
      </c>
      <c r="C31" s="38">
        <v>10000</v>
      </c>
      <c r="D31" s="38">
        <v>12920</v>
      </c>
      <c r="E31" s="38">
        <f t="shared" si="0"/>
        <v>12920</v>
      </c>
    </row>
    <row r="32" spans="1:5">
      <c r="A32" s="40"/>
      <c r="B32" s="50" t="s">
        <v>33</v>
      </c>
      <c r="C32" s="40">
        <f>SUM(C23:C31)*0.15</f>
        <v>56250</v>
      </c>
      <c r="D32" s="40"/>
      <c r="E32" s="38">
        <f t="shared" si="0"/>
        <v>0</v>
      </c>
    </row>
    <row r="33" spans="1:11">
      <c r="A33" s="41"/>
      <c r="B33" s="14" t="s">
        <v>32</v>
      </c>
      <c r="C33" s="41">
        <f>ROUNDUP(SUM(C23:C32),-3)</f>
        <v>432000</v>
      </c>
      <c r="D33" s="41">
        <f>SUM(D20:D32)</f>
        <v>493151.33333333331</v>
      </c>
      <c r="E33" s="41">
        <f>SUM(E20:E32)</f>
        <v>453151.33333333331</v>
      </c>
      <c r="F33" s="7">
        <f>+Ownership!E14</f>
        <v>0.68826546634565056</v>
      </c>
      <c r="G33" s="11">
        <f>+C33*F33</f>
        <v>297330.68146132102</v>
      </c>
      <c r="I33" s="7">
        <f>+Ownership!E20</f>
        <v>0.17272061132628491</v>
      </c>
      <c r="J33" s="11">
        <f>+C33*I33</f>
        <v>74615.304092955077</v>
      </c>
    </row>
    <row r="34" spans="1:11">
      <c r="F34" t="s">
        <v>69</v>
      </c>
    </row>
    <row r="35" spans="1:11" ht="15.75">
      <c r="A35" s="6"/>
      <c r="B35" s="44" t="s">
        <v>70</v>
      </c>
      <c r="C35" s="6"/>
      <c r="D35" s="6"/>
      <c r="E35" s="6"/>
    </row>
    <row r="36" spans="1:11">
      <c r="A36" s="41"/>
      <c r="B36" s="42">
        <f>+F33</f>
        <v>0.68826546634565056</v>
      </c>
      <c r="C36" s="41">
        <f>+$B36*C33</f>
        <v>297330.68146132102</v>
      </c>
      <c r="D36" s="41">
        <f>+$B36*D33</f>
        <v>339419.03241564601</v>
      </c>
      <c r="E36" s="41">
        <f>+$B36*E33</f>
        <v>311888.41376182</v>
      </c>
      <c r="G36" s="11">
        <f>+G12-G15-G33</f>
        <v>208237.31853867898</v>
      </c>
      <c r="J36" s="11">
        <f>+J12-J15-J33</f>
        <v>178856.69590704492</v>
      </c>
    </row>
    <row r="38" spans="1:11">
      <c r="A38" s="43" t="s">
        <v>71</v>
      </c>
    </row>
    <row r="39" spans="1:11">
      <c r="A39" s="43" t="s">
        <v>72</v>
      </c>
    </row>
    <row r="40" spans="1:11">
      <c r="A40" s="43" t="s">
        <v>73</v>
      </c>
    </row>
    <row r="41" spans="1:11">
      <c r="A41" s="43" t="s">
        <v>74</v>
      </c>
    </row>
    <row r="43" spans="1:11">
      <c r="A43" s="43" t="s">
        <v>76</v>
      </c>
    </row>
    <row r="44" spans="1:11">
      <c r="A44" s="43" t="s">
        <v>77</v>
      </c>
    </row>
    <row r="46" spans="1:11">
      <c r="A46" s="43" t="s">
        <v>78</v>
      </c>
      <c r="C46" s="45">
        <f>200*12*0.5/27</f>
        <v>44.444444444444443</v>
      </c>
      <c r="D46" s="44" t="s">
        <v>86</v>
      </c>
      <c r="E46" s="44">
        <v>39</v>
      </c>
      <c r="K46" s="44" t="s">
        <v>79</v>
      </c>
    </row>
  </sheetData>
  <printOptions horizontalCentered="1"/>
  <pageMargins left="0.7" right="0.7" top="0.75" bottom="0.75" header="0.55000000000000004" footer="0.3"/>
  <pageSetup orientation="portrait" r:id="rId1"/>
  <headerFooter>
    <oddHeader>&amp;C&amp;"Arial,Bold"ATHERTON GAP - ARDITTI COST SHARE</oddHeader>
    <oddFooter>&amp;L&amp;9&amp;Z&amp;F&amp;R&amp;T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QD2UCF5UJE4V-699202894-135</_dlc_DocId>
    <_dlc_DocIdUrl xmlns="7184055b-e5ea-4162-8b19-ace5c644b73a">
      <Url>http://intranet2/pw/_layouts/15/DocIdRedir.aspx?ID=QD2UCF5UJE4V-699202894-135</Url>
      <Description>QD2UCF5UJE4V-699202894-135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3D9E8-2FBA-4443-AD84-B1549DCE9DBD}"/>
</file>

<file path=customXml/itemProps2.xml><?xml version="1.0" encoding="utf-8"?>
<ds:datastoreItem xmlns:ds="http://schemas.openxmlformats.org/officeDocument/2006/customXml" ds:itemID="{0B684A5F-9C15-4DFA-8BCA-BDBAAB5C789C}"/>
</file>

<file path=customXml/itemProps3.xml><?xml version="1.0" encoding="utf-8"?>
<ds:datastoreItem xmlns:ds="http://schemas.openxmlformats.org/officeDocument/2006/customXml" ds:itemID="{8C9F1726-0CA8-415A-9C91-15CB933E60E1}"/>
</file>

<file path=customXml/itemProps4.xml><?xml version="1.0" encoding="utf-8"?>
<ds:datastoreItem xmlns:ds="http://schemas.openxmlformats.org/officeDocument/2006/customXml" ds:itemID="{5B359165-F596-4D6B-92BE-74C6A3B034DC}"/>
</file>

<file path=customXml/itemProps5.xml><?xml version="1.0" encoding="utf-8"?>
<ds:datastoreItem xmlns:ds="http://schemas.openxmlformats.org/officeDocument/2006/customXml" ds:itemID="{6623D42C-128B-49E2-98CD-06C3042FE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Original</vt:lpstr>
      <vt:lpstr>MCR</vt:lpstr>
      <vt:lpstr>Basin 7 13 10</vt:lpstr>
      <vt:lpstr>Ownership</vt:lpstr>
      <vt:lpstr>Basin 6 6 12</vt:lpstr>
    </vt:vector>
  </TitlesOfParts>
  <Company>City of Manteca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Maxwell Smart</dc:creator>
  <cp:lastModifiedBy>jdegroot</cp:lastModifiedBy>
  <cp:lastPrinted>2012-06-06T19:17:07Z</cp:lastPrinted>
  <dcterms:created xsi:type="dcterms:W3CDTF">2009-06-17T15:43:49Z</dcterms:created>
  <dcterms:modified xsi:type="dcterms:W3CDTF">2012-06-06T21:57:24Z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1fcce90d-1545-404e-ba76-a4836ec0cca2</vt:lpwstr>
  </property>
  <property fmtid="{D5CDD505-2E9C-101B-9397-08002B2CF9AE}" pid="4" name="Order">
    <vt:r8>4200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http://intranet:12013/_layouts/DocIdRedir.aspx?ID=DS6S4WKU732Q-3-42, DS6S4WKU732Q-3-42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DS6S4WKU732Q-3-42</vt:lpwstr>
  </property>
</Properties>
</file>